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workbookProtection workbookAlgorithmName="SHA-512" workbookHashValue="mGhO7Y5ZUyKdLEY1Uu5f01MoGybDF+6ap0cVqRdrA0jLegPHDGuM9oZSbbUNJVTqvpYHVUZfcBuz4JUXyzKRig==" workbookSaltValue="uWUbigI/ALG3Ewh4VmHx6Q==" workbookSpinCount="100000" lockStructure="1"/>
  <bookViews>
    <workbookView xWindow="0" yWindow="0" windowWidth="22956" windowHeight="3756" tabRatio="819"/>
  </bookViews>
  <sheets>
    <sheet name="Info" sheetId="41" r:id="rId1"/>
    <sheet name="DASHBOARD" sheetId="2" r:id="rId2"/>
    <sheet name="DATA" sheetId="3" r:id="rId3"/>
    <sheet name="ENGLISH" sheetId="4" r:id="rId4"/>
    <sheet name="PHYSICS" sheetId="19" r:id="rId5"/>
    <sheet name="CHEMISTRY" sheetId="23" r:id="rId6"/>
    <sheet name="MATHS" sheetId="18" r:id="rId7"/>
    <sheet name="BIOLOGY" sheetId="24" r:id="rId8"/>
    <sheet name="PHY EDU " sheetId="25" r:id="rId9"/>
    <sheet name="ADDITIONAL" sheetId="31" r:id="rId10"/>
    <sheet name="CO-SCHOLOSTIC" sheetId="22" r:id="rId11"/>
    <sheet name="ATTENDANCE" sheetId="11" r:id="rId12"/>
    <sheet name="REPORT CARD (MID TERM)" sheetId="36" state="hidden" r:id="rId13"/>
    <sheet name="REPORT CARD X" sheetId="29" state="hidden" r:id="rId14"/>
    <sheet name="GREEN SHEET" sheetId="13" r:id="rId15"/>
    <sheet name="REPORT CARD" sheetId="38" r:id="rId16"/>
    <sheet name="FINAL RESULT" sheetId="39" r:id="rId17"/>
    <sheet name="MARKSHEET DISTRIBUTION" sheetId="42" r:id="rId18"/>
    <sheet name="RESULT TEACHER WISE" sheetId="14" r:id="rId19"/>
    <sheet name="SCHOOL RESULT" sheetId="33" r:id="rId20"/>
    <sheet name="RESULT ANALYSIS GRADE WISE " sheetId="35" r:id="rId21"/>
    <sheet name="RESULT ANALYSIS RANK WISE " sheetId="34" r:id="rId22"/>
  </sheets>
  <definedNames>
    <definedName name="BOY" localSheetId="16">#REF!</definedName>
    <definedName name="BOY" localSheetId="15">#REF!</definedName>
    <definedName name="BOY" localSheetId="12">#REF!</definedName>
    <definedName name="BOY" localSheetId="20">#REF!</definedName>
    <definedName name="BOY" localSheetId="21">#REF!</definedName>
    <definedName name="BOY">#REF!</definedName>
    <definedName name="_xlnm.Print_Area" localSheetId="7">BIOLOGY!$A$1:$N$54</definedName>
    <definedName name="_xlnm.Print_Area" localSheetId="5">CHEMISTRY!$A$1:$N$54</definedName>
    <definedName name="_xlnm.Print_Area" localSheetId="6">MATHS!$A$1:$P$53</definedName>
    <definedName name="_xlnm.Print_Area" localSheetId="8">'PHY EDU '!$A$1:$N$54</definedName>
    <definedName name="_xlnm.Print_Area" localSheetId="4">PHYSICS!$A:$N</definedName>
    <definedName name="_xlnm.Print_Area" localSheetId="15">'REPORT CARD'!$A$1:$AC$72</definedName>
    <definedName name="_xlnm.Print_Titles" localSheetId="16">'FINAL RESULT'!$A:$C</definedName>
    <definedName name="_xlnm.Print_Titles" localSheetId="14">'GREEN SHEET'!$A:$C</definedName>
  </definedNames>
  <calcPr calcId="152511"/>
</workbook>
</file>

<file path=xl/calcChain.xml><?xml version="1.0" encoding="utf-8"?>
<calcChain xmlns="http://schemas.openxmlformats.org/spreadsheetml/2006/main">
  <c r="N45" i="4" l="1"/>
  <c r="N46" i="4"/>
  <c r="N47" i="4"/>
  <c r="N48" i="4"/>
  <c r="N49" i="4"/>
  <c r="N50" i="4"/>
  <c r="N51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18" i="4"/>
  <c r="N19" i="4"/>
  <c r="N20" i="4"/>
  <c r="N21" i="4"/>
  <c r="N22" i="4"/>
  <c r="N23" i="4"/>
  <c r="N24" i="4"/>
  <c r="N25" i="4"/>
  <c r="N26" i="4"/>
  <c r="N27" i="4"/>
  <c r="N8" i="4"/>
  <c r="N9" i="4"/>
  <c r="N10" i="4"/>
  <c r="N11" i="4"/>
  <c r="N12" i="4"/>
  <c r="N13" i="4"/>
  <c r="N14" i="4"/>
  <c r="N15" i="4"/>
  <c r="N16" i="4"/>
  <c r="N17" i="4"/>
  <c r="N6" i="4"/>
  <c r="N6" i="18"/>
  <c r="F7" i="42" l="1"/>
  <c r="F8" i="42"/>
  <c r="F9" i="42"/>
  <c r="F10" i="42"/>
  <c r="F11" i="42"/>
  <c r="F12" i="42"/>
  <c r="F13" i="42"/>
  <c r="F14" i="42"/>
  <c r="F15" i="42"/>
  <c r="F16" i="42"/>
  <c r="F17" i="42"/>
  <c r="F18" i="42"/>
  <c r="F19" i="42"/>
  <c r="F20" i="42"/>
  <c r="F21" i="42"/>
  <c r="F22" i="42"/>
  <c r="F23" i="42"/>
  <c r="F24" i="42"/>
  <c r="F25" i="42"/>
  <c r="F26" i="42"/>
  <c r="F27" i="42"/>
  <c r="F28" i="42"/>
  <c r="F29" i="42"/>
  <c r="F30" i="42"/>
  <c r="F31" i="42"/>
  <c r="F32" i="42"/>
  <c r="F33" i="42"/>
  <c r="F34" i="42"/>
  <c r="F35" i="42"/>
  <c r="F36" i="42"/>
  <c r="F37" i="42"/>
  <c r="F38" i="42"/>
  <c r="F39" i="42"/>
  <c r="F40" i="42"/>
  <c r="F41" i="42"/>
  <c r="F42" i="42"/>
  <c r="F43" i="42"/>
  <c r="F44" i="42"/>
  <c r="F45" i="42"/>
  <c r="F46" i="42"/>
  <c r="F47" i="42"/>
  <c r="F48" i="42"/>
  <c r="F49" i="42"/>
  <c r="F50" i="42"/>
  <c r="E7" i="42"/>
  <c r="E8" i="42"/>
  <c r="E9" i="42"/>
  <c r="E10" i="42"/>
  <c r="E11" i="42"/>
  <c r="E12" i="42"/>
  <c r="E13" i="42"/>
  <c r="E14" i="42"/>
  <c r="E15" i="42"/>
  <c r="E16" i="42"/>
  <c r="E17" i="42"/>
  <c r="E18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1" i="42"/>
  <c r="E32" i="42"/>
  <c r="E33" i="42"/>
  <c r="E34" i="42"/>
  <c r="E35" i="42"/>
  <c r="E36" i="42"/>
  <c r="E37" i="42"/>
  <c r="E38" i="42"/>
  <c r="E39" i="42"/>
  <c r="E40" i="42"/>
  <c r="E41" i="42"/>
  <c r="E42" i="42"/>
  <c r="E43" i="42"/>
  <c r="E44" i="42"/>
  <c r="E45" i="42"/>
  <c r="E46" i="42"/>
  <c r="E47" i="42"/>
  <c r="E48" i="42"/>
  <c r="E49" i="42"/>
  <c r="E50" i="42"/>
  <c r="F6" i="42"/>
  <c r="E6" i="42"/>
  <c r="J15" i="38"/>
  <c r="J14" i="38"/>
  <c r="AI6" i="39" l="1"/>
  <c r="AH6" i="39"/>
  <c r="AG6" i="39"/>
  <c r="AF6" i="39"/>
  <c r="AE6" i="39"/>
  <c r="N6" i="39"/>
  <c r="H6" i="39"/>
  <c r="B5" i="39"/>
  <c r="B7" i="39"/>
  <c r="C7" i="39"/>
  <c r="D7" i="39"/>
  <c r="E7" i="39"/>
  <c r="F7" i="39"/>
  <c r="B8" i="39"/>
  <c r="C8" i="39"/>
  <c r="D8" i="39"/>
  <c r="E8" i="39"/>
  <c r="F8" i="39"/>
  <c r="B9" i="39"/>
  <c r="C9" i="39"/>
  <c r="D9" i="39"/>
  <c r="E9" i="39"/>
  <c r="F9" i="39"/>
  <c r="B10" i="39"/>
  <c r="C10" i="39"/>
  <c r="D10" i="39"/>
  <c r="E10" i="39"/>
  <c r="F10" i="39"/>
  <c r="B11" i="39"/>
  <c r="C11" i="39"/>
  <c r="D11" i="39"/>
  <c r="E11" i="39"/>
  <c r="F11" i="39"/>
  <c r="B12" i="39"/>
  <c r="C12" i="39"/>
  <c r="D12" i="39"/>
  <c r="E12" i="39"/>
  <c r="F12" i="39"/>
  <c r="B13" i="39"/>
  <c r="C13" i="39"/>
  <c r="D13" i="39"/>
  <c r="E13" i="39"/>
  <c r="F13" i="39"/>
  <c r="B14" i="39"/>
  <c r="C14" i="39"/>
  <c r="D14" i="39"/>
  <c r="E14" i="39"/>
  <c r="F14" i="39"/>
  <c r="B15" i="39"/>
  <c r="B16" i="39"/>
  <c r="B17" i="39"/>
  <c r="B18" i="39"/>
  <c r="B19" i="39"/>
  <c r="B20" i="39"/>
  <c r="B21" i="39"/>
  <c r="B22" i="39"/>
  <c r="B23" i="39"/>
  <c r="B24" i="39"/>
  <c r="B25" i="39"/>
  <c r="B26" i="39"/>
  <c r="B27" i="39"/>
  <c r="B28" i="39"/>
  <c r="B29" i="39"/>
  <c r="B30" i="39"/>
  <c r="B31" i="39"/>
  <c r="B32" i="39"/>
  <c r="B33" i="39"/>
  <c r="B34" i="39"/>
  <c r="B35" i="39"/>
  <c r="B36" i="39"/>
  <c r="B37" i="39"/>
  <c r="B38" i="39"/>
  <c r="B39" i="39"/>
  <c r="B40" i="39"/>
  <c r="B41" i="39"/>
  <c r="B42" i="39"/>
  <c r="B43" i="39"/>
  <c r="B44" i="39"/>
  <c r="B45" i="39"/>
  <c r="B46" i="39"/>
  <c r="B47" i="39"/>
  <c r="B48" i="39"/>
  <c r="B49" i="39"/>
  <c r="B50" i="39"/>
  <c r="B51" i="39"/>
  <c r="L6" i="39"/>
  <c r="C15" i="39"/>
  <c r="AB15" i="39" s="1"/>
  <c r="D15" i="39"/>
  <c r="E15" i="39"/>
  <c r="F15" i="39"/>
  <c r="Q15" i="39"/>
  <c r="R15" i="39"/>
  <c r="S15" i="39"/>
  <c r="U15" i="39"/>
  <c r="Y15" i="39"/>
  <c r="AJ15" i="39"/>
  <c r="C16" i="39"/>
  <c r="P16" i="39" s="1"/>
  <c r="D16" i="39"/>
  <c r="E16" i="39"/>
  <c r="F16" i="39"/>
  <c r="C17" i="39"/>
  <c r="D17" i="39"/>
  <c r="E17" i="39"/>
  <c r="F17" i="39"/>
  <c r="O17" i="39"/>
  <c r="P17" i="39"/>
  <c r="R17" i="39"/>
  <c r="S17" i="39"/>
  <c r="T17" i="39"/>
  <c r="W17" i="39"/>
  <c r="Y17" i="39"/>
  <c r="AA17" i="39"/>
  <c r="AC17" i="39"/>
  <c r="AD17" i="39"/>
  <c r="C18" i="39"/>
  <c r="D18" i="39"/>
  <c r="E18" i="39"/>
  <c r="F18" i="39"/>
  <c r="C19" i="39"/>
  <c r="O19" i="39" s="1"/>
  <c r="D19" i="39"/>
  <c r="E19" i="39"/>
  <c r="F19" i="39"/>
  <c r="C20" i="39"/>
  <c r="U20" i="39" s="1"/>
  <c r="D20" i="39"/>
  <c r="E20" i="39"/>
  <c r="F20" i="39"/>
  <c r="C21" i="39"/>
  <c r="U21" i="39" s="1"/>
  <c r="D21" i="39"/>
  <c r="E21" i="39"/>
  <c r="F21" i="39"/>
  <c r="C22" i="39"/>
  <c r="AD22" i="39" s="1"/>
  <c r="D22" i="39"/>
  <c r="E22" i="39"/>
  <c r="F22" i="39"/>
  <c r="C23" i="39"/>
  <c r="AB23" i="39" s="1"/>
  <c r="D23" i="39"/>
  <c r="E23" i="39"/>
  <c r="F23" i="39"/>
  <c r="C24" i="39"/>
  <c r="D24" i="39"/>
  <c r="E24" i="39"/>
  <c r="F24" i="39"/>
  <c r="O24" i="39"/>
  <c r="T24" i="39"/>
  <c r="AJ24" i="39"/>
  <c r="C25" i="39"/>
  <c r="O25" i="39" s="1"/>
  <c r="D25" i="39"/>
  <c r="E25" i="39"/>
  <c r="F25" i="39"/>
  <c r="T25" i="39"/>
  <c r="AA25" i="39"/>
  <c r="AC25" i="39"/>
  <c r="C26" i="39"/>
  <c r="Q26" i="39" s="1"/>
  <c r="D26" i="39"/>
  <c r="E26" i="39"/>
  <c r="F26" i="39"/>
  <c r="U26" i="39"/>
  <c r="Y26" i="39"/>
  <c r="AD26" i="39"/>
  <c r="C27" i="39"/>
  <c r="P27" i="39" s="1"/>
  <c r="D27" i="39"/>
  <c r="E27" i="39"/>
  <c r="F27" i="39"/>
  <c r="C28" i="39"/>
  <c r="P28" i="39" s="1"/>
  <c r="D28" i="39"/>
  <c r="E28" i="39"/>
  <c r="F28" i="39"/>
  <c r="AB28" i="39"/>
  <c r="C29" i="39"/>
  <c r="O29" i="39" s="1"/>
  <c r="D29" i="39"/>
  <c r="E29" i="39"/>
  <c r="F29" i="39"/>
  <c r="P29" i="39"/>
  <c r="S29" i="39"/>
  <c r="U29" i="39"/>
  <c r="Z29" i="39"/>
  <c r="AC29" i="39"/>
  <c r="C30" i="39"/>
  <c r="AC30" i="39" s="1"/>
  <c r="D30" i="39"/>
  <c r="E30" i="39"/>
  <c r="F30" i="39"/>
  <c r="C31" i="39"/>
  <c r="O31" i="39" s="1"/>
  <c r="D31" i="39"/>
  <c r="E31" i="39"/>
  <c r="F31" i="39"/>
  <c r="W31" i="39"/>
  <c r="AA31" i="39"/>
  <c r="C32" i="39"/>
  <c r="D32" i="39"/>
  <c r="E32" i="39"/>
  <c r="F32" i="39"/>
  <c r="V32" i="39"/>
  <c r="W32" i="39"/>
  <c r="Z32" i="39"/>
  <c r="C33" i="39"/>
  <c r="D33" i="39"/>
  <c r="E33" i="39"/>
  <c r="F33" i="39"/>
  <c r="C34" i="39"/>
  <c r="AJ34" i="39" s="1"/>
  <c r="D34" i="39"/>
  <c r="E34" i="39"/>
  <c r="F34" i="39"/>
  <c r="Q34" i="39"/>
  <c r="T34" i="39"/>
  <c r="AB34" i="39"/>
  <c r="AC34" i="39"/>
  <c r="C35" i="39"/>
  <c r="D35" i="39"/>
  <c r="E35" i="39"/>
  <c r="F35" i="39"/>
  <c r="Q35" i="39"/>
  <c r="AB35" i="39"/>
  <c r="AJ35" i="39"/>
  <c r="C36" i="39"/>
  <c r="P36" i="39" s="1"/>
  <c r="D36" i="39"/>
  <c r="E36" i="39"/>
  <c r="F36" i="39"/>
  <c r="AB36" i="39"/>
  <c r="C37" i="39"/>
  <c r="P37" i="39" s="1"/>
  <c r="D37" i="39"/>
  <c r="E37" i="39"/>
  <c r="F37" i="39"/>
  <c r="C38" i="39"/>
  <c r="D38" i="39"/>
  <c r="E38" i="39"/>
  <c r="F38" i="39"/>
  <c r="AD38" i="39"/>
  <c r="C39" i="39"/>
  <c r="P39" i="39" s="1"/>
  <c r="D39" i="39"/>
  <c r="E39" i="39"/>
  <c r="F39" i="39"/>
  <c r="AA39" i="39"/>
  <c r="C40" i="39"/>
  <c r="AC40" i="39" s="1"/>
  <c r="D40" i="39"/>
  <c r="E40" i="39"/>
  <c r="F40" i="39"/>
  <c r="W40" i="39"/>
  <c r="AA40" i="39"/>
  <c r="C41" i="39"/>
  <c r="Q41" i="39" s="1"/>
  <c r="D41" i="39"/>
  <c r="E41" i="39"/>
  <c r="F41" i="39"/>
  <c r="C42" i="39"/>
  <c r="P42" i="39" s="1"/>
  <c r="D42" i="39"/>
  <c r="E42" i="39"/>
  <c r="F42" i="39"/>
  <c r="AB42" i="39"/>
  <c r="AJ42" i="39"/>
  <c r="C43" i="39"/>
  <c r="S43" i="39" s="1"/>
  <c r="D43" i="39"/>
  <c r="E43" i="39"/>
  <c r="F43" i="39"/>
  <c r="C44" i="39"/>
  <c r="D44" i="39"/>
  <c r="E44" i="39"/>
  <c r="F44" i="39"/>
  <c r="C45" i="39"/>
  <c r="D45" i="39"/>
  <c r="E45" i="39"/>
  <c r="F45" i="39"/>
  <c r="C46" i="39"/>
  <c r="S46" i="39" s="1"/>
  <c r="D46" i="39"/>
  <c r="E46" i="39"/>
  <c r="F46" i="39"/>
  <c r="C47" i="39"/>
  <c r="D47" i="39"/>
  <c r="E47" i="39"/>
  <c r="F47" i="39"/>
  <c r="O47" i="39"/>
  <c r="AB47" i="39"/>
  <c r="AJ47" i="39"/>
  <c r="C48" i="39"/>
  <c r="R48" i="39" s="1"/>
  <c r="D48" i="39"/>
  <c r="E48" i="39"/>
  <c r="F48" i="39"/>
  <c r="C49" i="39"/>
  <c r="T49" i="39" s="1"/>
  <c r="AA49" i="39" s="1"/>
  <c r="D49" i="39"/>
  <c r="E49" i="39"/>
  <c r="F49" i="39"/>
  <c r="C50" i="39"/>
  <c r="P50" i="39" s="1"/>
  <c r="D50" i="39"/>
  <c r="E50" i="39"/>
  <c r="F50" i="39"/>
  <c r="C51" i="39"/>
  <c r="D51" i="39"/>
  <c r="E51" i="39"/>
  <c r="F51" i="39"/>
  <c r="B2" i="39"/>
  <c r="G4" i="39"/>
  <c r="AF4" i="39"/>
  <c r="O5" i="39"/>
  <c r="V5" i="39" s="1"/>
  <c r="P5" i="39"/>
  <c r="W5" i="39" s="1"/>
  <c r="Q5" i="39"/>
  <c r="X5" i="39" s="1"/>
  <c r="R5" i="39"/>
  <c r="Y5" i="39" s="1"/>
  <c r="S5" i="39"/>
  <c r="Z5" i="39" s="1"/>
  <c r="T5" i="39"/>
  <c r="AA5" i="39" s="1"/>
  <c r="AJ53" i="39"/>
  <c r="AC49" i="39" l="1"/>
  <c r="T39" i="39"/>
  <c r="P34" i="39"/>
  <c r="AJ31" i="39"/>
  <c r="U22" i="39"/>
  <c r="AD15" i="39"/>
  <c r="O15" i="39"/>
  <c r="AB49" i="39"/>
  <c r="AC15" i="39"/>
  <c r="R49" i="39"/>
  <c r="AC46" i="39"/>
  <c r="U40" i="39"/>
  <c r="Q46" i="39"/>
  <c r="Q40" i="39"/>
  <c r="AJ23" i="39"/>
  <c r="Q49" i="39"/>
  <c r="T47" i="39"/>
  <c r="Q42" i="39"/>
  <c r="AB32" i="39"/>
  <c r="S32" i="39"/>
  <c r="T28" i="39"/>
  <c r="AB27" i="39"/>
  <c r="S24" i="39"/>
  <c r="P22" i="39"/>
  <c r="AD37" i="39"/>
  <c r="AC33" i="39"/>
  <c r="P32" i="39"/>
  <c r="T27" i="39"/>
  <c r="AB39" i="39"/>
  <c r="R33" i="39"/>
  <c r="Y33" i="39" s="1"/>
  <c r="AJ27" i="39"/>
  <c r="AJ49" i="39"/>
  <c r="U49" i="39"/>
  <c r="P49" i="39"/>
  <c r="S48" i="39"/>
  <c r="AB46" i="39"/>
  <c r="P46" i="39"/>
  <c r="R43" i="39"/>
  <c r="AJ40" i="39"/>
  <c r="AB40" i="39"/>
  <c r="T40" i="39"/>
  <c r="P40" i="39"/>
  <c r="AJ39" i="39"/>
  <c r="R36" i="39"/>
  <c r="AB33" i="39"/>
  <c r="Q33" i="39"/>
  <c r="AJ32" i="39"/>
  <c r="O32" i="39"/>
  <c r="T31" i="39"/>
  <c r="S28" i="39"/>
  <c r="AC26" i="39"/>
  <c r="T26" i="39"/>
  <c r="P26" i="39"/>
  <c r="AJ25" i="39"/>
  <c r="Q25" i="39"/>
  <c r="P19" i="39"/>
  <c r="AD49" i="39"/>
  <c r="O48" i="39"/>
  <c r="U46" i="39"/>
  <c r="AD43" i="39"/>
  <c r="O43" i="39"/>
  <c r="AB41" i="39"/>
  <c r="S40" i="39"/>
  <c r="O40" i="39"/>
  <c r="AJ36" i="39"/>
  <c r="AJ33" i="39"/>
  <c r="U33" i="39"/>
  <c r="O33" i="39"/>
  <c r="AC31" i="39"/>
  <c r="P31" i="39"/>
  <c r="AJ26" i="39"/>
  <c r="AB26" i="39"/>
  <c r="S26" i="39"/>
  <c r="O26" i="39"/>
  <c r="AJ46" i="39"/>
  <c r="T43" i="39"/>
  <c r="U41" i="39"/>
  <c r="AD40" i="39"/>
  <c r="R40" i="39"/>
  <c r="S33" i="39"/>
  <c r="R26" i="39"/>
  <c r="X41" i="39"/>
  <c r="Y48" i="39"/>
  <c r="V29" i="39"/>
  <c r="T51" i="39"/>
  <c r="AJ45" i="39"/>
  <c r="V40" i="39"/>
  <c r="Q37" i="39"/>
  <c r="P30" i="39"/>
  <c r="V26" i="39"/>
  <c r="W22" i="39"/>
  <c r="Q45" i="39"/>
  <c r="W37" i="39"/>
  <c r="AJ51" i="39"/>
  <c r="P51" i="39"/>
  <c r="AB50" i="39"/>
  <c r="AD48" i="39"/>
  <c r="X46" i="39"/>
  <c r="AD45" i="39"/>
  <c r="AJ44" i="39"/>
  <c r="T44" i="39"/>
  <c r="Z43" i="39"/>
  <c r="AC37" i="39"/>
  <c r="T37" i="39"/>
  <c r="O37" i="39"/>
  <c r="O35" i="39"/>
  <c r="L33" i="39"/>
  <c r="R32" i="39"/>
  <c r="AB31" i="39"/>
  <c r="U31" i="39"/>
  <c r="U30" i="39"/>
  <c r="AJ29" i="39"/>
  <c r="AB29" i="39"/>
  <c r="T29" i="39"/>
  <c r="Q28" i="39"/>
  <c r="L26" i="39"/>
  <c r="U25" i="39"/>
  <c r="V17" i="39"/>
  <c r="Z48" i="39"/>
  <c r="P45" i="39"/>
  <c r="P48" i="39"/>
  <c r="AB44" i="39"/>
  <c r="P44" i="39"/>
  <c r="O38" i="39"/>
  <c r="S37" i="39"/>
  <c r="X35" i="39"/>
  <c r="X34" i="39"/>
  <c r="T30" i="39"/>
  <c r="AA28" i="39"/>
  <c r="R25" i="39"/>
  <c r="AD25" i="39"/>
  <c r="P25" i="39"/>
  <c r="R22" i="39"/>
  <c r="AC22" i="39"/>
  <c r="S22" i="39"/>
  <c r="AJ22" i="39"/>
  <c r="O22" i="39"/>
  <c r="T22" i="39"/>
  <c r="AB22" i="39"/>
  <c r="P21" i="39"/>
  <c r="AD21" i="39"/>
  <c r="Q21" i="39"/>
  <c r="T21" i="39"/>
  <c r="T20" i="39"/>
  <c r="AB20" i="39"/>
  <c r="P20" i="39"/>
  <c r="Q20" i="39"/>
  <c r="AC20" i="39"/>
  <c r="U18" i="39"/>
  <c r="T18" i="39"/>
  <c r="AC18" i="39"/>
  <c r="Z17" i="39"/>
  <c r="L17" i="39"/>
  <c r="W16" i="39"/>
  <c r="Q44" i="39"/>
  <c r="W50" i="39"/>
  <c r="Q50" i="39"/>
  <c r="X49" i="39"/>
  <c r="V48" i="39"/>
  <c r="AA47" i="39"/>
  <c r="U45" i="39"/>
  <c r="AA43" i="39"/>
  <c r="AB51" i="39"/>
  <c r="W49" i="39"/>
  <c r="P47" i="39"/>
  <c r="O46" i="39"/>
  <c r="T45" i="39"/>
  <c r="V43" i="39"/>
  <c r="Y43" i="39"/>
  <c r="P43" i="39"/>
  <c r="U42" i="39"/>
  <c r="AJ41" i="39"/>
  <c r="Y40" i="39"/>
  <c r="W39" i="39"/>
  <c r="R38" i="39"/>
  <c r="R37" i="39"/>
  <c r="S35" i="39"/>
  <c r="AA34" i="39"/>
  <c r="U34" i="39"/>
  <c r="V33" i="39"/>
  <c r="Z33" i="39"/>
  <c r="P33" i="39"/>
  <c r="T32" i="39"/>
  <c r="Q31" i="39"/>
  <c r="Q30" i="39"/>
  <c r="AD29" i="39"/>
  <c r="Q29" i="39"/>
  <c r="AJ28" i="39"/>
  <c r="W28" i="39"/>
  <c r="O28" i="39"/>
  <c r="AA26" i="39"/>
  <c r="AB25" i="39"/>
  <c r="S25" i="39"/>
  <c r="AA24" i="39"/>
  <c r="Q22" i="39"/>
  <c r="AJ20" i="39"/>
  <c r="S19" i="39"/>
  <c r="AJ19" i="39"/>
  <c r="T19" i="39"/>
  <c r="AB19" i="39"/>
  <c r="Q16" i="39"/>
  <c r="Z24" i="39"/>
  <c r="Q17" i="39"/>
  <c r="U17" i="39"/>
  <c r="AB17" i="39"/>
  <c r="AJ17" i="39"/>
  <c r="T16" i="39"/>
  <c r="P24" i="39"/>
  <c r="T23" i="39"/>
  <c r="P15" i="39"/>
  <c r="U50" i="39"/>
  <c r="AC48" i="39"/>
  <c r="U48" i="39"/>
  <c r="Q48" i="39"/>
  <c r="S47" i="39"/>
  <c r="T46" i="39"/>
  <c r="AC45" i="39"/>
  <c r="R45" i="39"/>
  <c r="S44" i="39"/>
  <c r="O44" i="39"/>
  <c r="AJ43" i="39"/>
  <c r="AB43" i="39"/>
  <c r="T42" i="39"/>
  <c r="O42" i="39"/>
  <c r="T41" i="39"/>
  <c r="P41" i="39"/>
  <c r="AC38" i="39"/>
  <c r="U38" i="39"/>
  <c r="Q38" i="39"/>
  <c r="AJ37" i="39"/>
  <c r="AB37" i="39"/>
  <c r="U37" i="39"/>
  <c r="T36" i="39"/>
  <c r="O36" i="39"/>
  <c r="U35" i="39"/>
  <c r="P35" i="39"/>
  <c r="AD33" i="39"/>
  <c r="T33" i="39"/>
  <c r="AD32" i="39"/>
  <c r="S31" i="39"/>
  <c r="AB30" i="39"/>
  <c r="R29" i="39"/>
  <c r="AD28" i="39"/>
  <c r="R28" i="39"/>
  <c r="AB24" i="39"/>
  <c r="AC21" i="39"/>
  <c r="S21" i="39"/>
  <c r="O21" i="39"/>
  <c r="S20" i="39"/>
  <c r="O20" i="39"/>
  <c r="AB18" i="39"/>
  <c r="Q18" i="39"/>
  <c r="AD16" i="39"/>
  <c r="S16" i="39"/>
  <c r="O16" i="39"/>
  <c r="AJ50" i="39"/>
  <c r="T50" i="39"/>
  <c r="AJ48" i="39"/>
  <c r="AB48" i="39"/>
  <c r="T48" i="39"/>
  <c r="AB45" i="39"/>
  <c r="AD44" i="39"/>
  <c r="R44" i="39"/>
  <c r="AC42" i="39"/>
  <c r="S42" i="39"/>
  <c r="AD41" i="39"/>
  <c r="S41" i="39"/>
  <c r="O41" i="39"/>
  <c r="AJ38" i="39"/>
  <c r="AB38" i="39"/>
  <c r="T38" i="39"/>
  <c r="P38" i="39"/>
  <c r="AD36" i="39"/>
  <c r="S36" i="39"/>
  <c r="AC35" i="39"/>
  <c r="T35" i="39"/>
  <c r="AC28" i="39"/>
  <c r="U28" i="39"/>
  <c r="AJ21" i="39"/>
  <c r="AB21" i="39"/>
  <c r="R21" i="39"/>
  <c r="AD20" i="39"/>
  <c r="R20" i="39"/>
  <c r="AJ18" i="39"/>
  <c r="P18" i="39"/>
  <c r="AC16" i="39"/>
  <c r="R16" i="39"/>
  <c r="T15" i="39"/>
  <c r="AC50" i="39"/>
  <c r="AC44" i="39"/>
  <c r="U44" i="39"/>
  <c r="AC41" i="39"/>
  <c r="R41" i="39"/>
  <c r="S38" i="39"/>
  <c r="AJ16" i="39"/>
  <c r="AB16" i="39"/>
  <c r="U16" i="39"/>
  <c r="L35" i="39"/>
  <c r="V42" i="39"/>
  <c r="L19" i="39"/>
  <c r="V31" i="39"/>
  <c r="V47" i="39"/>
  <c r="AA30" i="39"/>
  <c r="L46" i="39"/>
  <c r="L43" i="39"/>
  <c r="L48" i="39"/>
  <c r="L47" i="39"/>
  <c r="L42" i="39"/>
  <c r="S51" i="39"/>
  <c r="AD51" i="39"/>
  <c r="S50" i="39"/>
  <c r="O50" i="39"/>
  <c r="AC51" i="39"/>
  <c r="U51" i="39"/>
  <c r="Q51" i="39"/>
  <c r="AD50" i="39"/>
  <c r="Z50" i="39"/>
  <c r="R50" i="39"/>
  <c r="S49" i="39"/>
  <c r="O49" i="39"/>
  <c r="AC47" i="39"/>
  <c r="U47" i="39"/>
  <c r="Q47" i="39"/>
  <c r="AD46" i="39"/>
  <c r="Z46" i="39"/>
  <c r="R46" i="39"/>
  <c r="S45" i="39"/>
  <c r="O45" i="39"/>
  <c r="AC43" i="39"/>
  <c r="U43" i="39"/>
  <c r="Q43" i="39"/>
  <c r="AD42" i="39"/>
  <c r="R42" i="39"/>
  <c r="X40" i="39"/>
  <c r="Z40" i="39"/>
  <c r="L36" i="39"/>
  <c r="O51" i="39"/>
  <c r="Y49" i="39"/>
  <c r="Y45" i="39"/>
  <c r="W43" i="39"/>
  <c r="X42" i="39"/>
  <c r="R51" i="39"/>
  <c r="AD47" i="39"/>
  <c r="R47" i="39"/>
  <c r="W46" i="39"/>
  <c r="Y44" i="39"/>
  <c r="AA42" i="39"/>
  <c r="W42" i="39"/>
  <c r="Y41" i="39"/>
  <c r="L37" i="39"/>
  <c r="AD39" i="39"/>
  <c r="R39" i="39"/>
  <c r="W38" i="39"/>
  <c r="V37" i="39"/>
  <c r="W36" i="39"/>
  <c r="Y36" i="39"/>
  <c r="Q36" i="39"/>
  <c r="U36" i="39"/>
  <c r="AC36" i="39"/>
  <c r="AC39" i="39"/>
  <c r="U39" i="39"/>
  <c r="Q39" i="39"/>
  <c r="Z38" i="39"/>
  <c r="X37" i="39"/>
  <c r="V36" i="39"/>
  <c r="Z35" i="39"/>
  <c r="V35" i="39"/>
  <c r="W34" i="39"/>
  <c r="S39" i="39"/>
  <c r="O39" i="39"/>
  <c r="R35" i="39"/>
  <c r="AD35" i="39"/>
  <c r="R34" i="39"/>
  <c r="AD34" i="39"/>
  <c r="O34" i="39"/>
  <c r="S34" i="39"/>
  <c r="X33" i="39"/>
  <c r="L32" i="39"/>
  <c r="Y29" i="39"/>
  <c r="Z28" i="39"/>
  <c r="L15" i="39"/>
  <c r="P6" i="39"/>
  <c r="L29" i="39"/>
  <c r="W27" i="39"/>
  <c r="L24" i="39"/>
  <c r="AC32" i="39"/>
  <c r="Y32" i="39"/>
  <c r="U32" i="39"/>
  <c r="Q32" i="39"/>
  <c r="AD31" i="39"/>
  <c r="Z31" i="39"/>
  <c r="R31" i="39"/>
  <c r="Q27" i="39"/>
  <c r="U27" i="39"/>
  <c r="AC27" i="39"/>
  <c r="R27" i="39"/>
  <c r="AD27" i="39"/>
  <c r="O27" i="39"/>
  <c r="S27" i="39"/>
  <c r="Z26" i="39"/>
  <c r="Z25" i="39"/>
  <c r="V25" i="39"/>
  <c r="X22" i="39"/>
  <c r="L22" i="39"/>
  <c r="L21" i="39"/>
  <c r="W30" i="39"/>
  <c r="X28" i="39"/>
  <c r="AA27" i="39"/>
  <c r="X26" i="39"/>
  <c r="V24" i="39"/>
  <c r="Q23" i="39"/>
  <c r="U23" i="39"/>
  <c r="AC23" i="39"/>
  <c r="R23" i="39"/>
  <c r="AD23" i="39"/>
  <c r="O23" i="39"/>
  <c r="S23" i="39"/>
  <c r="AA19" i="39"/>
  <c r="S30" i="39"/>
  <c r="O30" i="39"/>
  <c r="W26" i="39"/>
  <c r="Y25" i="39"/>
  <c r="X25" i="39"/>
  <c r="P23" i="39"/>
  <c r="Z23" i="39"/>
  <c r="Y21" i="39"/>
  <c r="W19" i="39"/>
  <c r="L16" i="39"/>
  <c r="AD30" i="39"/>
  <c r="R30" i="39"/>
  <c r="AA29" i="39"/>
  <c r="W29" i="39"/>
  <c r="V23" i="39"/>
  <c r="AD24" i="39"/>
  <c r="R24" i="39"/>
  <c r="Q19" i="39"/>
  <c r="U19" i="39"/>
  <c r="AC19" i="39"/>
  <c r="R19" i="39"/>
  <c r="AD19" i="39"/>
  <c r="X17" i="39"/>
  <c r="Z15" i="39"/>
  <c r="V15" i="39"/>
  <c r="AC24" i="39"/>
  <c r="U24" i="39"/>
  <c r="Q24" i="39"/>
  <c r="Y20" i="39"/>
  <c r="W18" i="39"/>
  <c r="R18" i="39"/>
  <c r="AD18" i="39"/>
  <c r="O18" i="39"/>
  <c r="S18" i="39"/>
  <c r="T9" i="39"/>
  <c r="X20" i="39"/>
  <c r="V19" i="39"/>
  <c r="Y16" i="39"/>
  <c r="X15" i="39"/>
  <c r="S11" i="39"/>
  <c r="P13" i="39"/>
  <c r="R12" i="39"/>
  <c r="P14" i="39"/>
  <c r="P11" i="39"/>
  <c r="R10" i="39"/>
  <c r="P7" i="39"/>
  <c r="O7" i="39"/>
  <c r="Z18" i="39" l="1"/>
  <c r="Z30" i="39"/>
  <c r="Z27" i="39"/>
  <c r="T10" i="39"/>
  <c r="O11" i="39"/>
  <c r="Y47" i="39"/>
  <c r="AA15" i="39"/>
  <c r="Z42" i="39"/>
  <c r="V16" i="39"/>
  <c r="V21" i="39"/>
  <c r="AA33" i="39"/>
  <c r="X38" i="39"/>
  <c r="AA41" i="39"/>
  <c r="Z44" i="39"/>
  <c r="AA46" i="39"/>
  <c r="S8" i="39"/>
  <c r="Q11" i="39"/>
  <c r="AA35" i="39"/>
  <c r="V41" i="39"/>
  <c r="Z16" i="39"/>
  <c r="V20" i="39"/>
  <c r="Z21" i="39"/>
  <c r="Y28" i="39"/>
  <c r="O13" i="39"/>
  <c r="AB13" i="39" s="1"/>
  <c r="S14" i="39"/>
  <c r="V18" i="39"/>
  <c r="AA9" i="39"/>
  <c r="Q10" i="39"/>
  <c r="R14" i="39"/>
  <c r="W24" i="39"/>
  <c r="Z19" i="39"/>
  <c r="X29" i="39"/>
  <c r="X30" i="39"/>
  <c r="W33" i="39"/>
  <c r="W47" i="39"/>
  <c r="X50" i="39"/>
  <c r="W20" i="39"/>
  <c r="AA20" i="39"/>
  <c r="AA21" i="39"/>
  <c r="AA22" i="39"/>
  <c r="W48" i="39"/>
  <c r="AA37" i="39"/>
  <c r="AA44" i="39"/>
  <c r="W51" i="39"/>
  <c r="X16" i="39"/>
  <c r="V28" i="39"/>
  <c r="X31" i="39"/>
  <c r="Y37" i="39"/>
  <c r="AA45" i="39"/>
  <c r="V46" i="39"/>
  <c r="X44" i="39"/>
  <c r="X21" i="39"/>
  <c r="V22" i="39"/>
  <c r="AA51" i="39"/>
  <c r="AA38" i="39"/>
  <c r="Z41" i="39"/>
  <c r="AA50" i="39"/>
  <c r="Z20" i="39"/>
  <c r="W35" i="39"/>
  <c r="AA36" i="39"/>
  <c r="Z47" i="39"/>
  <c r="W15" i="39"/>
  <c r="AA23" i="39"/>
  <c r="O14" i="39"/>
  <c r="AB14" i="39" s="1"/>
  <c r="AA16" i="39"/>
  <c r="L41" i="39"/>
  <c r="W45" i="39"/>
  <c r="X45" i="39"/>
  <c r="Z36" i="39"/>
  <c r="AA48" i="39"/>
  <c r="X18" i="39"/>
  <c r="W41" i="39"/>
  <c r="V44" i="39"/>
  <c r="X48" i="39"/>
  <c r="R9" i="39"/>
  <c r="S10" i="39"/>
  <c r="Q14" i="39"/>
  <c r="P10" i="39"/>
  <c r="AA32" i="39"/>
  <c r="Y38" i="39"/>
  <c r="AA18" i="39"/>
  <c r="W21" i="39"/>
  <c r="Z22" i="39"/>
  <c r="Y22" i="39"/>
  <c r="W25" i="39"/>
  <c r="L31" i="39"/>
  <c r="Z37" i="39"/>
  <c r="V38" i="39"/>
  <c r="W44" i="39"/>
  <c r="Q8" i="39"/>
  <c r="T12" i="39"/>
  <c r="V11" i="39"/>
  <c r="W10" i="39"/>
  <c r="R6" i="39"/>
  <c r="W13" i="39"/>
  <c r="Z8" i="39"/>
  <c r="Z11" i="39"/>
  <c r="P8" i="39"/>
  <c r="AB7" i="39"/>
  <c r="V7" i="39"/>
  <c r="Q7" i="39"/>
  <c r="P9" i="39"/>
  <c r="R7" i="39"/>
  <c r="V13" i="39"/>
  <c r="W14" i="39"/>
  <c r="S12" i="39"/>
  <c r="Q13" i="39"/>
  <c r="Y24" i="39"/>
  <c r="Y23" i="39"/>
  <c r="W23" i="39"/>
  <c r="V27" i="39"/>
  <c r="Y35" i="39"/>
  <c r="X36" i="39"/>
  <c r="L44" i="39"/>
  <c r="V39" i="39"/>
  <c r="V49" i="39"/>
  <c r="Z51" i="39"/>
  <c r="V51" i="39"/>
  <c r="T7" i="39"/>
  <c r="Q6" i="39"/>
  <c r="Y10" i="39"/>
  <c r="Q9" i="39"/>
  <c r="O12" i="39"/>
  <c r="T14" i="39"/>
  <c r="T13" i="39"/>
  <c r="Y18" i="39"/>
  <c r="AA10" i="39"/>
  <c r="Y31" i="39"/>
  <c r="Z39" i="39"/>
  <c r="X39" i="39"/>
  <c r="Y39" i="39"/>
  <c r="X43" i="39"/>
  <c r="V45" i="39"/>
  <c r="Z49" i="39"/>
  <c r="T6" i="39"/>
  <c r="O6" i="39"/>
  <c r="S6" i="39"/>
  <c r="T8" i="39"/>
  <c r="W11" i="39"/>
  <c r="Q12" i="39"/>
  <c r="R13" i="39"/>
  <c r="Y12" i="39"/>
  <c r="P12" i="39"/>
  <c r="O10" i="39"/>
  <c r="X24" i="39"/>
  <c r="X19" i="39"/>
  <c r="T11" i="39"/>
  <c r="Y30" i="39"/>
  <c r="L27" i="39"/>
  <c r="X27" i="39"/>
  <c r="L51" i="39"/>
  <c r="L40" i="39"/>
  <c r="Z45" i="39"/>
  <c r="Y50" i="39"/>
  <c r="X51" i="39"/>
  <c r="Y51" i="39"/>
  <c r="S7" i="39"/>
  <c r="O9" i="39"/>
  <c r="W7" i="39"/>
  <c r="O8" i="39"/>
  <c r="R8" i="39"/>
  <c r="S9" i="39"/>
  <c r="X10" i="39"/>
  <c r="S13" i="39"/>
  <c r="R11" i="39"/>
  <c r="Y19" i="39"/>
  <c r="V14" i="39"/>
  <c r="L23" i="39"/>
  <c r="X23" i="39"/>
  <c r="L28" i="39"/>
  <c r="Y27" i="39"/>
  <c r="X32" i="39"/>
  <c r="V30" i="39"/>
  <c r="Y34" i="39"/>
  <c r="L39" i="39"/>
  <c r="Z34" i="39"/>
  <c r="V34" i="39"/>
  <c r="Y42" i="39"/>
  <c r="Y46" i="39"/>
  <c r="X47" i="39"/>
  <c r="V50" i="39"/>
  <c r="L38" i="39" l="1"/>
  <c r="L25" i="39"/>
  <c r="Y14" i="39"/>
  <c r="X11" i="39"/>
  <c r="AA12" i="39"/>
  <c r="L20" i="39"/>
  <c r="X14" i="39"/>
  <c r="AB11" i="39"/>
  <c r="AB12" i="39"/>
  <c r="V12" i="39"/>
  <c r="U12" i="39"/>
  <c r="Y7" i="39"/>
  <c r="Z10" i="39"/>
  <c r="AC10" i="39"/>
  <c r="U10" i="39"/>
  <c r="AB10" i="39"/>
  <c r="V10" i="39"/>
  <c r="Y13" i="39"/>
  <c r="AA13" i="39"/>
  <c r="X13" i="39"/>
  <c r="U13" i="39"/>
  <c r="AC13" i="39"/>
  <c r="AA14" i="39"/>
  <c r="Z14" i="39"/>
  <c r="AC14" i="39"/>
  <c r="U14" i="39"/>
  <c r="Y9" i="39"/>
  <c r="Y11" i="39"/>
  <c r="U11" i="39"/>
  <c r="AC11" i="39"/>
  <c r="X7" i="39"/>
  <c r="AC7" i="39"/>
  <c r="U7" i="39"/>
  <c r="AB8" i="39"/>
  <c r="U8" i="39"/>
  <c r="V8" i="39"/>
  <c r="L50" i="39"/>
  <c r="L18" i="39"/>
  <c r="Z13" i="39"/>
  <c r="Y8" i="39"/>
  <c r="Z7" i="39"/>
  <c r="L34" i="39"/>
  <c r="W8" i="39"/>
  <c r="AC8" i="39"/>
  <c r="L49" i="39"/>
  <c r="U9" i="39"/>
  <c r="AB9" i="39"/>
  <c r="V9" i="39"/>
  <c r="L30" i="39"/>
  <c r="Z9" i="39"/>
  <c r="AA11" i="39"/>
  <c r="AC12" i="39"/>
  <c r="W12" i="39"/>
  <c r="X12" i="39"/>
  <c r="AA8" i="39"/>
  <c r="X9" i="39"/>
  <c r="X8" i="39"/>
  <c r="AA7" i="39"/>
  <c r="L45" i="39"/>
  <c r="Z12" i="39"/>
  <c r="AC9" i="39"/>
  <c r="W9" i="39"/>
  <c r="AJ7" i="39" l="1"/>
  <c r="AJ14" i="39"/>
  <c r="AD14" i="39"/>
  <c r="AD7" i="39"/>
  <c r="AJ13" i="39"/>
  <c r="AD13" i="39"/>
  <c r="AJ12" i="39"/>
  <c r="AD12" i="39"/>
  <c r="AD9" i="39"/>
  <c r="AJ9" i="39"/>
  <c r="AJ8" i="39"/>
  <c r="AD8" i="39"/>
  <c r="AD11" i="39"/>
  <c r="AJ11" i="39"/>
  <c r="AD10" i="39"/>
  <c r="AJ10" i="39"/>
  <c r="L14" i="39" l="1"/>
  <c r="L11" i="39"/>
  <c r="L8" i="39"/>
  <c r="L13" i="39"/>
  <c r="L9" i="39"/>
  <c r="L12" i="39"/>
  <c r="L7" i="39"/>
  <c r="L10" i="39" l="1"/>
  <c r="DS51" i="13" l="1"/>
  <c r="DL51" i="13"/>
  <c r="DN51" i="13" s="1"/>
  <c r="DK51" i="13"/>
  <c r="DM51" i="13" s="1"/>
  <c r="DI51" i="13"/>
  <c r="DJ51" i="13" s="1"/>
  <c r="DF51" i="13"/>
  <c r="DH51" i="13" s="1"/>
  <c r="DE51" i="13"/>
  <c r="DG51" i="13" s="1"/>
  <c r="DC51" i="13"/>
  <c r="DD51" i="13" s="1"/>
  <c r="CZ51" i="13"/>
  <c r="CT51" i="13"/>
  <c r="CS51" i="13"/>
  <c r="CU51" i="13" s="1"/>
  <c r="CR51" i="13"/>
  <c r="CP51" i="13"/>
  <c r="CQ51" i="13" s="1"/>
  <c r="CM51" i="13"/>
  <c r="CO51" i="13" s="1"/>
  <c r="CL51" i="13"/>
  <c r="CN51" i="13" s="1"/>
  <c r="CJ51" i="13"/>
  <c r="CK51" i="13" s="1"/>
  <c r="CG51" i="13"/>
  <c r="BZ51" i="13"/>
  <c r="CB51" i="13" s="1"/>
  <c r="BY51" i="13"/>
  <c r="CA51" i="13" s="1"/>
  <c r="BW51" i="13"/>
  <c r="BX51" i="13" s="1"/>
  <c r="BV51" i="13"/>
  <c r="BT51" i="13"/>
  <c r="BS51" i="13"/>
  <c r="BU51" i="13" s="1"/>
  <c r="BR51" i="13"/>
  <c r="BQ51" i="13"/>
  <c r="BN51" i="13"/>
  <c r="BG51" i="13"/>
  <c r="BI51" i="13" s="1"/>
  <c r="BF51" i="13"/>
  <c r="BH51" i="13" s="1"/>
  <c r="BD51" i="13"/>
  <c r="BE51" i="13" s="1"/>
  <c r="BA51" i="13"/>
  <c r="BC51" i="13" s="1"/>
  <c r="BK51" i="13" s="1"/>
  <c r="AZ51" i="13"/>
  <c r="BB51" i="13" s="1"/>
  <c r="AX51" i="13"/>
  <c r="AY51" i="13" s="1"/>
  <c r="AV51" i="13"/>
  <c r="AW51" i="13" s="1"/>
  <c r="AU51" i="13"/>
  <c r="AR51" i="13"/>
  <c r="AO51" i="13"/>
  <c r="AN51" i="13"/>
  <c r="AM51" i="13"/>
  <c r="AP51" i="13" s="1"/>
  <c r="AH51" i="13"/>
  <c r="AI51" i="13" s="1"/>
  <c r="AK51" i="13" s="1"/>
  <c r="AF51" i="13"/>
  <c r="AG51" i="13" s="1"/>
  <c r="AD51" i="13"/>
  <c r="AE51" i="13" s="1"/>
  <c r="AJ51" i="13" s="1"/>
  <c r="AA51" i="13"/>
  <c r="W51" i="13"/>
  <c r="X51" i="13" s="1"/>
  <c r="U51" i="13"/>
  <c r="T51" i="13"/>
  <c r="S51" i="13"/>
  <c r="R51" i="13"/>
  <c r="P51" i="13"/>
  <c r="Q51" i="13" s="1"/>
  <c r="N51" i="13"/>
  <c r="O51" i="13" s="1"/>
  <c r="L51" i="13"/>
  <c r="M51" i="13" s="1"/>
  <c r="DS50" i="13"/>
  <c r="DL50" i="13"/>
  <c r="DN50" i="13" s="1"/>
  <c r="DK50" i="13"/>
  <c r="DM50" i="13" s="1"/>
  <c r="DI50" i="13"/>
  <c r="DJ50" i="13" s="1"/>
  <c r="DH50" i="13"/>
  <c r="DF50" i="13"/>
  <c r="DE50" i="13"/>
  <c r="DG50" i="13" s="1"/>
  <c r="DC50" i="13"/>
  <c r="DD50" i="13" s="1"/>
  <c r="CZ50" i="13"/>
  <c r="CS50" i="13"/>
  <c r="CU50" i="13" s="1"/>
  <c r="CR50" i="13"/>
  <c r="CT50" i="13" s="1"/>
  <c r="CP50" i="13"/>
  <c r="CQ50" i="13" s="1"/>
  <c r="CM50" i="13"/>
  <c r="CO50" i="13" s="1"/>
  <c r="CW50" i="13" s="1"/>
  <c r="CL50" i="13"/>
  <c r="CN50" i="13" s="1"/>
  <c r="CJ50" i="13"/>
  <c r="CK50" i="13" s="1"/>
  <c r="CG50" i="13"/>
  <c r="BZ50" i="13"/>
  <c r="CB50" i="13" s="1"/>
  <c r="BY50" i="13"/>
  <c r="CA50" i="13" s="1"/>
  <c r="BW50" i="13"/>
  <c r="BX50" i="13" s="1"/>
  <c r="BT50" i="13"/>
  <c r="BV50" i="13" s="1"/>
  <c r="BS50" i="13"/>
  <c r="BU50" i="13" s="1"/>
  <c r="BR50" i="13"/>
  <c r="BQ50" i="13"/>
  <c r="BN50" i="13"/>
  <c r="BG50" i="13"/>
  <c r="BI50" i="13" s="1"/>
  <c r="BF50" i="13"/>
  <c r="BH50" i="13" s="1"/>
  <c r="BD50" i="13"/>
  <c r="BE50" i="13" s="1"/>
  <c r="BA50" i="13"/>
  <c r="BC50" i="13" s="1"/>
  <c r="AZ50" i="13"/>
  <c r="BB50" i="13" s="1"/>
  <c r="AX50" i="13"/>
  <c r="AY50" i="13" s="1"/>
  <c r="AV50" i="13"/>
  <c r="AW50" i="13" s="1"/>
  <c r="AU50" i="13"/>
  <c r="AR50" i="13"/>
  <c r="AO50" i="13"/>
  <c r="AN50" i="13"/>
  <c r="AM50" i="13"/>
  <c r="AH50" i="13"/>
  <c r="AI50" i="13" s="1"/>
  <c r="AK50" i="13" s="1"/>
  <c r="AF50" i="13"/>
  <c r="AG50" i="13" s="1"/>
  <c r="AD50" i="13"/>
  <c r="AE50" i="13" s="1"/>
  <c r="AJ50" i="13" s="1"/>
  <c r="AA50" i="13"/>
  <c r="W50" i="13"/>
  <c r="X50" i="13" s="1"/>
  <c r="U50" i="13"/>
  <c r="T50" i="13"/>
  <c r="S50" i="13"/>
  <c r="R50" i="13"/>
  <c r="P50" i="13"/>
  <c r="Q50" i="13" s="1"/>
  <c r="N50" i="13"/>
  <c r="O50" i="13" s="1"/>
  <c r="L50" i="13"/>
  <c r="DS49" i="13"/>
  <c r="DL49" i="13"/>
  <c r="DN49" i="13" s="1"/>
  <c r="DK49" i="13"/>
  <c r="DM49" i="13" s="1"/>
  <c r="DI49" i="13"/>
  <c r="DJ49" i="13" s="1"/>
  <c r="DF49" i="13"/>
  <c r="DH49" i="13" s="1"/>
  <c r="DE49" i="13"/>
  <c r="DG49" i="13" s="1"/>
  <c r="DD49" i="13"/>
  <c r="DC49" i="13"/>
  <c r="CZ49" i="13"/>
  <c r="CT49" i="13"/>
  <c r="CS49" i="13"/>
  <c r="CU49" i="13" s="1"/>
  <c r="CR49" i="13"/>
  <c r="CP49" i="13"/>
  <c r="CQ49" i="13" s="1"/>
  <c r="CM49" i="13"/>
  <c r="CO49" i="13" s="1"/>
  <c r="CL49" i="13"/>
  <c r="CN49" i="13" s="1"/>
  <c r="CJ49" i="13"/>
  <c r="CK49" i="13" s="1"/>
  <c r="CG49" i="13"/>
  <c r="BZ49" i="13"/>
  <c r="CB49" i="13" s="1"/>
  <c r="BY49" i="13"/>
  <c r="CA49" i="13" s="1"/>
  <c r="BX49" i="13"/>
  <c r="BW49" i="13"/>
  <c r="BT49" i="13"/>
  <c r="BV49" i="13" s="1"/>
  <c r="CD49" i="13" s="1"/>
  <c r="BS49" i="13"/>
  <c r="BU49" i="13" s="1"/>
  <c r="BR49" i="13"/>
  <c r="BQ49" i="13"/>
  <c r="BN49" i="13"/>
  <c r="BG49" i="13"/>
  <c r="BI49" i="13" s="1"/>
  <c r="BF49" i="13"/>
  <c r="BH49" i="13" s="1"/>
  <c r="BD49" i="13"/>
  <c r="BE49" i="13" s="1"/>
  <c r="BA49" i="13"/>
  <c r="BC49" i="13" s="1"/>
  <c r="AZ49" i="13"/>
  <c r="BB49" i="13" s="1"/>
  <c r="AX49" i="13"/>
  <c r="AY49" i="13" s="1"/>
  <c r="AU49" i="13"/>
  <c r="AV49" i="13" s="1"/>
  <c r="AW49" i="13" s="1"/>
  <c r="AR49" i="13"/>
  <c r="AO49" i="13"/>
  <c r="AN49" i="13"/>
  <c r="AM49" i="13"/>
  <c r="AP49" i="13" s="1"/>
  <c r="AH49" i="13"/>
  <c r="AI49" i="13" s="1"/>
  <c r="AK49" i="13" s="1"/>
  <c r="AF49" i="13"/>
  <c r="AG49" i="13" s="1"/>
  <c r="AD49" i="13"/>
  <c r="AE49" i="13" s="1"/>
  <c r="AJ49" i="13" s="1"/>
  <c r="AA49" i="13"/>
  <c r="W49" i="13"/>
  <c r="X49" i="13" s="1"/>
  <c r="U49" i="13"/>
  <c r="T49" i="13"/>
  <c r="S49" i="13"/>
  <c r="R49" i="13"/>
  <c r="P49" i="13"/>
  <c r="Q49" i="13" s="1"/>
  <c r="N49" i="13"/>
  <c r="L49" i="13"/>
  <c r="M49" i="13" s="1"/>
  <c r="DS48" i="13"/>
  <c r="DL48" i="13"/>
  <c r="DN48" i="13" s="1"/>
  <c r="DK48" i="13"/>
  <c r="DM48" i="13" s="1"/>
  <c r="DI48" i="13"/>
  <c r="DJ48" i="13" s="1"/>
  <c r="DH48" i="13"/>
  <c r="DF48" i="13"/>
  <c r="DE48" i="13"/>
  <c r="DG48" i="13" s="1"/>
  <c r="DC48" i="13"/>
  <c r="DD48" i="13" s="1"/>
  <c r="CZ48" i="13"/>
  <c r="CS48" i="13"/>
  <c r="CU48" i="13" s="1"/>
  <c r="CR48" i="13"/>
  <c r="CT48" i="13" s="1"/>
  <c r="CP48" i="13"/>
  <c r="CQ48" i="13" s="1"/>
  <c r="CM48" i="13"/>
  <c r="CO48" i="13" s="1"/>
  <c r="CL48" i="13"/>
  <c r="CN48" i="13" s="1"/>
  <c r="CJ48" i="13"/>
  <c r="CK48" i="13" s="1"/>
  <c r="CG48" i="13"/>
  <c r="BZ48" i="13"/>
  <c r="CB48" i="13" s="1"/>
  <c r="BY48" i="13"/>
  <c r="CA48" i="13" s="1"/>
  <c r="BW48" i="13"/>
  <c r="BX48" i="13" s="1"/>
  <c r="BT48" i="13"/>
  <c r="BV48" i="13" s="1"/>
  <c r="BS48" i="13"/>
  <c r="BU48" i="13" s="1"/>
  <c r="BQ48" i="13"/>
  <c r="BR48" i="13" s="1"/>
  <c r="BN48" i="13"/>
  <c r="BG48" i="13"/>
  <c r="BI48" i="13" s="1"/>
  <c r="BF48" i="13"/>
  <c r="BH48" i="13" s="1"/>
  <c r="BD48" i="13"/>
  <c r="BE48" i="13" s="1"/>
  <c r="BA48" i="13"/>
  <c r="BC48" i="13" s="1"/>
  <c r="AZ48" i="13"/>
  <c r="BB48" i="13" s="1"/>
  <c r="AX48" i="13"/>
  <c r="AY48" i="13" s="1"/>
  <c r="AV48" i="13"/>
  <c r="AW48" i="13" s="1"/>
  <c r="AU48" i="13"/>
  <c r="AR48" i="13"/>
  <c r="AO48" i="13"/>
  <c r="AN48" i="13"/>
  <c r="AP48" i="13" s="1"/>
  <c r="AM48" i="13"/>
  <c r="AH48" i="13"/>
  <c r="AI48" i="13" s="1"/>
  <c r="AK48" i="13" s="1"/>
  <c r="AF48" i="13"/>
  <c r="AG48" i="13" s="1"/>
  <c r="AD48" i="13"/>
  <c r="AE48" i="13" s="1"/>
  <c r="AJ48" i="13" s="1"/>
  <c r="AA48" i="13"/>
  <c r="W48" i="13"/>
  <c r="X48" i="13" s="1"/>
  <c r="U48" i="13"/>
  <c r="T48" i="13"/>
  <c r="S48" i="13"/>
  <c r="R48" i="13"/>
  <c r="P48" i="13"/>
  <c r="Q48" i="13" s="1"/>
  <c r="N48" i="13"/>
  <c r="O48" i="13" s="1"/>
  <c r="L48" i="13"/>
  <c r="M48" i="13" s="1"/>
  <c r="DS47" i="13"/>
  <c r="DL47" i="13"/>
  <c r="DN47" i="13" s="1"/>
  <c r="DK47" i="13"/>
  <c r="DM47" i="13" s="1"/>
  <c r="DI47" i="13"/>
  <c r="DJ47" i="13" s="1"/>
  <c r="DF47" i="13"/>
  <c r="DH47" i="13" s="1"/>
  <c r="DP47" i="13" s="1"/>
  <c r="DE47" i="13"/>
  <c r="DG47" i="13" s="1"/>
  <c r="DD47" i="13"/>
  <c r="DC47" i="13"/>
  <c r="CZ47" i="13"/>
  <c r="CU47" i="13"/>
  <c r="CS47" i="13"/>
  <c r="CR47" i="13"/>
  <c r="CT47" i="13" s="1"/>
  <c r="CP47" i="13"/>
  <c r="CQ47" i="13" s="1"/>
  <c r="CM47" i="13"/>
  <c r="CO47" i="13" s="1"/>
  <c r="CL47" i="13"/>
  <c r="CN47" i="13" s="1"/>
  <c r="CJ47" i="13"/>
  <c r="CK47" i="13" s="1"/>
  <c r="CG47" i="13"/>
  <c r="CB47" i="13"/>
  <c r="BZ47" i="13"/>
  <c r="BY47" i="13"/>
  <c r="CA47" i="13" s="1"/>
  <c r="BW47" i="13"/>
  <c r="BX47" i="13" s="1"/>
  <c r="BV47" i="13"/>
  <c r="BT47" i="13"/>
  <c r="BS47" i="13"/>
  <c r="BU47" i="13" s="1"/>
  <c r="BR47" i="13"/>
  <c r="BQ47" i="13"/>
  <c r="BN47" i="13"/>
  <c r="BG47" i="13"/>
  <c r="BI47" i="13" s="1"/>
  <c r="BF47" i="13"/>
  <c r="BH47" i="13" s="1"/>
  <c r="BD47" i="13"/>
  <c r="BE47" i="13" s="1"/>
  <c r="BC47" i="13"/>
  <c r="BA47" i="13"/>
  <c r="AZ47" i="13"/>
  <c r="BB47" i="13" s="1"/>
  <c r="AX47" i="13"/>
  <c r="AY47" i="13" s="1"/>
  <c r="AU47" i="13"/>
  <c r="AV47" i="13" s="1"/>
  <c r="AW47" i="13" s="1"/>
  <c r="AR47" i="13"/>
  <c r="AO47" i="13"/>
  <c r="AN47" i="13"/>
  <c r="AM47" i="13"/>
  <c r="AI47" i="13"/>
  <c r="AK47" i="13" s="1"/>
  <c r="AH47" i="13"/>
  <c r="AG47" i="13"/>
  <c r="AF47" i="13"/>
  <c r="AE47" i="13"/>
  <c r="AJ47" i="13" s="1"/>
  <c r="AD47" i="13"/>
  <c r="AA47" i="13"/>
  <c r="W47" i="13"/>
  <c r="X47" i="13" s="1"/>
  <c r="U47" i="13"/>
  <c r="T47" i="13"/>
  <c r="S47" i="13"/>
  <c r="R47" i="13"/>
  <c r="P47" i="13"/>
  <c r="Q47" i="13" s="1"/>
  <c r="N47" i="13"/>
  <c r="O47" i="13" s="1"/>
  <c r="L47" i="13"/>
  <c r="M47" i="13" s="1"/>
  <c r="DS46" i="13"/>
  <c r="DL46" i="13"/>
  <c r="DN46" i="13" s="1"/>
  <c r="DK46" i="13"/>
  <c r="DM46" i="13" s="1"/>
  <c r="DI46" i="13"/>
  <c r="DJ46" i="13" s="1"/>
  <c r="DH46" i="13"/>
  <c r="DF46" i="13"/>
  <c r="DE46" i="13"/>
  <c r="DG46" i="13" s="1"/>
  <c r="DC46" i="13"/>
  <c r="DD46" i="13" s="1"/>
  <c r="CZ46" i="13"/>
  <c r="CS46" i="13"/>
  <c r="CU46" i="13" s="1"/>
  <c r="CR46" i="13"/>
  <c r="CT46" i="13" s="1"/>
  <c r="CP46" i="13"/>
  <c r="CQ46" i="13" s="1"/>
  <c r="CN46" i="13"/>
  <c r="CM46" i="13"/>
  <c r="CO46" i="13" s="1"/>
  <c r="CL46" i="13"/>
  <c r="CK46" i="13"/>
  <c r="CJ46" i="13"/>
  <c r="CG46" i="13"/>
  <c r="CB46" i="13"/>
  <c r="BZ46" i="13"/>
  <c r="BY46" i="13"/>
  <c r="CA46" i="13" s="1"/>
  <c r="BW46" i="13"/>
  <c r="BX46" i="13" s="1"/>
  <c r="BT46" i="13"/>
  <c r="BV46" i="13" s="1"/>
  <c r="BS46" i="13"/>
  <c r="BU46" i="13" s="1"/>
  <c r="BQ46" i="13"/>
  <c r="BR46" i="13" s="1"/>
  <c r="BN46" i="13"/>
  <c r="BH46" i="13"/>
  <c r="BG46" i="13"/>
  <c r="BI46" i="13" s="1"/>
  <c r="BF46" i="13"/>
  <c r="BE46" i="13"/>
  <c r="BD46" i="13"/>
  <c r="BA46" i="13"/>
  <c r="BC46" i="13" s="1"/>
  <c r="AZ46" i="13"/>
  <c r="BB46" i="13" s="1"/>
  <c r="AY46" i="13"/>
  <c r="AX46" i="13"/>
  <c r="AU46" i="13"/>
  <c r="AV46" i="13" s="1"/>
  <c r="AW46" i="13" s="1"/>
  <c r="AR46" i="13"/>
  <c r="AO46" i="13"/>
  <c r="AN46" i="13"/>
  <c r="AM46" i="13"/>
  <c r="AI46" i="13"/>
  <c r="AK46" i="13" s="1"/>
  <c r="AH46" i="13"/>
  <c r="AF46" i="13"/>
  <c r="AG46" i="13" s="1"/>
  <c r="AD46" i="13"/>
  <c r="AE46" i="13" s="1"/>
  <c r="AJ46" i="13" s="1"/>
  <c r="AA46" i="13"/>
  <c r="W46" i="13"/>
  <c r="X46" i="13" s="1"/>
  <c r="U46" i="13"/>
  <c r="T46" i="13"/>
  <c r="S46" i="13"/>
  <c r="R46" i="13"/>
  <c r="P46" i="13"/>
  <c r="Q46" i="13" s="1"/>
  <c r="N46" i="13"/>
  <c r="O46" i="13" s="1"/>
  <c r="L46" i="13"/>
  <c r="M46" i="13" s="1"/>
  <c r="DS45" i="13"/>
  <c r="DN45" i="13"/>
  <c r="DL45" i="13"/>
  <c r="DK45" i="13"/>
  <c r="DM45" i="13" s="1"/>
  <c r="DI45" i="13"/>
  <c r="DJ45" i="13" s="1"/>
  <c r="DF45" i="13"/>
  <c r="DH45" i="13" s="1"/>
  <c r="DE45" i="13"/>
  <c r="DG45" i="13" s="1"/>
  <c r="DC45" i="13"/>
  <c r="DD45" i="13" s="1"/>
  <c r="CZ45" i="13"/>
  <c r="CS45" i="13"/>
  <c r="CU45" i="13" s="1"/>
  <c r="CR45" i="13"/>
  <c r="CT45" i="13" s="1"/>
  <c r="CQ45" i="13"/>
  <c r="CP45" i="13"/>
  <c r="CM45" i="13"/>
  <c r="CO45" i="13" s="1"/>
  <c r="CW45" i="13" s="1"/>
  <c r="CL45" i="13"/>
  <c r="CN45" i="13" s="1"/>
  <c r="CJ45" i="13"/>
  <c r="CK45" i="13" s="1"/>
  <c r="CG45" i="13"/>
  <c r="CA45" i="13"/>
  <c r="BZ45" i="13"/>
  <c r="CB45" i="13" s="1"/>
  <c r="BY45" i="13"/>
  <c r="BW45" i="13"/>
  <c r="BX45" i="13" s="1"/>
  <c r="BV45" i="13"/>
  <c r="BT45" i="13"/>
  <c r="BS45" i="13"/>
  <c r="BU45" i="13" s="1"/>
  <c r="BQ45" i="13"/>
  <c r="BR45" i="13" s="1"/>
  <c r="BN45" i="13"/>
  <c r="BG45" i="13"/>
  <c r="BI45" i="13" s="1"/>
  <c r="BF45" i="13"/>
  <c r="BH45" i="13" s="1"/>
  <c r="BE45" i="13"/>
  <c r="BD45" i="13"/>
  <c r="BA45" i="13"/>
  <c r="BC45" i="13" s="1"/>
  <c r="AZ45" i="13"/>
  <c r="BB45" i="13" s="1"/>
  <c r="AY45" i="13"/>
  <c r="AX45" i="13"/>
  <c r="AU45" i="13"/>
  <c r="AV45" i="13" s="1"/>
  <c r="AW45" i="13" s="1"/>
  <c r="AR45" i="13"/>
  <c r="AO45" i="13"/>
  <c r="AN45" i="13"/>
  <c r="AM45" i="13"/>
  <c r="AP45" i="13" s="1"/>
  <c r="AH45" i="13"/>
  <c r="AI45" i="13" s="1"/>
  <c r="AK45" i="13" s="1"/>
  <c r="AG45" i="13"/>
  <c r="AF45" i="13"/>
  <c r="AE45" i="13"/>
  <c r="AJ45" i="13" s="1"/>
  <c r="AD45" i="13"/>
  <c r="AA45" i="13"/>
  <c r="W45" i="13"/>
  <c r="X45" i="13" s="1"/>
  <c r="U45" i="13"/>
  <c r="T45" i="13"/>
  <c r="S45" i="13"/>
  <c r="R45" i="13"/>
  <c r="P45" i="13"/>
  <c r="Q45" i="13" s="1"/>
  <c r="N45" i="13"/>
  <c r="L45" i="13"/>
  <c r="M45" i="13" s="1"/>
  <c r="DS44" i="13"/>
  <c r="DL44" i="13"/>
  <c r="DN44" i="13" s="1"/>
  <c r="DK44" i="13"/>
  <c r="DM44" i="13" s="1"/>
  <c r="DI44" i="13"/>
  <c r="DJ44" i="13" s="1"/>
  <c r="DF44" i="13"/>
  <c r="DH44" i="13" s="1"/>
  <c r="DE44" i="13"/>
  <c r="DG44" i="13" s="1"/>
  <c r="DC44" i="13"/>
  <c r="DD44" i="13" s="1"/>
  <c r="CZ44" i="13"/>
  <c r="CS44" i="13"/>
  <c r="CU44" i="13" s="1"/>
  <c r="CR44" i="13"/>
  <c r="CT44" i="13" s="1"/>
  <c r="CP44" i="13"/>
  <c r="CQ44" i="13" s="1"/>
  <c r="CM44" i="13"/>
  <c r="CO44" i="13" s="1"/>
  <c r="CL44" i="13"/>
  <c r="CN44" i="13" s="1"/>
  <c r="CJ44" i="13"/>
  <c r="CK44" i="13" s="1"/>
  <c r="CG44" i="13"/>
  <c r="BZ44" i="13"/>
  <c r="CB44" i="13" s="1"/>
  <c r="BY44" i="13"/>
  <c r="CA44" i="13" s="1"/>
  <c r="BW44" i="13"/>
  <c r="BX44" i="13" s="1"/>
  <c r="BT44" i="13"/>
  <c r="BV44" i="13" s="1"/>
  <c r="BS44" i="13"/>
  <c r="BU44" i="13" s="1"/>
  <c r="BQ44" i="13"/>
  <c r="BR44" i="13" s="1"/>
  <c r="BN44" i="13"/>
  <c r="BG44" i="13"/>
  <c r="BI44" i="13" s="1"/>
  <c r="BF44" i="13"/>
  <c r="BH44" i="13" s="1"/>
  <c r="BE44" i="13"/>
  <c r="BD44" i="13"/>
  <c r="BA44" i="13"/>
  <c r="BC44" i="13" s="1"/>
  <c r="BK44" i="13" s="1"/>
  <c r="AZ44" i="13"/>
  <c r="BB44" i="13" s="1"/>
  <c r="AX44" i="13"/>
  <c r="AY44" i="13" s="1"/>
  <c r="AU44" i="13"/>
  <c r="AV44" i="13" s="1"/>
  <c r="AW44" i="13" s="1"/>
  <c r="AR44" i="13"/>
  <c r="AO44" i="13"/>
  <c r="AN44" i="13"/>
  <c r="AM44" i="13"/>
  <c r="AH44" i="13"/>
  <c r="AI44" i="13" s="1"/>
  <c r="AK44" i="13" s="1"/>
  <c r="AF44" i="13"/>
  <c r="AG44" i="13" s="1"/>
  <c r="AE44" i="13"/>
  <c r="AJ44" i="13" s="1"/>
  <c r="AD44" i="13"/>
  <c r="AA44" i="13"/>
  <c r="W44" i="13"/>
  <c r="X44" i="13" s="1"/>
  <c r="U44" i="13"/>
  <c r="T44" i="13"/>
  <c r="S44" i="13"/>
  <c r="R44" i="13"/>
  <c r="P44" i="13"/>
  <c r="Q44" i="13" s="1"/>
  <c r="N44" i="13"/>
  <c r="O44" i="13" s="1"/>
  <c r="L44" i="13"/>
  <c r="M44" i="13" s="1"/>
  <c r="DS43" i="13"/>
  <c r="DM43" i="13"/>
  <c r="DL43" i="13"/>
  <c r="DN43" i="13" s="1"/>
  <c r="DK43" i="13"/>
  <c r="DI43" i="13"/>
  <c r="DJ43" i="13" s="1"/>
  <c r="DF43" i="13"/>
  <c r="DH43" i="13" s="1"/>
  <c r="DE43" i="13"/>
  <c r="DG43" i="13" s="1"/>
  <c r="DC43" i="13"/>
  <c r="DD43" i="13" s="1"/>
  <c r="CZ43" i="13"/>
  <c r="CS43" i="13"/>
  <c r="CU43" i="13" s="1"/>
  <c r="CR43" i="13"/>
  <c r="CT43" i="13" s="1"/>
  <c r="CP43" i="13"/>
  <c r="CQ43" i="13" s="1"/>
  <c r="CM43" i="13"/>
  <c r="CO43" i="13" s="1"/>
  <c r="CL43" i="13"/>
  <c r="CN43" i="13" s="1"/>
  <c r="CJ43" i="13"/>
  <c r="CK43" i="13" s="1"/>
  <c r="CG43" i="13"/>
  <c r="BZ43" i="13"/>
  <c r="CB43" i="13" s="1"/>
  <c r="BY43" i="13"/>
  <c r="CA43" i="13" s="1"/>
  <c r="BW43" i="13"/>
  <c r="BX43" i="13" s="1"/>
  <c r="BT43" i="13"/>
  <c r="BV43" i="13" s="1"/>
  <c r="BS43" i="13"/>
  <c r="BU43" i="13" s="1"/>
  <c r="BQ43" i="13"/>
  <c r="BR43" i="13" s="1"/>
  <c r="BN43" i="13"/>
  <c r="BG43" i="13"/>
  <c r="BI43" i="13" s="1"/>
  <c r="BF43" i="13"/>
  <c r="BH43" i="13" s="1"/>
  <c r="BE43" i="13"/>
  <c r="BD43" i="13"/>
  <c r="BC43" i="13"/>
  <c r="BK43" i="13" s="1"/>
  <c r="BA43" i="13"/>
  <c r="AZ43" i="13"/>
  <c r="BB43" i="13" s="1"/>
  <c r="AY43" i="13"/>
  <c r="AX43" i="13"/>
  <c r="AU43" i="13"/>
  <c r="AV43" i="13" s="1"/>
  <c r="AW43" i="13" s="1"/>
  <c r="AR43" i="13"/>
  <c r="AO43" i="13"/>
  <c r="AN43" i="13"/>
  <c r="AM43" i="13"/>
  <c r="AH43" i="13"/>
  <c r="AI43" i="13" s="1"/>
  <c r="AK43" i="13" s="1"/>
  <c r="AF43" i="13"/>
  <c r="AG43" i="13" s="1"/>
  <c r="AE43" i="13"/>
  <c r="AJ43" i="13" s="1"/>
  <c r="AD43" i="13"/>
  <c r="AA43" i="13"/>
  <c r="W43" i="13"/>
  <c r="X43" i="13" s="1"/>
  <c r="U43" i="13"/>
  <c r="T43" i="13"/>
  <c r="S43" i="13"/>
  <c r="R43" i="13"/>
  <c r="P43" i="13"/>
  <c r="Q43" i="13" s="1"/>
  <c r="N43" i="13"/>
  <c r="O43" i="13" s="1"/>
  <c r="L43" i="13"/>
  <c r="DS42" i="13"/>
  <c r="DN42" i="13"/>
  <c r="DL42" i="13"/>
  <c r="DK42" i="13"/>
  <c r="DM42" i="13" s="1"/>
  <c r="DI42" i="13"/>
  <c r="DJ42" i="13" s="1"/>
  <c r="DF42" i="13"/>
  <c r="DH42" i="13" s="1"/>
  <c r="DE42" i="13"/>
  <c r="DG42" i="13" s="1"/>
  <c r="DC42" i="13"/>
  <c r="DD42" i="13" s="1"/>
  <c r="CZ42" i="13"/>
  <c r="CS42" i="13"/>
  <c r="CU42" i="13" s="1"/>
  <c r="CR42" i="13"/>
  <c r="CT42" i="13" s="1"/>
  <c r="CQ42" i="13"/>
  <c r="CP42" i="13"/>
  <c r="CO42" i="13"/>
  <c r="CW42" i="13" s="1"/>
  <c r="CM42" i="13"/>
  <c r="CL42" i="13"/>
  <c r="CN42" i="13" s="1"/>
  <c r="CK42" i="13"/>
  <c r="CJ42" i="13"/>
  <c r="CG42" i="13"/>
  <c r="BZ42" i="13"/>
  <c r="CB42" i="13" s="1"/>
  <c r="BY42" i="13"/>
  <c r="CA42" i="13" s="1"/>
  <c r="BW42" i="13"/>
  <c r="BX42" i="13" s="1"/>
  <c r="BU42" i="13"/>
  <c r="BT42" i="13"/>
  <c r="BV42" i="13" s="1"/>
  <c r="BS42" i="13"/>
  <c r="BQ42" i="13"/>
  <c r="BR42" i="13" s="1"/>
  <c r="BN42" i="13"/>
  <c r="BG42" i="13"/>
  <c r="BI42" i="13" s="1"/>
  <c r="BF42" i="13"/>
  <c r="BH42" i="13" s="1"/>
  <c r="BE42" i="13"/>
  <c r="BD42" i="13"/>
  <c r="BB42" i="13"/>
  <c r="BA42" i="13"/>
  <c r="BC42" i="13" s="1"/>
  <c r="AZ42" i="13"/>
  <c r="AX42" i="13"/>
  <c r="AY42" i="13" s="1"/>
  <c r="AU42" i="13"/>
  <c r="AV42" i="13" s="1"/>
  <c r="AW42" i="13" s="1"/>
  <c r="AR42" i="13"/>
  <c r="AO42" i="13"/>
  <c r="AN42" i="13"/>
  <c r="AM42" i="13"/>
  <c r="AP42" i="13" s="1"/>
  <c r="AI42" i="13"/>
  <c r="AK42" i="13" s="1"/>
  <c r="AH42" i="13"/>
  <c r="AG42" i="13"/>
  <c r="AF42" i="13"/>
  <c r="AE42" i="13"/>
  <c r="AJ42" i="13" s="1"/>
  <c r="AD42" i="13"/>
  <c r="AA42" i="13"/>
  <c r="W42" i="13"/>
  <c r="X42" i="13" s="1"/>
  <c r="U42" i="13"/>
  <c r="T42" i="13"/>
  <c r="S42" i="13"/>
  <c r="R42" i="13"/>
  <c r="P42" i="13"/>
  <c r="Q42" i="13" s="1"/>
  <c r="N42" i="13"/>
  <c r="L42" i="13"/>
  <c r="M42" i="13" s="1"/>
  <c r="DS41" i="13"/>
  <c r="DL41" i="13"/>
  <c r="DN41" i="13" s="1"/>
  <c r="DK41" i="13"/>
  <c r="DM41" i="13" s="1"/>
  <c r="DI41" i="13"/>
  <c r="DJ41" i="13" s="1"/>
  <c r="DH41" i="13"/>
  <c r="DP41" i="13" s="1"/>
  <c r="DG41" i="13"/>
  <c r="DF41" i="13"/>
  <c r="DE41" i="13"/>
  <c r="DC41" i="13"/>
  <c r="DD41" i="13" s="1"/>
  <c r="CZ41" i="13"/>
  <c r="CU41" i="13"/>
  <c r="CS41" i="13"/>
  <c r="CR41" i="13"/>
  <c r="CT41" i="13" s="1"/>
  <c r="CQ41" i="13"/>
  <c r="CP41" i="13"/>
  <c r="CM41" i="13"/>
  <c r="CO41" i="13" s="1"/>
  <c r="CL41" i="13"/>
  <c r="CN41" i="13" s="1"/>
  <c r="CK41" i="13"/>
  <c r="CJ41" i="13"/>
  <c r="CG41" i="13"/>
  <c r="CB41" i="13"/>
  <c r="BZ41" i="13"/>
  <c r="BY41" i="13"/>
  <c r="CA41" i="13" s="1"/>
  <c r="BW41" i="13"/>
  <c r="BX41" i="13" s="1"/>
  <c r="BT41" i="13"/>
  <c r="BV41" i="13" s="1"/>
  <c r="BS41" i="13"/>
  <c r="BU41" i="13" s="1"/>
  <c r="BQ41" i="13"/>
  <c r="BR41" i="13" s="1"/>
  <c r="BN41" i="13"/>
  <c r="BG41" i="13"/>
  <c r="BI41" i="13" s="1"/>
  <c r="BF41" i="13"/>
  <c r="BH41" i="13" s="1"/>
  <c r="BD41" i="13"/>
  <c r="BE41" i="13" s="1"/>
  <c r="BC41" i="13"/>
  <c r="BK41" i="13" s="1"/>
  <c r="BA41" i="13"/>
  <c r="AZ41" i="13"/>
  <c r="BB41" i="13" s="1"/>
  <c r="AY41" i="13"/>
  <c r="AX41" i="13"/>
  <c r="AU41" i="13"/>
  <c r="AV41" i="13" s="1"/>
  <c r="AW41" i="13" s="1"/>
  <c r="AR41" i="13"/>
  <c r="AO41" i="13"/>
  <c r="AN41" i="13"/>
  <c r="AM41" i="13"/>
  <c r="AI41" i="13"/>
  <c r="AK41" i="13" s="1"/>
  <c r="AH41" i="13"/>
  <c r="AF41" i="13"/>
  <c r="AG41" i="13" s="1"/>
  <c r="AD41" i="13"/>
  <c r="AE41" i="13" s="1"/>
  <c r="AJ41" i="13" s="1"/>
  <c r="AA41" i="13"/>
  <c r="W41" i="13"/>
  <c r="X41" i="13" s="1"/>
  <c r="U41" i="13"/>
  <c r="T41" i="13"/>
  <c r="S41" i="13"/>
  <c r="R41" i="13"/>
  <c r="P41" i="13"/>
  <c r="Q41" i="13" s="1"/>
  <c r="N41" i="13"/>
  <c r="O41" i="13" s="1"/>
  <c r="L41" i="13"/>
  <c r="M41" i="13" s="1"/>
  <c r="DS40" i="13"/>
  <c r="DL40" i="13"/>
  <c r="DN40" i="13" s="1"/>
  <c r="DK40" i="13"/>
  <c r="DM40" i="13" s="1"/>
  <c r="DI40" i="13"/>
  <c r="DJ40" i="13" s="1"/>
  <c r="DF40" i="13"/>
  <c r="DH40" i="13" s="1"/>
  <c r="DE40" i="13"/>
  <c r="DG40" i="13" s="1"/>
  <c r="DC40" i="13"/>
  <c r="DD40" i="13" s="1"/>
  <c r="CZ40" i="13"/>
  <c r="CS40" i="13"/>
  <c r="CU40" i="13" s="1"/>
  <c r="CR40" i="13"/>
  <c r="CT40" i="13" s="1"/>
  <c r="CP40" i="13"/>
  <c r="CQ40" i="13" s="1"/>
  <c r="CO40" i="13"/>
  <c r="CM40" i="13"/>
  <c r="CL40" i="13"/>
  <c r="CN40" i="13" s="1"/>
  <c r="CJ40" i="13"/>
  <c r="CK40" i="13" s="1"/>
  <c r="CG40" i="13"/>
  <c r="BZ40" i="13"/>
  <c r="CB40" i="13" s="1"/>
  <c r="BY40" i="13"/>
  <c r="CA40" i="13" s="1"/>
  <c r="BW40" i="13"/>
  <c r="BX40" i="13" s="1"/>
  <c r="BV40" i="13"/>
  <c r="BT40" i="13"/>
  <c r="BS40" i="13"/>
  <c r="BU40" i="13" s="1"/>
  <c r="BQ40" i="13"/>
  <c r="BR40" i="13" s="1"/>
  <c r="BN40" i="13"/>
  <c r="BI40" i="13"/>
  <c r="BG40" i="13"/>
  <c r="BF40" i="13"/>
  <c r="BH40" i="13" s="1"/>
  <c r="BE40" i="13"/>
  <c r="BD40" i="13"/>
  <c r="BB40" i="13"/>
  <c r="BA40" i="13"/>
  <c r="BC40" i="13" s="1"/>
  <c r="AZ40" i="13"/>
  <c r="AY40" i="13"/>
  <c r="AX40" i="13"/>
  <c r="AU40" i="13"/>
  <c r="AV40" i="13" s="1"/>
  <c r="AW40" i="13" s="1"/>
  <c r="AR40" i="13"/>
  <c r="AO40" i="13"/>
  <c r="AN40" i="13"/>
  <c r="AM40" i="13"/>
  <c r="AI40" i="13"/>
  <c r="AK40" i="13" s="1"/>
  <c r="AH40" i="13"/>
  <c r="AF40" i="13"/>
  <c r="AG40" i="13" s="1"/>
  <c r="AD40" i="13"/>
  <c r="AE40" i="13" s="1"/>
  <c r="AJ40" i="13" s="1"/>
  <c r="AA40" i="13"/>
  <c r="W40" i="13"/>
  <c r="X40" i="13" s="1"/>
  <c r="U40" i="13"/>
  <c r="T40" i="13"/>
  <c r="S40" i="13"/>
  <c r="R40" i="13"/>
  <c r="P40" i="13"/>
  <c r="Q40" i="13" s="1"/>
  <c r="O40" i="13"/>
  <c r="N40" i="13"/>
  <c r="L40" i="13"/>
  <c r="M40" i="13" s="1"/>
  <c r="DS39" i="13"/>
  <c r="DL39" i="13"/>
  <c r="DN39" i="13" s="1"/>
  <c r="DK39" i="13"/>
  <c r="DM39" i="13" s="1"/>
  <c r="DI39" i="13"/>
  <c r="DJ39" i="13" s="1"/>
  <c r="DG39" i="13"/>
  <c r="DF39" i="13"/>
  <c r="DH39" i="13" s="1"/>
  <c r="DE39" i="13"/>
  <c r="DC39" i="13"/>
  <c r="DD39" i="13" s="1"/>
  <c r="CZ39" i="13"/>
  <c r="CS39" i="13"/>
  <c r="CU39" i="13" s="1"/>
  <c r="CR39" i="13"/>
  <c r="CT39" i="13" s="1"/>
  <c r="CP39" i="13"/>
  <c r="CQ39" i="13" s="1"/>
  <c r="CM39" i="13"/>
  <c r="CO39" i="13" s="1"/>
  <c r="CL39" i="13"/>
  <c r="CN39" i="13" s="1"/>
  <c r="CJ39" i="13"/>
  <c r="CK39" i="13" s="1"/>
  <c r="CG39" i="13"/>
  <c r="CB39" i="13"/>
  <c r="CA39" i="13"/>
  <c r="BZ39" i="13"/>
  <c r="BY39" i="13"/>
  <c r="BW39" i="13"/>
  <c r="BX39" i="13" s="1"/>
  <c r="BT39" i="13"/>
  <c r="BV39" i="13" s="1"/>
  <c r="BS39" i="13"/>
  <c r="BU39" i="13" s="1"/>
  <c r="BQ39" i="13"/>
  <c r="BR39" i="13" s="1"/>
  <c r="BN39" i="13"/>
  <c r="BH39" i="13"/>
  <c r="BG39" i="13"/>
  <c r="BI39" i="13" s="1"/>
  <c r="BF39" i="13"/>
  <c r="BE39" i="13"/>
  <c r="BD39" i="13"/>
  <c r="BA39" i="13"/>
  <c r="BC39" i="13" s="1"/>
  <c r="AZ39" i="13"/>
  <c r="BB39" i="13" s="1"/>
  <c r="AY39" i="13"/>
  <c r="AX39" i="13"/>
  <c r="AU39" i="13"/>
  <c r="AV39" i="13" s="1"/>
  <c r="AW39" i="13" s="1"/>
  <c r="AR39" i="13"/>
  <c r="AO39" i="13"/>
  <c r="AN39" i="13"/>
  <c r="AM39" i="13"/>
  <c r="AI39" i="13"/>
  <c r="AK39" i="13" s="1"/>
  <c r="AH39" i="13"/>
  <c r="AG39" i="13"/>
  <c r="AF39" i="13"/>
  <c r="AE39" i="13"/>
  <c r="AJ39" i="13" s="1"/>
  <c r="AD39" i="13"/>
  <c r="AA39" i="13"/>
  <c r="W39" i="13"/>
  <c r="X39" i="13" s="1"/>
  <c r="U39" i="13"/>
  <c r="T39" i="13"/>
  <c r="S39" i="13"/>
  <c r="R39" i="13"/>
  <c r="P39" i="13"/>
  <c r="Q39" i="13" s="1"/>
  <c r="N39" i="13"/>
  <c r="O39" i="13" s="1"/>
  <c r="L39" i="13"/>
  <c r="M39" i="13" s="1"/>
  <c r="DS38" i="13"/>
  <c r="DL38" i="13"/>
  <c r="DN38" i="13" s="1"/>
  <c r="DK38" i="13"/>
  <c r="DM38" i="13" s="1"/>
  <c r="DI38" i="13"/>
  <c r="DJ38" i="13" s="1"/>
  <c r="DF38" i="13"/>
  <c r="DH38" i="13" s="1"/>
  <c r="DE38" i="13"/>
  <c r="DG38" i="13" s="1"/>
  <c r="DC38" i="13"/>
  <c r="DD38" i="13" s="1"/>
  <c r="CZ38" i="13"/>
  <c r="CS38" i="13"/>
  <c r="CU38" i="13" s="1"/>
  <c r="CR38" i="13"/>
  <c r="CT38" i="13" s="1"/>
  <c r="CP38" i="13"/>
  <c r="CQ38" i="13" s="1"/>
  <c r="CM38" i="13"/>
  <c r="CO38" i="13" s="1"/>
  <c r="CL38" i="13"/>
  <c r="CN38" i="13" s="1"/>
  <c r="CK38" i="13"/>
  <c r="CJ38" i="13"/>
  <c r="CG38" i="13"/>
  <c r="BZ38" i="13"/>
  <c r="CB38" i="13" s="1"/>
  <c r="BY38" i="13"/>
  <c r="CA38" i="13" s="1"/>
  <c r="BW38" i="13"/>
  <c r="BX38" i="13" s="1"/>
  <c r="BT38" i="13"/>
  <c r="BV38" i="13" s="1"/>
  <c r="BS38" i="13"/>
  <c r="BU38" i="13" s="1"/>
  <c r="BQ38" i="13"/>
  <c r="BR38" i="13" s="1"/>
  <c r="BN38" i="13"/>
  <c r="BG38" i="13"/>
  <c r="BI38" i="13" s="1"/>
  <c r="BF38" i="13"/>
  <c r="BH38" i="13" s="1"/>
  <c r="BE38" i="13"/>
  <c r="BD38" i="13"/>
  <c r="BA38" i="13"/>
  <c r="BC38" i="13" s="1"/>
  <c r="AZ38" i="13"/>
  <c r="BB38" i="13" s="1"/>
  <c r="AY38" i="13"/>
  <c r="AX38" i="13"/>
  <c r="AU38" i="13"/>
  <c r="AV38" i="13" s="1"/>
  <c r="AW38" i="13" s="1"/>
  <c r="AR38" i="13"/>
  <c r="AO38" i="13"/>
  <c r="AN38" i="13"/>
  <c r="AM38" i="13"/>
  <c r="AI38" i="13"/>
  <c r="AK38" i="13" s="1"/>
  <c r="AH38" i="13"/>
  <c r="AF38" i="13"/>
  <c r="AG38" i="13" s="1"/>
  <c r="AE38" i="13"/>
  <c r="AJ38" i="13" s="1"/>
  <c r="AD38" i="13"/>
  <c r="AA38" i="13"/>
  <c r="W38" i="13"/>
  <c r="X38" i="13" s="1"/>
  <c r="U38" i="13"/>
  <c r="T38" i="13"/>
  <c r="S38" i="13"/>
  <c r="R38" i="13"/>
  <c r="Q38" i="13"/>
  <c r="P38" i="13"/>
  <c r="N38" i="13"/>
  <c r="O38" i="13" s="1"/>
  <c r="L38" i="13"/>
  <c r="M38" i="13" s="1"/>
  <c r="DS37" i="13"/>
  <c r="DL37" i="13"/>
  <c r="DN37" i="13" s="1"/>
  <c r="DK37" i="13"/>
  <c r="DM37" i="13" s="1"/>
  <c r="DI37" i="13"/>
  <c r="DJ37" i="13" s="1"/>
  <c r="DH37" i="13"/>
  <c r="DF37" i="13"/>
  <c r="DE37" i="13"/>
  <c r="DG37" i="13" s="1"/>
  <c r="DC37" i="13"/>
  <c r="DD37" i="13" s="1"/>
  <c r="CZ37" i="13"/>
  <c r="CS37" i="13"/>
  <c r="CU37" i="13" s="1"/>
  <c r="CR37" i="13"/>
  <c r="CT37" i="13" s="1"/>
  <c r="CP37" i="13"/>
  <c r="CQ37" i="13" s="1"/>
  <c r="CN37" i="13"/>
  <c r="CM37" i="13"/>
  <c r="CO37" i="13" s="1"/>
  <c r="CW37" i="13" s="1"/>
  <c r="CL37" i="13"/>
  <c r="CK37" i="13"/>
  <c r="CJ37" i="13"/>
  <c r="CG37" i="13"/>
  <c r="BZ37" i="13"/>
  <c r="CB37" i="13" s="1"/>
  <c r="BY37" i="13"/>
  <c r="CA37" i="13" s="1"/>
  <c r="BW37" i="13"/>
  <c r="BX37" i="13" s="1"/>
  <c r="BT37" i="13"/>
  <c r="BV37" i="13" s="1"/>
  <c r="BS37" i="13"/>
  <c r="BU37" i="13" s="1"/>
  <c r="BQ37" i="13"/>
  <c r="BR37" i="13" s="1"/>
  <c r="BN37" i="13"/>
  <c r="BH37" i="13"/>
  <c r="BG37" i="13"/>
  <c r="BI37" i="13" s="1"/>
  <c r="BF37" i="13"/>
  <c r="BE37" i="13"/>
  <c r="BD37" i="13"/>
  <c r="BA37" i="13"/>
  <c r="BC37" i="13" s="1"/>
  <c r="AZ37" i="13"/>
  <c r="BB37" i="13" s="1"/>
  <c r="AX37" i="13"/>
  <c r="AY37" i="13" s="1"/>
  <c r="AU37" i="13"/>
  <c r="AV37" i="13" s="1"/>
  <c r="AW37" i="13" s="1"/>
  <c r="AR37" i="13"/>
  <c r="AO37" i="13"/>
  <c r="AN37" i="13"/>
  <c r="AM37" i="13"/>
  <c r="AH37" i="13"/>
  <c r="AI37" i="13" s="1"/>
  <c r="AK37" i="13" s="1"/>
  <c r="AF37" i="13"/>
  <c r="AG37" i="13" s="1"/>
  <c r="AD37" i="13"/>
  <c r="AE37" i="13" s="1"/>
  <c r="AJ37" i="13" s="1"/>
  <c r="AA37" i="13"/>
  <c r="W37" i="13"/>
  <c r="X37" i="13" s="1"/>
  <c r="U37" i="13"/>
  <c r="T37" i="13"/>
  <c r="S37" i="13"/>
  <c r="R37" i="13"/>
  <c r="P37" i="13"/>
  <c r="Q37" i="13" s="1"/>
  <c r="N37" i="13"/>
  <c r="O37" i="13" s="1"/>
  <c r="L37" i="13"/>
  <c r="DS36" i="13"/>
  <c r="DM36" i="13"/>
  <c r="DL36" i="13"/>
  <c r="DN36" i="13" s="1"/>
  <c r="DK36" i="13"/>
  <c r="DI36" i="13"/>
  <c r="DJ36" i="13" s="1"/>
  <c r="DH36" i="13"/>
  <c r="DF36" i="13"/>
  <c r="DE36" i="13"/>
  <c r="DG36" i="13" s="1"/>
  <c r="DC36" i="13"/>
  <c r="DD36" i="13" s="1"/>
  <c r="CZ36" i="13"/>
  <c r="CS36" i="13"/>
  <c r="CU36" i="13" s="1"/>
  <c r="CR36" i="13"/>
  <c r="CT36" i="13" s="1"/>
  <c r="CP36" i="13"/>
  <c r="CQ36" i="13" s="1"/>
  <c r="CO36" i="13"/>
  <c r="CM36" i="13"/>
  <c r="CL36" i="13"/>
  <c r="CN36" i="13" s="1"/>
  <c r="CK36" i="13"/>
  <c r="CJ36" i="13"/>
  <c r="CG36" i="13"/>
  <c r="CB36" i="13"/>
  <c r="BZ36" i="13"/>
  <c r="BY36" i="13"/>
  <c r="CA36" i="13" s="1"/>
  <c r="BW36" i="13"/>
  <c r="BX36" i="13" s="1"/>
  <c r="BT36" i="13"/>
  <c r="BV36" i="13" s="1"/>
  <c r="BS36" i="13"/>
  <c r="BU36" i="13" s="1"/>
  <c r="BQ36" i="13"/>
  <c r="BR36" i="13" s="1"/>
  <c r="BN36" i="13"/>
  <c r="BG36" i="13"/>
  <c r="BI36" i="13" s="1"/>
  <c r="BF36" i="13"/>
  <c r="BH36" i="13" s="1"/>
  <c r="BD36" i="13"/>
  <c r="BE36" i="13" s="1"/>
  <c r="BA36" i="13"/>
  <c r="BC36" i="13" s="1"/>
  <c r="AZ36" i="13"/>
  <c r="BB36" i="13" s="1"/>
  <c r="AX36" i="13"/>
  <c r="AY36" i="13" s="1"/>
  <c r="AV36" i="13"/>
  <c r="AW36" i="13" s="1"/>
  <c r="AU36" i="13"/>
  <c r="AR36" i="13"/>
  <c r="AO36" i="13"/>
  <c r="AN36" i="13"/>
  <c r="AM36" i="13"/>
  <c r="AH36" i="13"/>
  <c r="AI36" i="13" s="1"/>
  <c r="AK36" i="13" s="1"/>
  <c r="AF36" i="13"/>
  <c r="AG36" i="13" s="1"/>
  <c r="AD36" i="13"/>
  <c r="AE36" i="13" s="1"/>
  <c r="AJ36" i="13" s="1"/>
  <c r="AA36" i="13"/>
  <c r="W36" i="13"/>
  <c r="X36" i="13" s="1"/>
  <c r="U36" i="13"/>
  <c r="T36" i="13"/>
  <c r="S36" i="13"/>
  <c r="R36" i="13"/>
  <c r="P36" i="13"/>
  <c r="Q36" i="13" s="1"/>
  <c r="N36" i="13"/>
  <c r="O36" i="13" s="1"/>
  <c r="L36" i="13"/>
  <c r="DS35" i="13"/>
  <c r="DL35" i="13"/>
  <c r="DN35" i="13" s="1"/>
  <c r="DK35" i="13"/>
  <c r="DM35" i="13" s="1"/>
  <c r="DI35" i="13"/>
  <c r="DJ35" i="13" s="1"/>
  <c r="DF35" i="13"/>
  <c r="DH35" i="13" s="1"/>
  <c r="DP35" i="13" s="1"/>
  <c r="DE35" i="13"/>
  <c r="DG35" i="13" s="1"/>
  <c r="DC35" i="13"/>
  <c r="DD35" i="13" s="1"/>
  <c r="CZ35" i="13"/>
  <c r="CT35" i="13"/>
  <c r="CS35" i="13"/>
  <c r="CU35" i="13" s="1"/>
  <c r="CR35" i="13"/>
  <c r="CQ35" i="13"/>
  <c r="CP35" i="13"/>
  <c r="CM35" i="13"/>
  <c r="CO35" i="13" s="1"/>
  <c r="CL35" i="13"/>
  <c r="CN35" i="13" s="1"/>
  <c r="CJ35" i="13"/>
  <c r="CK35" i="13" s="1"/>
  <c r="CG35" i="13"/>
  <c r="BZ35" i="13"/>
  <c r="CB35" i="13" s="1"/>
  <c r="BY35" i="13"/>
  <c r="CA35" i="13" s="1"/>
  <c r="BW35" i="13"/>
  <c r="BX35" i="13" s="1"/>
  <c r="BT35" i="13"/>
  <c r="BV35" i="13" s="1"/>
  <c r="BS35" i="13"/>
  <c r="BU35" i="13" s="1"/>
  <c r="BQ35" i="13"/>
  <c r="BR35" i="13" s="1"/>
  <c r="BN35" i="13"/>
  <c r="BH35" i="13"/>
  <c r="BG35" i="13"/>
  <c r="BI35" i="13" s="1"/>
  <c r="BF35" i="13"/>
  <c r="BD35" i="13"/>
  <c r="BE35" i="13" s="1"/>
  <c r="BC35" i="13"/>
  <c r="BA35" i="13"/>
  <c r="AZ35" i="13"/>
  <c r="BB35" i="13" s="1"/>
  <c r="AY35" i="13"/>
  <c r="AX35" i="13"/>
  <c r="AU35" i="13"/>
  <c r="AV35" i="13" s="1"/>
  <c r="AW35" i="13" s="1"/>
  <c r="AR35" i="13"/>
  <c r="AO35" i="13"/>
  <c r="AN35" i="13"/>
  <c r="AM35" i="13"/>
  <c r="AH35" i="13"/>
  <c r="AI35" i="13" s="1"/>
  <c r="AK35" i="13" s="1"/>
  <c r="AF35" i="13"/>
  <c r="AG35" i="13" s="1"/>
  <c r="AD35" i="13"/>
  <c r="AE35" i="13" s="1"/>
  <c r="AJ35" i="13" s="1"/>
  <c r="AA35" i="13"/>
  <c r="W35" i="13"/>
  <c r="X35" i="13" s="1"/>
  <c r="U35" i="13"/>
  <c r="T35" i="13"/>
  <c r="S35" i="13"/>
  <c r="R35" i="13"/>
  <c r="P35" i="13"/>
  <c r="Q35" i="13" s="1"/>
  <c r="N35" i="13"/>
  <c r="O35" i="13" s="1"/>
  <c r="L35" i="13"/>
  <c r="M35" i="13" s="1"/>
  <c r="DS34" i="13"/>
  <c r="DM34" i="13"/>
  <c r="DL34" i="13"/>
  <c r="DN34" i="13" s="1"/>
  <c r="DK34" i="13"/>
  <c r="DI34" i="13"/>
  <c r="DJ34" i="13" s="1"/>
  <c r="DH34" i="13"/>
  <c r="DF34" i="13"/>
  <c r="DE34" i="13"/>
  <c r="DG34" i="13" s="1"/>
  <c r="DC34" i="13"/>
  <c r="DD34" i="13" s="1"/>
  <c r="CZ34" i="13"/>
  <c r="CS34" i="13"/>
  <c r="CU34" i="13" s="1"/>
  <c r="CR34" i="13"/>
  <c r="CT34" i="13" s="1"/>
  <c r="CP34" i="13"/>
  <c r="CQ34" i="13" s="1"/>
  <c r="CM34" i="13"/>
  <c r="CO34" i="13" s="1"/>
  <c r="CL34" i="13"/>
  <c r="CN34" i="13" s="1"/>
  <c r="CJ34" i="13"/>
  <c r="CK34" i="13" s="1"/>
  <c r="CG34" i="13"/>
  <c r="BZ34" i="13"/>
  <c r="CB34" i="13" s="1"/>
  <c r="BY34" i="13"/>
  <c r="CA34" i="13" s="1"/>
  <c r="BW34" i="13"/>
  <c r="BX34" i="13" s="1"/>
  <c r="BT34" i="13"/>
  <c r="BV34" i="13" s="1"/>
  <c r="CD34" i="13" s="1"/>
  <c r="BS34" i="13"/>
  <c r="BU34" i="13" s="1"/>
  <c r="BQ34" i="13"/>
  <c r="BR34" i="13" s="1"/>
  <c r="BN34" i="13"/>
  <c r="BI34" i="13"/>
  <c r="BG34" i="13"/>
  <c r="BF34" i="13"/>
  <c r="BH34" i="13" s="1"/>
  <c r="BD34" i="13"/>
  <c r="BE34" i="13" s="1"/>
  <c r="BB34" i="13"/>
  <c r="BJ34" i="13" s="1"/>
  <c r="BA34" i="13"/>
  <c r="BC34" i="13" s="1"/>
  <c r="AZ34" i="13"/>
  <c r="AX34" i="13"/>
  <c r="AY34" i="13" s="1"/>
  <c r="AV34" i="13"/>
  <c r="AW34" i="13" s="1"/>
  <c r="AU34" i="13"/>
  <c r="AR34" i="13"/>
  <c r="AO34" i="13"/>
  <c r="AN34" i="13"/>
  <c r="AP34" i="13" s="1"/>
  <c r="AM34" i="13"/>
  <c r="AH34" i="13"/>
  <c r="AI34" i="13" s="1"/>
  <c r="AK34" i="13" s="1"/>
  <c r="AF34" i="13"/>
  <c r="AG34" i="13" s="1"/>
  <c r="AD34" i="13"/>
  <c r="AE34" i="13" s="1"/>
  <c r="AJ34" i="13" s="1"/>
  <c r="AA34" i="13"/>
  <c r="W34" i="13"/>
  <c r="X34" i="13" s="1"/>
  <c r="U34" i="13"/>
  <c r="T34" i="13"/>
  <c r="S34" i="13"/>
  <c r="R34" i="13"/>
  <c r="P34" i="13"/>
  <c r="Q34" i="13" s="1"/>
  <c r="N34" i="13"/>
  <c r="L34" i="13"/>
  <c r="M34" i="13" s="1"/>
  <c r="DS33" i="13"/>
  <c r="DL33" i="13"/>
  <c r="DN33" i="13" s="1"/>
  <c r="DK33" i="13"/>
  <c r="DM33" i="13" s="1"/>
  <c r="DI33" i="13"/>
  <c r="DJ33" i="13" s="1"/>
  <c r="DF33" i="13"/>
  <c r="DH33" i="13" s="1"/>
  <c r="DE33" i="13"/>
  <c r="DG33" i="13" s="1"/>
  <c r="DD33" i="13"/>
  <c r="DC33" i="13"/>
  <c r="CZ33" i="13"/>
  <c r="CU33" i="13"/>
  <c r="CS33" i="13"/>
  <c r="CR33" i="13"/>
  <c r="CT33" i="13" s="1"/>
  <c r="CP33" i="13"/>
  <c r="CQ33" i="13" s="1"/>
  <c r="CM33" i="13"/>
  <c r="CO33" i="13" s="1"/>
  <c r="CL33" i="13"/>
  <c r="CN33" i="13" s="1"/>
  <c r="CJ33" i="13"/>
  <c r="CK33" i="13" s="1"/>
  <c r="CG33" i="13"/>
  <c r="BZ33" i="13"/>
  <c r="CB33" i="13" s="1"/>
  <c r="BY33" i="13"/>
  <c r="CA33" i="13" s="1"/>
  <c r="BW33" i="13"/>
  <c r="BX33" i="13" s="1"/>
  <c r="BT33" i="13"/>
  <c r="BV33" i="13" s="1"/>
  <c r="BS33" i="13"/>
  <c r="BU33" i="13" s="1"/>
  <c r="BQ33" i="13"/>
  <c r="BR33" i="13" s="1"/>
  <c r="BN33" i="13"/>
  <c r="BH33" i="13"/>
  <c r="BG33" i="13"/>
  <c r="BI33" i="13" s="1"/>
  <c r="BF33" i="13"/>
  <c r="BD33" i="13"/>
  <c r="BE33" i="13" s="1"/>
  <c r="BC33" i="13"/>
  <c r="BK33" i="13" s="1"/>
  <c r="BA33" i="13"/>
  <c r="AZ33" i="13"/>
  <c r="BB33" i="13" s="1"/>
  <c r="AX33" i="13"/>
  <c r="AY33" i="13" s="1"/>
  <c r="AV33" i="13"/>
  <c r="AW33" i="13" s="1"/>
  <c r="AU33" i="13"/>
  <c r="AR33" i="13"/>
  <c r="AO33" i="13"/>
  <c r="AN33" i="13"/>
  <c r="AM33" i="13"/>
  <c r="AH33" i="13"/>
  <c r="AI33" i="13" s="1"/>
  <c r="AK33" i="13" s="1"/>
  <c r="AF33" i="13"/>
  <c r="AG33" i="13" s="1"/>
  <c r="AD33" i="13"/>
  <c r="AE33" i="13" s="1"/>
  <c r="AJ33" i="13" s="1"/>
  <c r="AA33" i="13"/>
  <c r="W33" i="13"/>
  <c r="X33" i="13" s="1"/>
  <c r="U33" i="13"/>
  <c r="T33" i="13"/>
  <c r="S33" i="13"/>
  <c r="R33" i="13"/>
  <c r="P33" i="13"/>
  <c r="Q33" i="13" s="1"/>
  <c r="O33" i="13"/>
  <c r="N33" i="13"/>
  <c r="L33" i="13"/>
  <c r="DS32" i="13"/>
  <c r="DN32" i="13"/>
  <c r="DL32" i="13"/>
  <c r="DK32" i="13"/>
  <c r="DM32" i="13" s="1"/>
  <c r="DJ32" i="13"/>
  <c r="DI32" i="13"/>
  <c r="DF32" i="13"/>
  <c r="DH32" i="13" s="1"/>
  <c r="DE32" i="13"/>
  <c r="DG32" i="13" s="1"/>
  <c r="DC32" i="13"/>
  <c r="DD32" i="13" s="1"/>
  <c r="CZ32" i="13"/>
  <c r="CS32" i="13"/>
  <c r="CU32" i="13" s="1"/>
  <c r="CR32" i="13"/>
  <c r="CT32" i="13" s="1"/>
  <c r="CP32" i="13"/>
  <c r="CQ32" i="13" s="1"/>
  <c r="CO32" i="13"/>
  <c r="CM32" i="13"/>
  <c r="CL32" i="13"/>
  <c r="CN32" i="13" s="1"/>
  <c r="CK32" i="13"/>
  <c r="CJ32" i="13"/>
  <c r="CG32" i="13"/>
  <c r="BZ32" i="13"/>
  <c r="CB32" i="13" s="1"/>
  <c r="BY32" i="13"/>
  <c r="CA32" i="13" s="1"/>
  <c r="BW32" i="13"/>
  <c r="BX32" i="13" s="1"/>
  <c r="BU32" i="13"/>
  <c r="BT32" i="13"/>
  <c r="BV32" i="13" s="1"/>
  <c r="BS32" i="13"/>
  <c r="BQ32" i="13"/>
  <c r="BR32" i="13" s="1"/>
  <c r="BN32" i="13"/>
  <c r="BI32" i="13"/>
  <c r="BG32" i="13"/>
  <c r="BF32" i="13"/>
  <c r="BH32" i="13" s="1"/>
  <c r="BE32" i="13"/>
  <c r="BD32" i="13"/>
  <c r="BB32" i="13"/>
  <c r="BA32" i="13"/>
  <c r="BC32" i="13" s="1"/>
  <c r="AZ32" i="13"/>
  <c r="AX32" i="13"/>
  <c r="AY32" i="13" s="1"/>
  <c r="AU32" i="13"/>
  <c r="AV32" i="13" s="1"/>
  <c r="AW32" i="13" s="1"/>
  <c r="AR32" i="13"/>
  <c r="AO32" i="13"/>
  <c r="AN32" i="13"/>
  <c r="AM32" i="13"/>
  <c r="AP32" i="13" s="1"/>
  <c r="AH32" i="13"/>
  <c r="AI32" i="13" s="1"/>
  <c r="AK32" i="13" s="1"/>
  <c r="AG32" i="13"/>
  <c r="AF32" i="13"/>
  <c r="AD32" i="13"/>
  <c r="AE32" i="13" s="1"/>
  <c r="AJ32" i="13" s="1"/>
  <c r="AA32" i="13"/>
  <c r="W32" i="13"/>
  <c r="X32" i="13" s="1"/>
  <c r="U32" i="13"/>
  <c r="T32" i="13"/>
  <c r="S32" i="13"/>
  <c r="R32" i="13"/>
  <c r="P32" i="13"/>
  <c r="Q32" i="13" s="1"/>
  <c r="N32" i="13"/>
  <c r="L32" i="13"/>
  <c r="M32" i="13" s="1"/>
  <c r="DS31" i="13"/>
  <c r="DL31" i="13"/>
  <c r="DN31" i="13" s="1"/>
  <c r="DK31" i="13"/>
  <c r="DM31" i="13" s="1"/>
  <c r="DI31" i="13"/>
  <c r="DJ31" i="13" s="1"/>
  <c r="DH31" i="13"/>
  <c r="DF31" i="13"/>
  <c r="DE31" i="13"/>
  <c r="DG31" i="13" s="1"/>
  <c r="DD31" i="13"/>
  <c r="DC31" i="13"/>
  <c r="CZ31" i="13"/>
  <c r="CS31" i="13"/>
  <c r="CU31" i="13" s="1"/>
  <c r="CR31" i="13"/>
  <c r="CT31" i="13" s="1"/>
  <c r="CP31" i="13"/>
  <c r="CQ31" i="13" s="1"/>
  <c r="CN31" i="13"/>
  <c r="CM31" i="13"/>
  <c r="CO31" i="13" s="1"/>
  <c r="CL31" i="13"/>
  <c r="CJ31" i="13"/>
  <c r="CK31" i="13" s="1"/>
  <c r="CG31" i="13"/>
  <c r="BZ31" i="13"/>
  <c r="CB31" i="13" s="1"/>
  <c r="BY31" i="13"/>
  <c r="CA31" i="13" s="1"/>
  <c r="BW31" i="13"/>
  <c r="BX31" i="13" s="1"/>
  <c r="BT31" i="13"/>
  <c r="BV31" i="13" s="1"/>
  <c r="BS31" i="13"/>
  <c r="BU31" i="13" s="1"/>
  <c r="BQ31" i="13"/>
  <c r="BR31" i="13" s="1"/>
  <c r="BN31" i="13"/>
  <c r="BH31" i="13"/>
  <c r="BG31" i="13"/>
  <c r="BI31" i="13" s="1"/>
  <c r="BF31" i="13"/>
  <c r="BD31" i="13"/>
  <c r="BE31" i="13" s="1"/>
  <c r="BA31" i="13"/>
  <c r="BC31" i="13" s="1"/>
  <c r="AZ31" i="13"/>
  <c r="BB31" i="13" s="1"/>
  <c r="AX31" i="13"/>
  <c r="AY31" i="13" s="1"/>
  <c r="AV31" i="13"/>
  <c r="AW31" i="13" s="1"/>
  <c r="AU31" i="13"/>
  <c r="AR31" i="13"/>
  <c r="AO31" i="13"/>
  <c r="AN31" i="13"/>
  <c r="AM31" i="13"/>
  <c r="AH31" i="13"/>
  <c r="AI31" i="13" s="1"/>
  <c r="AK31" i="13" s="1"/>
  <c r="AF31" i="13"/>
  <c r="AG31" i="13" s="1"/>
  <c r="AD31" i="13"/>
  <c r="AE31" i="13" s="1"/>
  <c r="AJ31" i="13" s="1"/>
  <c r="AA31" i="13"/>
  <c r="W31" i="13"/>
  <c r="X31" i="13" s="1"/>
  <c r="U31" i="13"/>
  <c r="T31" i="13"/>
  <c r="S31" i="13"/>
  <c r="R31" i="13"/>
  <c r="P31" i="13"/>
  <c r="Q31" i="13" s="1"/>
  <c r="N31" i="13"/>
  <c r="O31" i="13" s="1"/>
  <c r="L31" i="13"/>
  <c r="DS30" i="13"/>
  <c r="DN30" i="13"/>
  <c r="DM30" i="13"/>
  <c r="DL30" i="13"/>
  <c r="DK30" i="13"/>
  <c r="DI30" i="13"/>
  <c r="DJ30" i="13" s="1"/>
  <c r="DF30" i="13"/>
  <c r="DH30" i="13" s="1"/>
  <c r="DE30" i="13"/>
  <c r="DG30" i="13" s="1"/>
  <c r="DC30" i="13"/>
  <c r="DD30" i="13" s="1"/>
  <c r="CZ30" i="13"/>
  <c r="CS30" i="13"/>
  <c r="CU30" i="13" s="1"/>
  <c r="CR30" i="13"/>
  <c r="CT30" i="13" s="1"/>
  <c r="CP30" i="13"/>
  <c r="CQ30" i="13" s="1"/>
  <c r="CO30" i="13"/>
  <c r="CM30" i="13"/>
  <c r="CL30" i="13"/>
  <c r="CN30" i="13" s="1"/>
  <c r="CK30" i="13"/>
  <c r="CJ30" i="13"/>
  <c r="CG30" i="13"/>
  <c r="BZ30" i="13"/>
  <c r="CB30" i="13" s="1"/>
  <c r="BY30" i="13"/>
  <c r="CA30" i="13" s="1"/>
  <c r="BW30" i="13"/>
  <c r="BX30" i="13" s="1"/>
  <c r="BU30" i="13"/>
  <c r="BT30" i="13"/>
  <c r="BV30" i="13" s="1"/>
  <c r="BS30" i="13"/>
  <c r="BR30" i="13"/>
  <c r="BQ30" i="13"/>
  <c r="BN30" i="13"/>
  <c r="BI30" i="13"/>
  <c r="BG30" i="13"/>
  <c r="BF30" i="13"/>
  <c r="BH30" i="13" s="1"/>
  <c r="BE30" i="13"/>
  <c r="BD30" i="13"/>
  <c r="BA30" i="13"/>
  <c r="BC30" i="13" s="1"/>
  <c r="AZ30" i="13"/>
  <c r="BB30" i="13" s="1"/>
  <c r="AX30" i="13"/>
  <c r="AY30" i="13" s="1"/>
  <c r="AU30" i="13"/>
  <c r="AV30" i="13" s="1"/>
  <c r="AW30" i="13" s="1"/>
  <c r="AR30" i="13"/>
  <c r="AP30" i="13"/>
  <c r="AO30" i="13"/>
  <c r="AN30" i="13"/>
  <c r="AM30" i="13"/>
  <c r="AH30" i="13"/>
  <c r="AI30" i="13" s="1"/>
  <c r="AK30" i="13" s="1"/>
  <c r="AG30" i="13"/>
  <c r="AF30" i="13"/>
  <c r="AD30" i="13"/>
  <c r="AE30" i="13" s="1"/>
  <c r="AJ30" i="13" s="1"/>
  <c r="AA30" i="13"/>
  <c r="W30" i="13"/>
  <c r="X30" i="13" s="1"/>
  <c r="U30" i="13"/>
  <c r="T30" i="13"/>
  <c r="S30" i="13"/>
  <c r="R30" i="13"/>
  <c r="P30" i="13"/>
  <c r="Q30" i="13" s="1"/>
  <c r="N30" i="13"/>
  <c r="O30" i="13" s="1"/>
  <c r="L30" i="13"/>
  <c r="M30" i="13" s="1"/>
  <c r="DS29" i="13"/>
  <c r="DL29" i="13"/>
  <c r="DN29" i="13" s="1"/>
  <c r="DK29" i="13"/>
  <c r="DM29" i="13" s="1"/>
  <c r="DI29" i="13"/>
  <c r="DJ29" i="13" s="1"/>
  <c r="DH29" i="13"/>
  <c r="DG29" i="13"/>
  <c r="DF29" i="13"/>
  <c r="DE29" i="13"/>
  <c r="DC29" i="13"/>
  <c r="DD29" i="13" s="1"/>
  <c r="CZ29" i="13"/>
  <c r="CU29" i="13"/>
  <c r="CS29" i="13"/>
  <c r="CR29" i="13"/>
  <c r="CT29" i="13" s="1"/>
  <c r="CQ29" i="13"/>
  <c r="CP29" i="13"/>
  <c r="CM29" i="13"/>
  <c r="CO29" i="13" s="1"/>
  <c r="CL29" i="13"/>
  <c r="CN29" i="13" s="1"/>
  <c r="CJ29" i="13"/>
  <c r="CK29" i="13" s="1"/>
  <c r="CG29" i="13"/>
  <c r="CB29" i="13"/>
  <c r="CA29" i="13"/>
  <c r="BZ29" i="13"/>
  <c r="BY29" i="13"/>
  <c r="BW29" i="13"/>
  <c r="BX29" i="13" s="1"/>
  <c r="BT29" i="13"/>
  <c r="BV29" i="13" s="1"/>
  <c r="BS29" i="13"/>
  <c r="BU29" i="13" s="1"/>
  <c r="BQ29" i="13"/>
  <c r="BR29" i="13" s="1"/>
  <c r="BN29" i="13"/>
  <c r="BG29" i="13"/>
  <c r="BI29" i="13" s="1"/>
  <c r="BF29" i="13"/>
  <c r="BH29" i="13" s="1"/>
  <c r="BD29" i="13"/>
  <c r="BE29" i="13" s="1"/>
  <c r="BC29" i="13"/>
  <c r="BK29" i="13" s="1"/>
  <c r="BA29" i="13"/>
  <c r="AZ29" i="13"/>
  <c r="BB29" i="13" s="1"/>
  <c r="AY29" i="13"/>
  <c r="AX29" i="13"/>
  <c r="AU29" i="13"/>
  <c r="AV29" i="13" s="1"/>
  <c r="AW29" i="13" s="1"/>
  <c r="AR29" i="13"/>
  <c r="AO29" i="13"/>
  <c r="AN29" i="13"/>
  <c r="AM29" i="13"/>
  <c r="AH29" i="13"/>
  <c r="AI29" i="13" s="1"/>
  <c r="AK29" i="13" s="1"/>
  <c r="AF29" i="13"/>
  <c r="AG29" i="13" s="1"/>
  <c r="AE29" i="13"/>
  <c r="AJ29" i="13" s="1"/>
  <c r="AD29" i="13"/>
  <c r="AA29" i="13"/>
  <c r="W29" i="13"/>
  <c r="X29" i="13" s="1"/>
  <c r="U29" i="13"/>
  <c r="T29" i="13"/>
  <c r="S29" i="13"/>
  <c r="R29" i="13"/>
  <c r="P29" i="13"/>
  <c r="Q29" i="13" s="1"/>
  <c r="N29" i="13"/>
  <c r="O29" i="13" s="1"/>
  <c r="L29" i="13"/>
  <c r="DS28" i="13"/>
  <c r="DN28" i="13"/>
  <c r="DM28" i="13"/>
  <c r="DL28" i="13"/>
  <c r="DK28" i="13"/>
  <c r="DI28" i="13"/>
  <c r="DJ28" i="13" s="1"/>
  <c r="DF28" i="13"/>
  <c r="DH28" i="13" s="1"/>
  <c r="DE28" i="13"/>
  <c r="DG28" i="13" s="1"/>
  <c r="DC28" i="13"/>
  <c r="DD28" i="13" s="1"/>
  <c r="CZ28" i="13"/>
  <c r="CS28" i="13"/>
  <c r="CU28" i="13" s="1"/>
  <c r="CR28" i="13"/>
  <c r="CT28" i="13" s="1"/>
  <c r="CP28" i="13"/>
  <c r="CQ28" i="13" s="1"/>
  <c r="CO28" i="13"/>
  <c r="CW28" i="13" s="1"/>
  <c r="CM28" i="13"/>
  <c r="CL28" i="13"/>
  <c r="CN28" i="13" s="1"/>
  <c r="CK28" i="13"/>
  <c r="CJ28" i="13"/>
  <c r="CG28" i="13"/>
  <c r="BZ28" i="13"/>
  <c r="CB28" i="13" s="1"/>
  <c r="BY28" i="13"/>
  <c r="CA28" i="13" s="1"/>
  <c r="BW28" i="13"/>
  <c r="BX28" i="13" s="1"/>
  <c r="BU28" i="13"/>
  <c r="BT28" i="13"/>
  <c r="BV28" i="13" s="1"/>
  <c r="BS28" i="13"/>
  <c r="BQ28" i="13"/>
  <c r="BR28" i="13" s="1"/>
  <c r="BN28" i="13"/>
  <c r="BI28" i="13"/>
  <c r="BG28" i="13"/>
  <c r="BF28" i="13"/>
  <c r="BH28" i="13" s="1"/>
  <c r="BD28" i="13"/>
  <c r="BE28" i="13" s="1"/>
  <c r="BA28" i="13"/>
  <c r="BC28" i="13" s="1"/>
  <c r="AZ28" i="13"/>
  <c r="BB28" i="13" s="1"/>
  <c r="AX28" i="13"/>
  <c r="AY28" i="13" s="1"/>
  <c r="AU28" i="13"/>
  <c r="AV28" i="13" s="1"/>
  <c r="AW28" i="13" s="1"/>
  <c r="AR28" i="13"/>
  <c r="AP28" i="13"/>
  <c r="AO28" i="13"/>
  <c r="AN28" i="13"/>
  <c r="AM28" i="13"/>
  <c r="AH28" i="13"/>
  <c r="AI28" i="13" s="1"/>
  <c r="AG28" i="13"/>
  <c r="AF28" i="13"/>
  <c r="AD28" i="13"/>
  <c r="AE28" i="13" s="1"/>
  <c r="AJ28" i="13" s="1"/>
  <c r="AA28" i="13"/>
  <c r="W28" i="13"/>
  <c r="X28" i="13" s="1"/>
  <c r="U28" i="13"/>
  <c r="T28" i="13"/>
  <c r="S28" i="13"/>
  <c r="R28" i="13"/>
  <c r="P28" i="13"/>
  <c r="Q28" i="13" s="1"/>
  <c r="N28" i="13"/>
  <c r="O28" i="13" s="1"/>
  <c r="L28" i="13"/>
  <c r="M28" i="13" s="1"/>
  <c r="DS27" i="13"/>
  <c r="DL27" i="13"/>
  <c r="DN27" i="13" s="1"/>
  <c r="DK27" i="13"/>
  <c r="DM27" i="13" s="1"/>
  <c r="DI27" i="13"/>
  <c r="DJ27" i="13" s="1"/>
  <c r="DH27" i="13"/>
  <c r="DG27" i="13"/>
  <c r="DF27" i="13"/>
  <c r="DE27" i="13"/>
  <c r="DC27" i="13"/>
  <c r="DD27" i="13" s="1"/>
  <c r="CZ27" i="13"/>
  <c r="CU27" i="13"/>
  <c r="CS27" i="13"/>
  <c r="CR27" i="13"/>
  <c r="CT27" i="13" s="1"/>
  <c r="CQ27" i="13"/>
  <c r="CP27" i="13"/>
  <c r="CM27" i="13"/>
  <c r="CO27" i="13" s="1"/>
  <c r="CL27" i="13"/>
  <c r="CN27" i="13" s="1"/>
  <c r="CJ27" i="13"/>
  <c r="CK27" i="13" s="1"/>
  <c r="CG27" i="13"/>
  <c r="CB27" i="13"/>
  <c r="CA27" i="13"/>
  <c r="BZ27" i="13"/>
  <c r="BY27" i="13"/>
  <c r="BW27" i="13"/>
  <c r="BX27" i="13" s="1"/>
  <c r="BT27" i="13"/>
  <c r="BV27" i="13" s="1"/>
  <c r="BS27" i="13"/>
  <c r="BU27" i="13" s="1"/>
  <c r="BQ27" i="13"/>
  <c r="BR27" i="13" s="1"/>
  <c r="BN27" i="13"/>
  <c r="BK27" i="13"/>
  <c r="BG27" i="13"/>
  <c r="BI27" i="13" s="1"/>
  <c r="BF27" i="13"/>
  <c r="BH27" i="13" s="1"/>
  <c r="BD27" i="13"/>
  <c r="BE27" i="13" s="1"/>
  <c r="BC27" i="13"/>
  <c r="BA27" i="13"/>
  <c r="AZ27" i="13"/>
  <c r="BB27" i="13" s="1"/>
  <c r="AY27" i="13"/>
  <c r="AX27" i="13"/>
  <c r="AU27" i="13"/>
  <c r="AR27" i="13"/>
  <c r="AO27" i="13"/>
  <c r="AN27" i="13"/>
  <c r="AM27" i="13"/>
  <c r="AH27" i="13"/>
  <c r="AI27" i="13" s="1"/>
  <c r="AK27" i="13" s="1"/>
  <c r="AF27" i="13"/>
  <c r="AG27" i="13" s="1"/>
  <c r="AE27" i="13"/>
  <c r="AJ27" i="13" s="1"/>
  <c r="AD27" i="13"/>
  <c r="AA27" i="13"/>
  <c r="W27" i="13"/>
  <c r="X27" i="13" s="1"/>
  <c r="U27" i="13"/>
  <c r="T27" i="13"/>
  <c r="S27" i="13"/>
  <c r="R27" i="13"/>
  <c r="P27" i="13"/>
  <c r="Q27" i="13" s="1"/>
  <c r="N27" i="13"/>
  <c r="O27" i="13" s="1"/>
  <c r="L27" i="13"/>
  <c r="DS26" i="13"/>
  <c r="DN26" i="13"/>
  <c r="DM26" i="13"/>
  <c r="DL26" i="13"/>
  <c r="DK26" i="13"/>
  <c r="DI26" i="13"/>
  <c r="DJ26" i="13" s="1"/>
  <c r="DF26" i="13"/>
  <c r="DH26" i="13" s="1"/>
  <c r="DE26" i="13"/>
  <c r="DG26" i="13" s="1"/>
  <c r="DC26" i="13"/>
  <c r="DD26" i="13" s="1"/>
  <c r="CZ26" i="13"/>
  <c r="CW26" i="13"/>
  <c r="CS26" i="13"/>
  <c r="CU26" i="13" s="1"/>
  <c r="CR26" i="13"/>
  <c r="CT26" i="13" s="1"/>
  <c r="CP26" i="13"/>
  <c r="CQ26" i="13" s="1"/>
  <c r="CO26" i="13"/>
  <c r="CM26" i="13"/>
  <c r="CL26" i="13"/>
  <c r="CN26" i="13" s="1"/>
  <c r="CK26" i="13"/>
  <c r="CV26" i="13" s="1"/>
  <c r="CJ26" i="13"/>
  <c r="CG26" i="13"/>
  <c r="BZ26" i="13"/>
  <c r="CB26" i="13" s="1"/>
  <c r="BY26" i="13"/>
  <c r="CA26" i="13" s="1"/>
  <c r="BW26" i="13"/>
  <c r="BX26" i="13" s="1"/>
  <c r="BU26" i="13"/>
  <c r="BT26" i="13"/>
  <c r="BV26" i="13" s="1"/>
  <c r="BS26" i="13"/>
  <c r="BQ26" i="13"/>
  <c r="BR26" i="13" s="1"/>
  <c r="BN26" i="13"/>
  <c r="BG26" i="13"/>
  <c r="BI26" i="13" s="1"/>
  <c r="BF26" i="13"/>
  <c r="BH26" i="13" s="1"/>
  <c r="BD26" i="13"/>
  <c r="BE26" i="13" s="1"/>
  <c r="BC26" i="13"/>
  <c r="BB26" i="13"/>
  <c r="BA26" i="13"/>
  <c r="AZ26" i="13"/>
  <c r="AX26" i="13"/>
  <c r="AY26" i="13" s="1"/>
  <c r="AU26" i="13"/>
  <c r="AV26" i="13" s="1"/>
  <c r="AW26" i="13" s="1"/>
  <c r="AR26" i="13"/>
  <c r="AO26" i="13"/>
  <c r="AN26" i="13"/>
  <c r="AP26" i="13" s="1"/>
  <c r="AM26" i="13"/>
  <c r="AH26" i="13"/>
  <c r="AI26" i="13" s="1"/>
  <c r="AK26" i="13" s="1"/>
  <c r="AF26" i="13"/>
  <c r="AG26" i="13" s="1"/>
  <c r="AD26" i="13"/>
  <c r="AE26" i="13" s="1"/>
  <c r="AJ26" i="13" s="1"/>
  <c r="AA26" i="13"/>
  <c r="W26" i="13"/>
  <c r="X26" i="13" s="1"/>
  <c r="U26" i="13"/>
  <c r="T26" i="13"/>
  <c r="S26" i="13"/>
  <c r="R26" i="13"/>
  <c r="P26" i="13"/>
  <c r="Q26" i="13" s="1"/>
  <c r="N26" i="13"/>
  <c r="O26" i="13" s="1"/>
  <c r="L26" i="13"/>
  <c r="M26" i="13" s="1"/>
  <c r="DS25" i="13"/>
  <c r="DM25" i="13"/>
  <c r="DL25" i="13"/>
  <c r="DN25" i="13" s="1"/>
  <c r="DK25" i="13"/>
  <c r="DI25" i="13"/>
  <c r="DJ25" i="13" s="1"/>
  <c r="DF25" i="13"/>
  <c r="DH25" i="13" s="1"/>
  <c r="DE25" i="13"/>
  <c r="DG25" i="13" s="1"/>
  <c r="DC25" i="13"/>
  <c r="DD25" i="13" s="1"/>
  <c r="CZ25" i="13"/>
  <c r="CS25" i="13"/>
  <c r="CU25" i="13" s="1"/>
  <c r="CR25" i="13"/>
  <c r="CT25" i="13" s="1"/>
  <c r="CP25" i="13"/>
  <c r="CQ25" i="13" s="1"/>
  <c r="CO25" i="13"/>
  <c r="CW25" i="13" s="1"/>
  <c r="CM25" i="13"/>
  <c r="CL25" i="13"/>
  <c r="CN25" i="13" s="1"/>
  <c r="CJ25" i="13"/>
  <c r="CK25" i="13" s="1"/>
  <c r="CG25" i="13"/>
  <c r="CB25" i="13"/>
  <c r="BZ25" i="13"/>
  <c r="BY25" i="13"/>
  <c r="CA25" i="13" s="1"/>
  <c r="BX25" i="13"/>
  <c r="BW25" i="13"/>
  <c r="BU25" i="13"/>
  <c r="BT25" i="13"/>
  <c r="BV25" i="13" s="1"/>
  <c r="BS25" i="13"/>
  <c r="BQ25" i="13"/>
  <c r="BR25" i="13" s="1"/>
  <c r="BN25" i="13"/>
  <c r="BI25" i="13"/>
  <c r="BG25" i="13"/>
  <c r="BF25" i="13"/>
  <c r="BH25" i="13" s="1"/>
  <c r="BD25" i="13"/>
  <c r="BE25" i="13" s="1"/>
  <c r="BA25" i="13"/>
  <c r="BC25" i="13" s="1"/>
  <c r="AZ25" i="13"/>
  <c r="BB25" i="13" s="1"/>
  <c r="AX25" i="13"/>
  <c r="AY25" i="13" s="1"/>
  <c r="AV25" i="13"/>
  <c r="AW25" i="13" s="1"/>
  <c r="AU25" i="13"/>
  <c r="AR25" i="13"/>
  <c r="AO25" i="13"/>
  <c r="AN25" i="13"/>
  <c r="AM25" i="13"/>
  <c r="AH25" i="13"/>
  <c r="AI25" i="13" s="1"/>
  <c r="AK25" i="13" s="1"/>
  <c r="AF25" i="13"/>
  <c r="AG25" i="13" s="1"/>
  <c r="AD25" i="13"/>
  <c r="AE25" i="13" s="1"/>
  <c r="AJ25" i="13" s="1"/>
  <c r="AA25" i="13"/>
  <c r="W25" i="13"/>
  <c r="X25" i="13" s="1"/>
  <c r="U25" i="13"/>
  <c r="T25" i="13"/>
  <c r="S25" i="13"/>
  <c r="R25" i="13"/>
  <c r="P25" i="13"/>
  <c r="Q25" i="13" s="1"/>
  <c r="N25" i="13"/>
  <c r="O25" i="13" s="1"/>
  <c r="L25" i="13"/>
  <c r="M25" i="13" s="1"/>
  <c r="DS24" i="13"/>
  <c r="DN24" i="13"/>
  <c r="DL24" i="13"/>
  <c r="DK24" i="13"/>
  <c r="DM24" i="13" s="1"/>
  <c r="DI24" i="13"/>
  <c r="DJ24" i="13" s="1"/>
  <c r="DF24" i="13"/>
  <c r="DH24" i="13" s="1"/>
  <c r="DE24" i="13"/>
  <c r="DG24" i="13" s="1"/>
  <c r="DC24" i="13"/>
  <c r="DD24" i="13" s="1"/>
  <c r="CZ24" i="13"/>
  <c r="CU24" i="13"/>
  <c r="CS24" i="13"/>
  <c r="CR24" i="13"/>
  <c r="CT24" i="13" s="1"/>
  <c r="CP24" i="13"/>
  <c r="CQ24" i="13" s="1"/>
  <c r="CM24" i="13"/>
  <c r="CO24" i="13" s="1"/>
  <c r="CL24" i="13"/>
  <c r="CN24" i="13" s="1"/>
  <c r="CJ24" i="13"/>
  <c r="CK24" i="13" s="1"/>
  <c r="CG24" i="13"/>
  <c r="BZ24" i="13"/>
  <c r="CB24" i="13" s="1"/>
  <c r="BY24" i="13"/>
  <c r="CA24" i="13" s="1"/>
  <c r="BW24" i="13"/>
  <c r="BX24" i="13" s="1"/>
  <c r="BV24" i="13"/>
  <c r="BT24" i="13"/>
  <c r="BS24" i="13"/>
  <c r="BU24" i="13" s="1"/>
  <c r="BR24" i="13"/>
  <c r="BQ24" i="13"/>
  <c r="BN24" i="13"/>
  <c r="BG24" i="13"/>
  <c r="BI24" i="13" s="1"/>
  <c r="BF24" i="13"/>
  <c r="BH24" i="13" s="1"/>
  <c r="BD24" i="13"/>
  <c r="BE24" i="13" s="1"/>
  <c r="BB24" i="13"/>
  <c r="BA24" i="13"/>
  <c r="BC24" i="13" s="1"/>
  <c r="BK24" i="13" s="1"/>
  <c r="AZ24" i="13"/>
  <c r="AX24" i="13"/>
  <c r="AY24" i="13" s="1"/>
  <c r="AU24" i="13"/>
  <c r="AR24" i="13"/>
  <c r="AO24" i="13"/>
  <c r="AN24" i="13"/>
  <c r="AM24" i="13"/>
  <c r="AP24" i="13" s="1"/>
  <c r="AH24" i="13"/>
  <c r="AI24" i="13" s="1"/>
  <c r="AK24" i="13" s="1"/>
  <c r="AF24" i="13"/>
  <c r="AG24" i="13" s="1"/>
  <c r="AD24" i="13"/>
  <c r="AE24" i="13" s="1"/>
  <c r="AJ24" i="13" s="1"/>
  <c r="AA24" i="13"/>
  <c r="W24" i="13"/>
  <c r="X24" i="13" s="1"/>
  <c r="U24" i="13"/>
  <c r="T24" i="13"/>
  <c r="S24" i="13"/>
  <c r="R24" i="13"/>
  <c r="P24" i="13"/>
  <c r="Q24" i="13" s="1"/>
  <c r="N24" i="13"/>
  <c r="O24" i="13" s="1"/>
  <c r="L24" i="13"/>
  <c r="M24" i="13" s="1"/>
  <c r="DS23" i="13"/>
  <c r="DL23" i="13"/>
  <c r="DN23" i="13" s="1"/>
  <c r="DK23" i="13"/>
  <c r="DM23" i="13" s="1"/>
  <c r="DI23" i="13"/>
  <c r="DJ23" i="13" s="1"/>
  <c r="DH23" i="13"/>
  <c r="DP23" i="13" s="1"/>
  <c r="DF23" i="13"/>
  <c r="DE23" i="13"/>
  <c r="DG23" i="13" s="1"/>
  <c r="DD23" i="13"/>
  <c r="DC23" i="13"/>
  <c r="CZ23" i="13"/>
  <c r="CS23" i="13"/>
  <c r="CU23" i="13" s="1"/>
  <c r="CR23" i="13"/>
  <c r="CT23" i="13" s="1"/>
  <c r="CP23" i="13"/>
  <c r="CQ23" i="13" s="1"/>
  <c r="CO23" i="13"/>
  <c r="CM23" i="13"/>
  <c r="CL23" i="13"/>
  <c r="CN23" i="13" s="1"/>
  <c r="CJ23" i="13"/>
  <c r="CK23" i="13" s="1"/>
  <c r="CG23" i="13"/>
  <c r="BZ23" i="13"/>
  <c r="CB23" i="13" s="1"/>
  <c r="BY23" i="13"/>
  <c r="CA23" i="13" s="1"/>
  <c r="BW23" i="13"/>
  <c r="BX23" i="13" s="1"/>
  <c r="BU23" i="13"/>
  <c r="BT23" i="13"/>
  <c r="BV23" i="13" s="1"/>
  <c r="BS23" i="13"/>
  <c r="BQ23" i="13"/>
  <c r="BR23" i="13" s="1"/>
  <c r="BN23" i="13"/>
  <c r="BI23" i="13"/>
  <c r="BG23" i="13"/>
  <c r="BF23" i="13"/>
  <c r="BH23" i="13" s="1"/>
  <c r="BD23" i="13"/>
  <c r="BE23" i="13" s="1"/>
  <c r="BA23" i="13"/>
  <c r="BC23" i="13" s="1"/>
  <c r="AZ23" i="13"/>
  <c r="BB23" i="13" s="1"/>
  <c r="AX23" i="13"/>
  <c r="AY23" i="13" s="1"/>
  <c r="AV23" i="13"/>
  <c r="AW23" i="13" s="1"/>
  <c r="AU23" i="13"/>
  <c r="AR23" i="13"/>
  <c r="AO23" i="13"/>
  <c r="AN23" i="13"/>
  <c r="AM23" i="13"/>
  <c r="AH23" i="13"/>
  <c r="AI23" i="13" s="1"/>
  <c r="AK23" i="13" s="1"/>
  <c r="AF23" i="13"/>
  <c r="AG23" i="13" s="1"/>
  <c r="AD23" i="13"/>
  <c r="AE23" i="13" s="1"/>
  <c r="AJ23" i="13" s="1"/>
  <c r="AA23" i="13"/>
  <c r="W23" i="13"/>
  <c r="X23" i="13" s="1"/>
  <c r="U23" i="13"/>
  <c r="T23" i="13"/>
  <c r="S23" i="13"/>
  <c r="R23" i="13"/>
  <c r="P23" i="13"/>
  <c r="Q23" i="13" s="1"/>
  <c r="N23" i="13"/>
  <c r="O23" i="13" s="1"/>
  <c r="L23" i="13"/>
  <c r="DS22" i="13"/>
  <c r="DN22" i="13"/>
  <c r="DL22" i="13"/>
  <c r="DK22" i="13"/>
  <c r="DM22" i="13" s="1"/>
  <c r="DJ22" i="13"/>
  <c r="DI22" i="13"/>
  <c r="DG22" i="13"/>
  <c r="DF22" i="13"/>
  <c r="DH22" i="13" s="1"/>
  <c r="DE22" i="13"/>
  <c r="DC22" i="13"/>
  <c r="DD22" i="13" s="1"/>
  <c r="CZ22" i="13"/>
  <c r="CU22" i="13"/>
  <c r="CS22" i="13"/>
  <c r="CR22" i="13"/>
  <c r="CT22" i="13" s="1"/>
  <c r="CP22" i="13"/>
  <c r="CQ22" i="13" s="1"/>
  <c r="CM22" i="13"/>
  <c r="CO22" i="13" s="1"/>
  <c r="CL22" i="13"/>
  <c r="CN22" i="13" s="1"/>
  <c r="CJ22" i="13"/>
  <c r="CK22" i="13" s="1"/>
  <c r="CG22" i="13"/>
  <c r="BZ22" i="13"/>
  <c r="CB22" i="13" s="1"/>
  <c r="BY22" i="13"/>
  <c r="CA22" i="13" s="1"/>
  <c r="BW22" i="13"/>
  <c r="BX22" i="13" s="1"/>
  <c r="BT22" i="13"/>
  <c r="BV22" i="13" s="1"/>
  <c r="BS22" i="13"/>
  <c r="BU22" i="13" s="1"/>
  <c r="BQ22" i="13"/>
  <c r="BR22" i="13" s="1"/>
  <c r="BN22" i="13"/>
  <c r="BG22" i="13"/>
  <c r="BI22" i="13" s="1"/>
  <c r="BF22" i="13"/>
  <c r="BH22" i="13" s="1"/>
  <c r="BD22" i="13"/>
  <c r="BE22" i="13" s="1"/>
  <c r="BC22" i="13"/>
  <c r="BA22" i="13"/>
  <c r="AZ22" i="13"/>
  <c r="BB22" i="13" s="1"/>
  <c r="AX22" i="13"/>
  <c r="AY22" i="13" s="1"/>
  <c r="AU22" i="13"/>
  <c r="AR22" i="13"/>
  <c r="AO22" i="13"/>
  <c r="AN22" i="13"/>
  <c r="AM22" i="13"/>
  <c r="AH22" i="13"/>
  <c r="AI22" i="13" s="1"/>
  <c r="AK22" i="13" s="1"/>
  <c r="AF22" i="13"/>
  <c r="AG22" i="13" s="1"/>
  <c r="AD22" i="13"/>
  <c r="AE22" i="13" s="1"/>
  <c r="AJ22" i="13" s="1"/>
  <c r="AA22" i="13"/>
  <c r="W22" i="13"/>
  <c r="X22" i="13" s="1"/>
  <c r="U22" i="13"/>
  <c r="T22" i="13"/>
  <c r="S22" i="13"/>
  <c r="R22" i="13"/>
  <c r="P22" i="13"/>
  <c r="Q22" i="13" s="1"/>
  <c r="N22" i="13"/>
  <c r="O22" i="13" s="1"/>
  <c r="L22" i="13"/>
  <c r="M22" i="13" s="1"/>
  <c r="DS21" i="13"/>
  <c r="DM21" i="13"/>
  <c r="DL21" i="13"/>
  <c r="DN21" i="13" s="1"/>
  <c r="DK21" i="13"/>
  <c r="DI21" i="13"/>
  <c r="DJ21" i="13" s="1"/>
  <c r="DF21" i="13"/>
  <c r="DH21" i="13" s="1"/>
  <c r="DE21" i="13"/>
  <c r="DG21" i="13" s="1"/>
  <c r="DC21" i="13"/>
  <c r="DD21" i="13" s="1"/>
  <c r="CZ21" i="13"/>
  <c r="CS21" i="13"/>
  <c r="CU21" i="13" s="1"/>
  <c r="CR21" i="13"/>
  <c r="CT21" i="13" s="1"/>
  <c r="CP21" i="13"/>
  <c r="CQ21" i="13" s="1"/>
  <c r="CO21" i="13"/>
  <c r="CN21" i="13"/>
  <c r="CM21" i="13"/>
  <c r="CL21" i="13"/>
  <c r="CJ21" i="13"/>
  <c r="CK21" i="13" s="1"/>
  <c r="CG21" i="13"/>
  <c r="CB21" i="13"/>
  <c r="BZ21" i="13"/>
  <c r="BY21" i="13"/>
  <c r="CA21" i="13" s="1"/>
  <c r="BX21" i="13"/>
  <c r="BW21" i="13"/>
  <c r="BT21" i="13"/>
  <c r="BV21" i="13" s="1"/>
  <c r="BS21" i="13"/>
  <c r="BU21" i="13" s="1"/>
  <c r="BQ21" i="13"/>
  <c r="BR21" i="13" s="1"/>
  <c r="BN21" i="13"/>
  <c r="BI21" i="13"/>
  <c r="BH21" i="13"/>
  <c r="BG21" i="13"/>
  <c r="BF21" i="13"/>
  <c r="BD21" i="13"/>
  <c r="BE21" i="13" s="1"/>
  <c r="BA21" i="13"/>
  <c r="BC21" i="13" s="1"/>
  <c r="AZ21" i="13"/>
  <c r="BB21" i="13" s="1"/>
  <c r="AX21" i="13"/>
  <c r="AY21" i="13" s="1"/>
  <c r="AU21" i="13"/>
  <c r="AV21" i="13" s="1"/>
  <c r="AW21" i="13" s="1"/>
  <c r="AR21" i="13"/>
  <c r="AO21" i="13"/>
  <c r="AN21" i="13"/>
  <c r="AM21" i="13"/>
  <c r="AP21" i="13" s="1"/>
  <c r="AI21" i="13"/>
  <c r="AK21" i="13" s="1"/>
  <c r="AH21" i="13"/>
  <c r="AF21" i="13"/>
  <c r="AG21" i="13" s="1"/>
  <c r="AD21" i="13"/>
  <c r="AE21" i="13" s="1"/>
  <c r="AJ21" i="13" s="1"/>
  <c r="AA21" i="13"/>
  <c r="W21" i="13"/>
  <c r="X21" i="13" s="1"/>
  <c r="U21" i="13"/>
  <c r="T21" i="13"/>
  <c r="S21" i="13"/>
  <c r="R21" i="13"/>
  <c r="P21" i="13"/>
  <c r="Q21" i="13" s="1"/>
  <c r="N21" i="13"/>
  <c r="O21" i="13" s="1"/>
  <c r="L21" i="13"/>
  <c r="DS20" i="13"/>
  <c r="DN20" i="13"/>
  <c r="DL20" i="13"/>
  <c r="DK20" i="13"/>
  <c r="DM20" i="13" s="1"/>
  <c r="DJ20" i="13"/>
  <c r="DI20" i="13"/>
  <c r="DF20" i="13"/>
  <c r="DH20" i="13" s="1"/>
  <c r="DE20" i="13"/>
  <c r="DG20" i="13" s="1"/>
  <c r="DC20" i="13"/>
  <c r="DD20" i="13" s="1"/>
  <c r="CZ20" i="13"/>
  <c r="CS20" i="13"/>
  <c r="CU20" i="13" s="1"/>
  <c r="CR20" i="13"/>
  <c r="CT20" i="13" s="1"/>
  <c r="CP20" i="13"/>
  <c r="CQ20" i="13" s="1"/>
  <c r="CM20" i="13"/>
  <c r="CO20" i="13" s="1"/>
  <c r="CL20" i="13"/>
  <c r="CN20" i="13" s="1"/>
  <c r="CJ20" i="13"/>
  <c r="CK20" i="13" s="1"/>
  <c r="CG20" i="13"/>
  <c r="BZ20" i="13"/>
  <c r="CB20" i="13" s="1"/>
  <c r="BY20" i="13"/>
  <c r="CA20" i="13" s="1"/>
  <c r="BW20" i="13"/>
  <c r="BX20" i="13" s="1"/>
  <c r="BV20" i="13"/>
  <c r="BT20" i="13"/>
  <c r="BS20" i="13"/>
  <c r="BU20" i="13" s="1"/>
  <c r="BR20" i="13"/>
  <c r="BQ20" i="13"/>
  <c r="BN20" i="13"/>
  <c r="BG20" i="13"/>
  <c r="BI20" i="13" s="1"/>
  <c r="BF20" i="13"/>
  <c r="BH20" i="13" s="1"/>
  <c r="BD20" i="13"/>
  <c r="BE20" i="13" s="1"/>
  <c r="BB20" i="13"/>
  <c r="BA20" i="13"/>
  <c r="BC20" i="13" s="1"/>
  <c r="AZ20" i="13"/>
  <c r="AX20" i="13"/>
  <c r="AY20" i="13" s="1"/>
  <c r="AU20" i="13"/>
  <c r="AV20" i="13" s="1"/>
  <c r="AW20" i="13" s="1"/>
  <c r="AR20" i="13"/>
  <c r="AP20" i="13"/>
  <c r="AO20" i="13"/>
  <c r="AN20" i="13"/>
  <c r="AM20" i="13"/>
  <c r="AH20" i="13"/>
  <c r="AI20" i="13" s="1"/>
  <c r="AK20" i="13" s="1"/>
  <c r="AF20" i="13"/>
  <c r="AG20" i="13" s="1"/>
  <c r="AE20" i="13"/>
  <c r="AJ20" i="13" s="1"/>
  <c r="AD20" i="13"/>
  <c r="AA20" i="13"/>
  <c r="W20" i="13"/>
  <c r="X20" i="13" s="1"/>
  <c r="U20" i="13"/>
  <c r="T20" i="13"/>
  <c r="S20" i="13"/>
  <c r="R20" i="13"/>
  <c r="P20" i="13"/>
  <c r="Q20" i="13" s="1"/>
  <c r="N20" i="13"/>
  <c r="O20" i="13" s="1"/>
  <c r="L20" i="13"/>
  <c r="M20" i="13" s="1"/>
  <c r="DS19" i="13"/>
  <c r="DL19" i="13"/>
  <c r="DN19" i="13" s="1"/>
  <c r="DK19" i="13"/>
  <c r="DM19" i="13" s="1"/>
  <c r="DI19" i="13"/>
  <c r="DJ19" i="13" s="1"/>
  <c r="DF19" i="13"/>
  <c r="DH19" i="13" s="1"/>
  <c r="DP19" i="13" s="1"/>
  <c r="DE19" i="13"/>
  <c r="DG19" i="13" s="1"/>
  <c r="DD19" i="13"/>
  <c r="DC19" i="13"/>
  <c r="CZ19" i="13"/>
  <c r="CS19" i="13"/>
  <c r="CU19" i="13" s="1"/>
  <c r="CR19" i="13"/>
  <c r="CT19" i="13" s="1"/>
  <c r="CP19" i="13"/>
  <c r="CQ19" i="13" s="1"/>
  <c r="CN19" i="13"/>
  <c r="CM19" i="13"/>
  <c r="CO19" i="13" s="1"/>
  <c r="CL19" i="13"/>
  <c r="CJ19" i="13"/>
  <c r="CK19" i="13" s="1"/>
  <c r="CG19" i="13"/>
  <c r="BZ19" i="13"/>
  <c r="CB19" i="13" s="1"/>
  <c r="BY19" i="13"/>
  <c r="CA19" i="13" s="1"/>
  <c r="BW19" i="13"/>
  <c r="BX19" i="13" s="1"/>
  <c r="BT19" i="13"/>
  <c r="BV19" i="13" s="1"/>
  <c r="BS19" i="13"/>
  <c r="BU19" i="13" s="1"/>
  <c r="BQ19" i="13"/>
  <c r="BR19" i="13" s="1"/>
  <c r="BN19" i="13"/>
  <c r="BI19" i="13"/>
  <c r="BH19" i="13"/>
  <c r="BG19" i="13"/>
  <c r="BF19" i="13"/>
  <c r="BD19" i="13"/>
  <c r="BE19" i="13" s="1"/>
  <c r="BA19" i="13"/>
  <c r="BC19" i="13" s="1"/>
  <c r="AZ19" i="13"/>
  <c r="BB19" i="13" s="1"/>
  <c r="AX19" i="13"/>
  <c r="AY19" i="13" s="1"/>
  <c r="AU19" i="13"/>
  <c r="AR19" i="13"/>
  <c r="AO19" i="13"/>
  <c r="AN19" i="13"/>
  <c r="AM19" i="13"/>
  <c r="AP19" i="13" s="1"/>
  <c r="AH19" i="13"/>
  <c r="AI19" i="13" s="1"/>
  <c r="AK19" i="13" s="1"/>
  <c r="AF19" i="13"/>
  <c r="AG19" i="13" s="1"/>
  <c r="AD19" i="13"/>
  <c r="AE19" i="13" s="1"/>
  <c r="AJ19" i="13" s="1"/>
  <c r="AA19" i="13"/>
  <c r="W19" i="13"/>
  <c r="X19" i="13" s="1"/>
  <c r="U19" i="13"/>
  <c r="T19" i="13"/>
  <c r="S19" i="13"/>
  <c r="R19" i="13"/>
  <c r="P19" i="13"/>
  <c r="Q19" i="13" s="1"/>
  <c r="N19" i="13"/>
  <c r="O19" i="13" s="1"/>
  <c r="L19" i="13"/>
  <c r="DS18" i="13"/>
  <c r="DL18" i="13"/>
  <c r="DN18" i="13" s="1"/>
  <c r="DK18" i="13"/>
  <c r="DM18" i="13" s="1"/>
  <c r="DI18" i="13"/>
  <c r="DJ18" i="13" s="1"/>
  <c r="DF18" i="13"/>
  <c r="DH18" i="13" s="1"/>
  <c r="DE18" i="13"/>
  <c r="DG18" i="13" s="1"/>
  <c r="DC18" i="13"/>
  <c r="DD18" i="13" s="1"/>
  <c r="CZ18" i="13"/>
  <c r="CS18" i="13"/>
  <c r="CU18" i="13" s="1"/>
  <c r="CR18" i="13"/>
  <c r="CT18" i="13" s="1"/>
  <c r="CP18" i="13"/>
  <c r="CQ18" i="13" s="1"/>
  <c r="CO18" i="13"/>
  <c r="CM18" i="13"/>
  <c r="CL18" i="13"/>
  <c r="CN18" i="13" s="1"/>
  <c r="CJ18" i="13"/>
  <c r="CK18" i="13" s="1"/>
  <c r="CG18" i="13"/>
  <c r="BZ18" i="13"/>
  <c r="CB18" i="13" s="1"/>
  <c r="BY18" i="13"/>
  <c r="CA18" i="13" s="1"/>
  <c r="BW18" i="13"/>
  <c r="BX18" i="13" s="1"/>
  <c r="BV18" i="13"/>
  <c r="BT18" i="13"/>
  <c r="BS18" i="13"/>
  <c r="BU18" i="13" s="1"/>
  <c r="BQ18" i="13"/>
  <c r="BR18" i="13" s="1"/>
  <c r="BN18" i="13"/>
  <c r="BI18" i="13"/>
  <c r="BG18" i="13"/>
  <c r="BF18" i="13"/>
  <c r="BH18" i="13" s="1"/>
  <c r="BE18" i="13"/>
  <c r="BD18" i="13"/>
  <c r="BB18" i="13"/>
  <c r="BA18" i="13"/>
  <c r="BC18" i="13" s="1"/>
  <c r="AZ18" i="13"/>
  <c r="AX18" i="13"/>
  <c r="AY18" i="13" s="1"/>
  <c r="AU18" i="13"/>
  <c r="AV18" i="13" s="1"/>
  <c r="AW18" i="13" s="1"/>
  <c r="AR18" i="13"/>
  <c r="AO18" i="13"/>
  <c r="AN18" i="13"/>
  <c r="AM18" i="13"/>
  <c r="AH18" i="13"/>
  <c r="AI18" i="13" s="1"/>
  <c r="AK18" i="13" s="1"/>
  <c r="AG18" i="13"/>
  <c r="AF18" i="13"/>
  <c r="AD18" i="13"/>
  <c r="AE18" i="13" s="1"/>
  <c r="AJ18" i="13" s="1"/>
  <c r="AA18" i="13"/>
  <c r="W18" i="13"/>
  <c r="X18" i="13" s="1"/>
  <c r="U18" i="13"/>
  <c r="T18" i="13"/>
  <c r="S18" i="13"/>
  <c r="R18" i="13"/>
  <c r="P18" i="13"/>
  <c r="Q18" i="13" s="1"/>
  <c r="N18" i="13"/>
  <c r="L18" i="13"/>
  <c r="M18" i="13" s="1"/>
  <c r="DS17" i="13"/>
  <c r="DL17" i="13"/>
  <c r="DN17" i="13" s="1"/>
  <c r="DK17" i="13"/>
  <c r="DM17" i="13" s="1"/>
  <c r="DI17" i="13"/>
  <c r="DJ17" i="13" s="1"/>
  <c r="DG17" i="13"/>
  <c r="DF17" i="13"/>
  <c r="DH17" i="13" s="1"/>
  <c r="DE17" i="13"/>
  <c r="DC17" i="13"/>
  <c r="DD17" i="13" s="1"/>
  <c r="CZ17" i="13"/>
  <c r="CU17" i="13"/>
  <c r="CS17" i="13"/>
  <c r="CR17" i="13"/>
  <c r="CT17" i="13" s="1"/>
  <c r="CP17" i="13"/>
  <c r="CQ17" i="13" s="1"/>
  <c r="CM17" i="13"/>
  <c r="CO17" i="13" s="1"/>
  <c r="CL17" i="13"/>
  <c r="CN17" i="13" s="1"/>
  <c r="CJ17" i="13"/>
  <c r="CK17" i="13" s="1"/>
  <c r="CG17" i="13"/>
  <c r="CB17" i="13"/>
  <c r="CA17" i="13"/>
  <c r="BZ17" i="13"/>
  <c r="BY17" i="13"/>
  <c r="BW17" i="13"/>
  <c r="BX17" i="13" s="1"/>
  <c r="BT17" i="13"/>
  <c r="BV17" i="13" s="1"/>
  <c r="BS17" i="13"/>
  <c r="BU17" i="13" s="1"/>
  <c r="BQ17" i="13"/>
  <c r="BR17" i="13" s="1"/>
  <c r="BN17" i="13"/>
  <c r="BH17" i="13"/>
  <c r="BG17" i="13"/>
  <c r="BI17" i="13" s="1"/>
  <c r="BF17" i="13"/>
  <c r="BD17" i="13"/>
  <c r="BE17" i="13" s="1"/>
  <c r="BA17" i="13"/>
  <c r="BC17" i="13" s="1"/>
  <c r="AZ17" i="13"/>
  <c r="BB17" i="13" s="1"/>
  <c r="AY17" i="13"/>
  <c r="AX17" i="13"/>
  <c r="AU17" i="13"/>
  <c r="AV17" i="13" s="1"/>
  <c r="AW17" i="13" s="1"/>
  <c r="AR17" i="13"/>
  <c r="AO17" i="13"/>
  <c r="AN17" i="13"/>
  <c r="AM17" i="13"/>
  <c r="AP17" i="13" s="1"/>
  <c r="AH17" i="13"/>
  <c r="AI17" i="13" s="1"/>
  <c r="AK17" i="13" s="1"/>
  <c r="AF17" i="13"/>
  <c r="AG17" i="13" s="1"/>
  <c r="AE17" i="13"/>
  <c r="AJ17" i="13" s="1"/>
  <c r="AD17" i="13"/>
  <c r="AA17" i="13"/>
  <c r="W17" i="13"/>
  <c r="X17" i="13" s="1"/>
  <c r="U17" i="13"/>
  <c r="T17" i="13"/>
  <c r="S17" i="13"/>
  <c r="R17" i="13"/>
  <c r="P17" i="13"/>
  <c r="Q17" i="13" s="1"/>
  <c r="N17" i="13"/>
  <c r="O17" i="13" s="1"/>
  <c r="L17" i="13"/>
  <c r="DS16" i="13"/>
  <c r="DN16" i="13"/>
  <c r="DL16" i="13"/>
  <c r="DK16" i="13"/>
  <c r="DM16" i="13" s="1"/>
  <c r="DI16" i="13"/>
  <c r="DJ16" i="13" s="1"/>
  <c r="DF16" i="13"/>
  <c r="DH16" i="13" s="1"/>
  <c r="DE16" i="13"/>
  <c r="DG16" i="13" s="1"/>
  <c r="DC16" i="13"/>
  <c r="DD16" i="13" s="1"/>
  <c r="CZ16" i="13"/>
  <c r="CS16" i="13"/>
  <c r="CU16" i="13" s="1"/>
  <c r="CR16" i="13"/>
  <c r="CT16" i="13" s="1"/>
  <c r="CP16" i="13"/>
  <c r="CQ16" i="13" s="1"/>
  <c r="CM16" i="13"/>
  <c r="CO16" i="13" s="1"/>
  <c r="CL16" i="13"/>
  <c r="CN16" i="13" s="1"/>
  <c r="CK16" i="13"/>
  <c r="CJ16" i="13"/>
  <c r="CG16" i="13"/>
  <c r="BZ16" i="13"/>
  <c r="CB16" i="13" s="1"/>
  <c r="BY16" i="13"/>
  <c r="CA16" i="13" s="1"/>
  <c r="BW16" i="13"/>
  <c r="BX16" i="13" s="1"/>
  <c r="BT16" i="13"/>
  <c r="BV16" i="13" s="1"/>
  <c r="BS16" i="13"/>
  <c r="BU16" i="13" s="1"/>
  <c r="BQ16" i="13"/>
  <c r="BR16" i="13" s="1"/>
  <c r="BN16" i="13"/>
  <c r="BG16" i="13"/>
  <c r="BI16" i="13" s="1"/>
  <c r="BF16" i="13"/>
  <c r="BH16" i="13" s="1"/>
  <c r="BE16" i="13"/>
  <c r="BD16" i="13"/>
  <c r="BB16" i="13"/>
  <c r="BA16" i="13"/>
  <c r="BC16" i="13" s="1"/>
  <c r="AZ16" i="13"/>
  <c r="AX16" i="13"/>
  <c r="AY16" i="13" s="1"/>
  <c r="AU16" i="13"/>
  <c r="AV16" i="13" s="1"/>
  <c r="AW16" i="13" s="1"/>
  <c r="AR16" i="13"/>
  <c r="AO16" i="13"/>
  <c r="AN16" i="13"/>
  <c r="AM16" i="13"/>
  <c r="AH16" i="13"/>
  <c r="AI16" i="13" s="1"/>
  <c r="AK16" i="13" s="1"/>
  <c r="AG16" i="13"/>
  <c r="AF16" i="13"/>
  <c r="AD16" i="13"/>
  <c r="AE16" i="13" s="1"/>
  <c r="AJ16" i="13" s="1"/>
  <c r="AA16" i="13"/>
  <c r="W16" i="13"/>
  <c r="X16" i="13" s="1"/>
  <c r="U16" i="13"/>
  <c r="T16" i="13"/>
  <c r="S16" i="13"/>
  <c r="R16" i="13"/>
  <c r="P16" i="13"/>
  <c r="Q16" i="13" s="1"/>
  <c r="N16" i="13"/>
  <c r="L16" i="13"/>
  <c r="M16" i="13" s="1"/>
  <c r="DS15" i="13"/>
  <c r="DL15" i="13"/>
  <c r="DN15" i="13" s="1"/>
  <c r="DK15" i="13"/>
  <c r="DM15" i="13" s="1"/>
  <c r="DI15" i="13"/>
  <c r="DJ15" i="13" s="1"/>
  <c r="DH15" i="13"/>
  <c r="DP15" i="13" s="1"/>
  <c r="DF15" i="13"/>
  <c r="DE15" i="13"/>
  <c r="DG15" i="13" s="1"/>
  <c r="DC15" i="13"/>
  <c r="DD15" i="13" s="1"/>
  <c r="CZ15" i="13"/>
  <c r="CU15" i="13"/>
  <c r="CS15" i="13"/>
  <c r="CR15" i="13"/>
  <c r="CT15" i="13" s="1"/>
  <c r="CQ15" i="13"/>
  <c r="CP15" i="13"/>
  <c r="CN15" i="13"/>
  <c r="CM15" i="13"/>
  <c r="CO15" i="13" s="1"/>
  <c r="CL15" i="13"/>
  <c r="CJ15" i="13"/>
  <c r="CK15" i="13" s="1"/>
  <c r="CG15" i="13"/>
  <c r="CB15" i="13"/>
  <c r="BZ15" i="13"/>
  <c r="BY15" i="13"/>
  <c r="CA15" i="13" s="1"/>
  <c r="BW15" i="13"/>
  <c r="BX15" i="13" s="1"/>
  <c r="BT15" i="13"/>
  <c r="BV15" i="13" s="1"/>
  <c r="BS15" i="13"/>
  <c r="BU15" i="13" s="1"/>
  <c r="BQ15" i="13"/>
  <c r="BR15" i="13" s="1"/>
  <c r="BN15" i="13"/>
  <c r="BG15" i="13"/>
  <c r="BI15" i="13" s="1"/>
  <c r="BF15" i="13"/>
  <c r="BH15" i="13" s="1"/>
  <c r="BD15" i="13"/>
  <c r="BE15" i="13" s="1"/>
  <c r="BA15" i="13"/>
  <c r="BC15" i="13" s="1"/>
  <c r="AZ15" i="13"/>
  <c r="BB15" i="13" s="1"/>
  <c r="AY15" i="13"/>
  <c r="AX15" i="13"/>
  <c r="AU15" i="13"/>
  <c r="AV15" i="13" s="1"/>
  <c r="AW15" i="13" s="1"/>
  <c r="AR15" i="13"/>
  <c r="AO15" i="13"/>
  <c r="AN15" i="13"/>
  <c r="AM15" i="13"/>
  <c r="AP15" i="13" s="1"/>
  <c r="AH15" i="13"/>
  <c r="AI15" i="13" s="1"/>
  <c r="AK15" i="13" s="1"/>
  <c r="AF15" i="13"/>
  <c r="AG15" i="13" s="1"/>
  <c r="AE15" i="13"/>
  <c r="AJ15" i="13" s="1"/>
  <c r="AD15" i="13"/>
  <c r="AA15" i="13"/>
  <c r="W15" i="13"/>
  <c r="X15" i="13" s="1"/>
  <c r="U15" i="13"/>
  <c r="T15" i="13"/>
  <c r="S15" i="13"/>
  <c r="R15" i="13"/>
  <c r="P15" i="13"/>
  <c r="Q15" i="13" s="1"/>
  <c r="N15" i="13"/>
  <c r="O15" i="13" s="1"/>
  <c r="L15" i="13"/>
  <c r="DS14" i="13"/>
  <c r="DL14" i="13"/>
  <c r="DK14" i="13"/>
  <c r="DI14" i="13"/>
  <c r="DF14" i="13"/>
  <c r="DE14" i="13"/>
  <c r="DC14" i="13"/>
  <c r="CZ14" i="13"/>
  <c r="CS14" i="13"/>
  <c r="CU14" i="13" s="1"/>
  <c r="CR14" i="13"/>
  <c r="CT14" i="13" s="1"/>
  <c r="CP14" i="13"/>
  <c r="CQ14" i="13" s="1"/>
  <c r="CO14" i="13"/>
  <c r="CM14" i="13"/>
  <c r="CL14" i="13"/>
  <c r="CN14" i="13" s="1"/>
  <c r="CJ14" i="13"/>
  <c r="CK14" i="13" s="1"/>
  <c r="CG14" i="13"/>
  <c r="BZ14" i="13"/>
  <c r="BY14" i="13"/>
  <c r="BW14" i="13"/>
  <c r="BT14" i="13"/>
  <c r="BS14" i="13"/>
  <c r="BQ14" i="13"/>
  <c r="BN14" i="13"/>
  <c r="BG14" i="13"/>
  <c r="BF14" i="13"/>
  <c r="BD14" i="13"/>
  <c r="BA14" i="13"/>
  <c r="AZ14" i="13"/>
  <c r="AX14" i="13"/>
  <c r="AU14" i="13"/>
  <c r="AV14" i="13" s="1"/>
  <c r="AW14" i="13" s="1"/>
  <c r="AO14" i="13"/>
  <c r="AN14" i="13"/>
  <c r="AM14" i="13"/>
  <c r="AH14" i="13"/>
  <c r="AF14" i="13"/>
  <c r="AD14" i="13"/>
  <c r="AA14" i="13"/>
  <c r="W14" i="13"/>
  <c r="U14" i="13"/>
  <c r="T14" i="13"/>
  <c r="S14" i="13"/>
  <c r="R14" i="13"/>
  <c r="P14" i="13"/>
  <c r="N14" i="13"/>
  <c r="L14" i="13"/>
  <c r="DS13" i="13"/>
  <c r="DL13" i="13"/>
  <c r="DK13" i="13"/>
  <c r="DI13" i="13"/>
  <c r="DF13" i="13"/>
  <c r="DE13" i="13"/>
  <c r="DC13" i="13"/>
  <c r="CZ13" i="13"/>
  <c r="CU13" i="13"/>
  <c r="CS13" i="13"/>
  <c r="CR13" i="13"/>
  <c r="CT13" i="13" s="1"/>
  <c r="CP13" i="13"/>
  <c r="CQ13" i="13" s="1"/>
  <c r="CN13" i="13"/>
  <c r="CM13" i="13"/>
  <c r="CO13" i="13" s="1"/>
  <c r="CW13" i="13" s="1"/>
  <c r="CL13" i="13"/>
  <c r="CJ13" i="13"/>
  <c r="CK13" i="13" s="1"/>
  <c r="CG13" i="13"/>
  <c r="BZ13" i="13"/>
  <c r="BY13" i="13"/>
  <c r="BW13" i="13"/>
  <c r="BT13" i="13"/>
  <c r="BS13" i="13"/>
  <c r="BQ13" i="13"/>
  <c r="BN13" i="13"/>
  <c r="BG13" i="13"/>
  <c r="BF13" i="13"/>
  <c r="BD13" i="13"/>
  <c r="BA13" i="13"/>
  <c r="AZ13" i="13"/>
  <c r="AX13" i="13"/>
  <c r="AU13" i="13"/>
  <c r="AV13" i="13" s="1"/>
  <c r="AW13" i="13" s="1"/>
  <c r="AO13" i="13"/>
  <c r="AN13" i="13"/>
  <c r="AM13" i="13"/>
  <c r="AH13" i="13"/>
  <c r="AF13" i="13"/>
  <c r="AD13" i="13"/>
  <c r="AA13" i="13"/>
  <c r="W13" i="13"/>
  <c r="U13" i="13"/>
  <c r="T13" i="13"/>
  <c r="S13" i="13"/>
  <c r="R13" i="13"/>
  <c r="P13" i="13"/>
  <c r="N13" i="13"/>
  <c r="L13" i="13"/>
  <c r="DS12" i="13"/>
  <c r="DL12" i="13"/>
  <c r="DK12" i="13"/>
  <c r="DI12" i="13"/>
  <c r="DF12" i="13"/>
  <c r="DE12" i="13"/>
  <c r="DC12" i="13"/>
  <c r="CZ12" i="13"/>
  <c r="CS12" i="13"/>
  <c r="CU12" i="13" s="1"/>
  <c r="CR12" i="13"/>
  <c r="CT12" i="13" s="1"/>
  <c r="CP12" i="13"/>
  <c r="CQ12" i="13" s="1"/>
  <c r="CO12" i="13"/>
  <c r="CW12" i="13" s="1"/>
  <c r="CM12" i="13"/>
  <c r="CL12" i="13"/>
  <c r="CN12" i="13" s="1"/>
  <c r="CJ12" i="13"/>
  <c r="CK12" i="13" s="1"/>
  <c r="CG12" i="13"/>
  <c r="BZ12" i="13"/>
  <c r="BY12" i="13"/>
  <c r="BW12" i="13"/>
  <c r="BT12" i="13"/>
  <c r="BS12" i="13"/>
  <c r="BQ12" i="13"/>
  <c r="BN12" i="13"/>
  <c r="BG12" i="13"/>
  <c r="BF12" i="13"/>
  <c r="BD12" i="13"/>
  <c r="BA12" i="13"/>
  <c r="AZ12" i="13"/>
  <c r="AX12" i="13"/>
  <c r="AV12" i="13"/>
  <c r="AW12" i="13" s="1"/>
  <c r="AU12" i="13"/>
  <c r="AO12" i="13"/>
  <c r="AN12" i="13"/>
  <c r="AM12" i="13"/>
  <c r="AH12" i="13"/>
  <c r="AF12" i="13"/>
  <c r="AD12" i="13"/>
  <c r="AA12" i="13"/>
  <c r="W12" i="13"/>
  <c r="U12" i="13"/>
  <c r="T12" i="13"/>
  <c r="S12" i="13"/>
  <c r="R12" i="13"/>
  <c r="P12" i="13"/>
  <c r="N12" i="13"/>
  <c r="L12" i="13"/>
  <c r="DS11" i="13"/>
  <c r="DL11" i="13"/>
  <c r="DK11" i="13"/>
  <c r="DI11" i="13"/>
  <c r="DF11" i="13"/>
  <c r="DE11" i="13"/>
  <c r="DC11" i="13"/>
  <c r="CZ11" i="13"/>
  <c r="CU11" i="13"/>
  <c r="CS11" i="13"/>
  <c r="CR11" i="13"/>
  <c r="CT11" i="13" s="1"/>
  <c r="CP11" i="13"/>
  <c r="CQ11" i="13" s="1"/>
  <c r="CM11" i="13"/>
  <c r="CO11" i="13" s="1"/>
  <c r="CW11" i="13" s="1"/>
  <c r="CL11" i="13"/>
  <c r="CN11" i="13" s="1"/>
  <c r="CJ11" i="13"/>
  <c r="CK11" i="13" s="1"/>
  <c r="CG11" i="13"/>
  <c r="BZ11" i="13"/>
  <c r="BY11" i="13"/>
  <c r="BW11" i="13"/>
  <c r="BT11" i="13"/>
  <c r="BS11" i="13"/>
  <c r="BQ11" i="13"/>
  <c r="BN11" i="13"/>
  <c r="BG11" i="13"/>
  <c r="BF11" i="13"/>
  <c r="BD11" i="13"/>
  <c r="BA11" i="13"/>
  <c r="AZ11" i="13"/>
  <c r="AX11" i="13"/>
  <c r="AU11" i="13"/>
  <c r="AV11" i="13" s="1"/>
  <c r="AW11" i="13" s="1"/>
  <c r="AO11" i="13"/>
  <c r="AN11" i="13"/>
  <c r="AM11" i="13"/>
  <c r="AH11" i="13"/>
  <c r="AF11" i="13"/>
  <c r="AD11" i="13"/>
  <c r="AA11" i="13"/>
  <c r="W11" i="13"/>
  <c r="U11" i="13"/>
  <c r="T11" i="13"/>
  <c r="S11" i="13"/>
  <c r="R11" i="13"/>
  <c r="P11" i="13"/>
  <c r="N11" i="13"/>
  <c r="L11" i="13"/>
  <c r="DS10" i="13"/>
  <c r="DL10" i="13"/>
  <c r="DK10" i="13"/>
  <c r="DI10" i="13"/>
  <c r="DF10" i="13"/>
  <c r="DE10" i="13"/>
  <c r="DC10" i="13"/>
  <c r="CZ10" i="13"/>
  <c r="CS10" i="13"/>
  <c r="CU10" i="13" s="1"/>
  <c r="CR10" i="13"/>
  <c r="CT10" i="13" s="1"/>
  <c r="CP10" i="13"/>
  <c r="CQ10" i="13" s="1"/>
  <c r="CO10" i="13"/>
  <c r="CM10" i="13"/>
  <c r="CL10" i="13"/>
  <c r="CN10" i="13" s="1"/>
  <c r="CJ10" i="13"/>
  <c r="CK10" i="13" s="1"/>
  <c r="CG10" i="13"/>
  <c r="BZ10" i="13"/>
  <c r="BY10" i="13"/>
  <c r="BW10" i="13"/>
  <c r="BT10" i="13"/>
  <c r="BS10" i="13"/>
  <c r="BQ10" i="13"/>
  <c r="BN10" i="13"/>
  <c r="BG10" i="13"/>
  <c r="BF10" i="13"/>
  <c r="BD10" i="13"/>
  <c r="BA10" i="13"/>
  <c r="AZ10" i="13"/>
  <c r="AX10" i="13"/>
  <c r="AU10" i="13"/>
  <c r="AV10" i="13" s="1"/>
  <c r="AW10" i="13" s="1"/>
  <c r="AO10" i="13"/>
  <c r="AN10" i="13"/>
  <c r="AM10" i="13"/>
  <c r="AH10" i="13"/>
  <c r="AF10" i="13"/>
  <c r="AD10" i="13"/>
  <c r="AA10" i="13"/>
  <c r="W10" i="13"/>
  <c r="U10" i="13"/>
  <c r="T10" i="13"/>
  <c r="S10" i="13"/>
  <c r="R10" i="13"/>
  <c r="P10" i="13"/>
  <c r="N10" i="13"/>
  <c r="L10" i="13"/>
  <c r="DS9" i="13"/>
  <c r="DL9" i="13"/>
  <c r="DK9" i="13"/>
  <c r="DI9" i="13"/>
  <c r="DF9" i="13"/>
  <c r="DE9" i="13"/>
  <c r="DC9" i="13"/>
  <c r="CZ9" i="13"/>
  <c r="CU9" i="13"/>
  <c r="CS9" i="13"/>
  <c r="CR9" i="13"/>
  <c r="CT9" i="13" s="1"/>
  <c r="CQ9" i="13"/>
  <c r="CP9" i="13"/>
  <c r="CM9" i="13"/>
  <c r="CO9" i="13" s="1"/>
  <c r="CL9" i="13"/>
  <c r="CN9" i="13" s="1"/>
  <c r="CJ9" i="13"/>
  <c r="CK9" i="13" s="1"/>
  <c r="CG9" i="13"/>
  <c r="BZ9" i="13"/>
  <c r="BY9" i="13"/>
  <c r="BW9" i="13"/>
  <c r="BT9" i="13"/>
  <c r="BS9" i="13"/>
  <c r="BQ9" i="13"/>
  <c r="BN9" i="13"/>
  <c r="BG9" i="13"/>
  <c r="BF9" i="13"/>
  <c r="BD9" i="13"/>
  <c r="BA9" i="13"/>
  <c r="AZ9" i="13"/>
  <c r="AX9" i="13"/>
  <c r="AU9" i="13"/>
  <c r="AO9" i="13"/>
  <c r="AN9" i="13"/>
  <c r="AM9" i="13"/>
  <c r="AP9" i="13" s="1"/>
  <c r="AH9" i="13"/>
  <c r="AF9" i="13"/>
  <c r="AD9" i="13"/>
  <c r="AA9" i="13"/>
  <c r="W9" i="13"/>
  <c r="U9" i="13"/>
  <c r="T9" i="13"/>
  <c r="S9" i="13"/>
  <c r="R9" i="13"/>
  <c r="P9" i="13"/>
  <c r="N9" i="13"/>
  <c r="L9" i="13"/>
  <c r="DS8" i="13"/>
  <c r="DL8" i="13"/>
  <c r="DK8" i="13"/>
  <c r="DI8" i="13"/>
  <c r="DF8" i="13"/>
  <c r="DE8" i="13"/>
  <c r="DC8" i="13"/>
  <c r="CZ8" i="13"/>
  <c r="CT8" i="13"/>
  <c r="CS8" i="13"/>
  <c r="CU8" i="13" s="1"/>
  <c r="CR8" i="13"/>
  <c r="CP8" i="13"/>
  <c r="CQ8" i="13" s="1"/>
  <c r="CM8" i="13"/>
  <c r="CO8" i="13" s="1"/>
  <c r="CW8" i="13" s="1"/>
  <c r="CL8" i="13"/>
  <c r="CN8" i="13" s="1"/>
  <c r="CK8" i="13"/>
  <c r="CJ8" i="13"/>
  <c r="CG8" i="13"/>
  <c r="BZ8" i="13"/>
  <c r="BY8" i="13"/>
  <c r="BW8" i="13"/>
  <c r="BT8" i="13"/>
  <c r="BS8" i="13"/>
  <c r="BQ8" i="13"/>
  <c r="BN8" i="13"/>
  <c r="BG8" i="13"/>
  <c r="BF8" i="13"/>
  <c r="BD8" i="13"/>
  <c r="BA8" i="13"/>
  <c r="AZ8" i="13"/>
  <c r="AX8" i="13"/>
  <c r="AU8" i="13"/>
  <c r="AV8" i="13" s="1"/>
  <c r="AW8" i="13" s="1"/>
  <c r="AO8" i="13"/>
  <c r="AN8" i="13"/>
  <c r="AM8" i="13"/>
  <c r="AH8" i="13"/>
  <c r="AF8" i="13"/>
  <c r="AD8" i="13"/>
  <c r="AA8" i="13"/>
  <c r="W8" i="13"/>
  <c r="U8" i="13"/>
  <c r="T8" i="13"/>
  <c r="S8" i="13"/>
  <c r="R8" i="13"/>
  <c r="P8" i="13"/>
  <c r="N8" i="13"/>
  <c r="L8" i="13"/>
  <c r="E4" i="42"/>
  <c r="C7" i="42"/>
  <c r="D7" i="42"/>
  <c r="C8" i="42"/>
  <c r="D8" i="42"/>
  <c r="C9" i="42"/>
  <c r="D9" i="42"/>
  <c r="C10" i="42"/>
  <c r="D10" i="42"/>
  <c r="C11" i="42"/>
  <c r="D11" i="42"/>
  <c r="C12" i="42"/>
  <c r="D12" i="42"/>
  <c r="C13" i="42"/>
  <c r="D13" i="42"/>
  <c r="C14" i="42"/>
  <c r="D14" i="42"/>
  <c r="C15" i="42"/>
  <c r="D15" i="42"/>
  <c r="C16" i="42"/>
  <c r="D16" i="42"/>
  <c r="C17" i="42"/>
  <c r="D17" i="42"/>
  <c r="C18" i="42"/>
  <c r="D18" i="42"/>
  <c r="C19" i="42"/>
  <c r="D19" i="42"/>
  <c r="C20" i="42"/>
  <c r="D20" i="42"/>
  <c r="C21" i="42"/>
  <c r="D21" i="42"/>
  <c r="C22" i="42"/>
  <c r="D22" i="42"/>
  <c r="C23" i="42"/>
  <c r="D23" i="42"/>
  <c r="C24" i="42"/>
  <c r="D24" i="42"/>
  <c r="C25" i="42"/>
  <c r="D25" i="42"/>
  <c r="C26" i="42"/>
  <c r="D26" i="42"/>
  <c r="C27" i="42"/>
  <c r="D27" i="42"/>
  <c r="C28" i="42"/>
  <c r="D28" i="42"/>
  <c r="C29" i="42"/>
  <c r="D29" i="42"/>
  <c r="C30" i="42"/>
  <c r="D30" i="42"/>
  <c r="C31" i="42"/>
  <c r="D31" i="42"/>
  <c r="C32" i="42"/>
  <c r="D32" i="42"/>
  <c r="C33" i="42"/>
  <c r="D33" i="42"/>
  <c r="C34" i="42"/>
  <c r="D34" i="42"/>
  <c r="C35" i="42"/>
  <c r="D35" i="42"/>
  <c r="C36" i="42"/>
  <c r="D36" i="42"/>
  <c r="C37" i="42"/>
  <c r="D37" i="42"/>
  <c r="C38" i="42"/>
  <c r="D38" i="42"/>
  <c r="C39" i="42"/>
  <c r="D39" i="42"/>
  <c r="C40" i="42"/>
  <c r="D40" i="42"/>
  <c r="C41" i="42"/>
  <c r="D41" i="42"/>
  <c r="C42" i="42"/>
  <c r="D42" i="42"/>
  <c r="C43" i="42"/>
  <c r="D43" i="42"/>
  <c r="C44" i="42"/>
  <c r="D44" i="42"/>
  <c r="C45" i="42"/>
  <c r="D45" i="42"/>
  <c r="C46" i="42"/>
  <c r="D46" i="42"/>
  <c r="C47" i="42"/>
  <c r="D47" i="42"/>
  <c r="C48" i="42"/>
  <c r="D48" i="42"/>
  <c r="C49" i="42"/>
  <c r="D49" i="42"/>
  <c r="C50" i="42"/>
  <c r="D50" i="42"/>
  <c r="D6" i="42"/>
  <c r="C6" i="42"/>
  <c r="B3" i="42"/>
  <c r="B2" i="42"/>
  <c r="DS7" i="13"/>
  <c r="CZ7" i="13"/>
  <c r="CG7" i="13"/>
  <c r="BN7" i="13"/>
  <c r="AU7" i="13"/>
  <c r="AL49" i="13" l="1"/>
  <c r="AL47" i="13"/>
  <c r="V21" i="13"/>
  <c r="V42" i="13"/>
  <c r="AL41" i="13"/>
  <c r="AQ41" i="13" s="1"/>
  <c r="V8" i="13"/>
  <c r="V13" i="13"/>
  <c r="V9" i="13"/>
  <c r="CW15" i="13"/>
  <c r="CW9" i="13"/>
  <c r="V12" i="13"/>
  <c r="AP12" i="13"/>
  <c r="AP16" i="13"/>
  <c r="V17" i="13"/>
  <c r="AP18" i="13"/>
  <c r="CW24" i="13"/>
  <c r="CV9" i="13"/>
  <c r="AP11" i="13"/>
  <c r="DP16" i="13"/>
  <c r="DP18" i="13"/>
  <c r="DT18" i="13" s="1"/>
  <c r="DU18" i="13" s="1"/>
  <c r="AL22" i="13"/>
  <c r="AQ22" i="13" s="1"/>
  <c r="AP10" i="13"/>
  <c r="V11" i="13"/>
  <c r="V14" i="13"/>
  <c r="AP14" i="13"/>
  <c r="V16" i="13"/>
  <c r="AP23" i="13"/>
  <c r="BJ27" i="13"/>
  <c r="AL37" i="13"/>
  <c r="V10" i="13"/>
  <c r="AP13" i="13"/>
  <c r="V22" i="13"/>
  <c r="AP25" i="13"/>
  <c r="BJ15" i="13"/>
  <c r="AP22" i="13"/>
  <c r="AP8" i="13"/>
  <c r="CV15" i="13"/>
  <c r="CW46" i="13"/>
  <c r="CD21" i="13"/>
  <c r="CW27" i="13"/>
  <c r="AP38" i="13"/>
  <c r="CW47" i="13"/>
  <c r="BK49" i="13"/>
  <c r="AP50" i="13"/>
  <c r="V33" i="13"/>
  <c r="AP33" i="13"/>
  <c r="V34" i="13"/>
  <c r="CW41" i="13"/>
  <c r="DO41" i="13"/>
  <c r="DA42" i="13"/>
  <c r="DB42" i="13" s="1"/>
  <c r="V43" i="13"/>
  <c r="BJ43" i="13"/>
  <c r="DP43" i="13"/>
  <c r="V45" i="13"/>
  <c r="BK45" i="13"/>
  <c r="V15" i="13"/>
  <c r="CD15" i="13"/>
  <c r="V18" i="13"/>
  <c r="V19" i="13"/>
  <c r="AP35" i="13"/>
  <c r="V39" i="13"/>
  <c r="CW39" i="13"/>
  <c r="DP42" i="13"/>
  <c r="M43" i="13"/>
  <c r="O45" i="13"/>
  <c r="CW38" i="13"/>
  <c r="CW40" i="13"/>
  <c r="V41" i="13"/>
  <c r="AP43" i="13"/>
  <c r="DP48" i="13"/>
  <c r="DP50" i="13"/>
  <c r="DP38" i="13"/>
  <c r="AP47" i="13"/>
  <c r="BK47" i="13"/>
  <c r="V51" i="13"/>
  <c r="AP27" i="13"/>
  <c r="BK39" i="13"/>
  <c r="CC39" i="13"/>
  <c r="V40" i="13"/>
  <c r="AP41" i="13"/>
  <c r="O42" i="13"/>
  <c r="CD43" i="13"/>
  <c r="DP45" i="13"/>
  <c r="BK46" i="13"/>
  <c r="V28" i="13"/>
  <c r="V31" i="13"/>
  <c r="AP31" i="13"/>
  <c r="V32" i="13"/>
  <c r="AP40" i="13"/>
  <c r="CV42" i="13"/>
  <c r="AL43" i="13"/>
  <c r="AQ43" i="13" s="1"/>
  <c r="AL44" i="13"/>
  <c r="CD44" i="13"/>
  <c r="BK48" i="13"/>
  <c r="AQ49" i="13"/>
  <c r="CC51" i="13"/>
  <c r="BK19" i="13"/>
  <c r="BK23" i="13"/>
  <c r="DP24" i="13"/>
  <c r="CD26" i="13"/>
  <c r="CD28" i="13"/>
  <c r="AL29" i="13"/>
  <c r="CD30" i="13"/>
  <c r="BJ31" i="13"/>
  <c r="BJ32" i="13"/>
  <c r="BO32" i="13" s="1"/>
  <c r="BP32" i="13" s="1"/>
  <c r="DP32" i="13"/>
  <c r="CW33" i="13"/>
  <c r="CD35" i="13"/>
  <c r="CV37" i="13"/>
  <c r="BJ41" i="13"/>
  <c r="BO41" i="13" s="1"/>
  <c r="BP41" i="13" s="1"/>
  <c r="CD41" i="13"/>
  <c r="DO44" i="13"/>
  <c r="AL51" i="13"/>
  <c r="AQ51" i="13" s="1"/>
  <c r="CV29" i="13"/>
  <c r="BJ30" i="13"/>
  <c r="DP30" i="13"/>
  <c r="CW31" i="13"/>
  <c r="CD36" i="13"/>
  <c r="CC42" i="13"/>
  <c r="BO43" i="13"/>
  <c r="BP43" i="13" s="1"/>
  <c r="CD46" i="13"/>
  <c r="AL16" i="13"/>
  <c r="CW16" i="13"/>
  <c r="BJ17" i="13"/>
  <c r="CW17" i="13"/>
  <c r="DP17" i="13"/>
  <c r="AL18" i="13"/>
  <c r="AQ18" i="13" s="1"/>
  <c r="CW18" i="13"/>
  <c r="CC19" i="13"/>
  <c r="BJ20" i="13"/>
  <c r="BK20" i="13"/>
  <c r="CV21" i="13"/>
  <c r="DO23" i="13"/>
  <c r="BJ26" i="13"/>
  <c r="DP27" i="13"/>
  <c r="BK31" i="13"/>
  <c r="CD32" i="13"/>
  <c r="CH32" i="13" s="1"/>
  <c r="CI32" i="13" s="1"/>
  <c r="BJ33" i="13"/>
  <c r="BJ35" i="13"/>
  <c r="BK35" i="13"/>
  <c r="DO37" i="13"/>
  <c r="CD38" i="13"/>
  <c r="DO38" i="13"/>
  <c r="CC46" i="13"/>
  <c r="CH46" i="13" s="1"/>
  <c r="CI46" i="13" s="1"/>
  <c r="DO46" i="13"/>
  <c r="BJ47" i="13"/>
  <c r="CD48" i="13"/>
  <c r="CW49" i="13"/>
  <c r="DP21" i="13"/>
  <c r="CC24" i="13"/>
  <c r="DO25" i="13"/>
  <c r="CC26" i="13"/>
  <c r="CH26" i="13" s="1"/>
  <c r="CI26" i="13" s="1"/>
  <c r="DO27" i="13"/>
  <c r="BJ28" i="13"/>
  <c r="CV30" i="13"/>
  <c r="CC31" i="13"/>
  <c r="CV32" i="13"/>
  <c r="CC33" i="13"/>
  <c r="CH33" i="13" s="1"/>
  <c r="CI33" i="13" s="1"/>
  <c r="CV35" i="13"/>
  <c r="CV36" i="13"/>
  <c r="CW36" i="13"/>
  <c r="CC38" i="13"/>
  <c r="DO39" i="13"/>
  <c r="DP39" i="13"/>
  <c r="CC40" i="13"/>
  <c r="AL46" i="13"/>
  <c r="CV47" i="13"/>
  <c r="AL48" i="13"/>
  <c r="AQ48" i="13" s="1"/>
  <c r="BK50" i="13"/>
  <c r="CD20" i="13"/>
  <c r="DO20" i="13"/>
  <c r="DO22" i="13"/>
  <c r="AL15" i="13"/>
  <c r="AQ15" i="13" s="1"/>
  <c r="DO16" i="13"/>
  <c r="AL17" i="13"/>
  <c r="AQ17" i="13" s="1"/>
  <c r="CV17" i="13"/>
  <c r="DO18" i="13"/>
  <c r="AL19" i="13"/>
  <c r="AQ19" i="13" s="1"/>
  <c r="CV19" i="13"/>
  <c r="CW19" i="13"/>
  <c r="CC21" i="13"/>
  <c r="DO21" i="13"/>
  <c r="DT21" i="13" s="1"/>
  <c r="DU21" i="13" s="1"/>
  <c r="CD22" i="13"/>
  <c r="CW22" i="13"/>
  <c r="CD23" i="13"/>
  <c r="CV23" i="13"/>
  <c r="BK25" i="13"/>
  <c r="DA26" i="13"/>
  <c r="DB26" i="13" s="1"/>
  <c r="AL27" i="13"/>
  <c r="AQ27" i="13" s="1"/>
  <c r="BO27" i="13"/>
  <c r="BP27" i="13" s="1"/>
  <c r="DO28" i="13"/>
  <c r="CC29" i="13"/>
  <c r="DO29" i="13"/>
  <c r="DP29" i="13"/>
  <c r="BK30" i="13"/>
  <c r="BK32" i="13"/>
  <c r="CC34" i="13"/>
  <c r="CW34" i="13"/>
  <c r="DA34" i="13" s="1"/>
  <c r="DB34" i="13" s="1"/>
  <c r="AL35" i="13"/>
  <c r="DP36" i="13"/>
  <c r="BK37" i="13"/>
  <c r="CD39" i="13"/>
  <c r="AL42" i="13"/>
  <c r="AQ42" i="13" s="1"/>
  <c r="CV45" i="13"/>
  <c r="DA45" i="13" s="1"/>
  <c r="DB45" i="13" s="1"/>
  <c r="BJ46" i="13"/>
  <c r="CV46" i="13"/>
  <c r="AQ47" i="13"/>
  <c r="DO47" i="13"/>
  <c r="CV48" i="13"/>
  <c r="CW48" i="13"/>
  <c r="CV49" i="13"/>
  <c r="AL50" i="13"/>
  <c r="AQ50" i="13" s="1"/>
  <c r="CW51" i="13"/>
  <c r="DP51" i="13"/>
  <c r="DA9" i="13"/>
  <c r="DB9" i="13" s="1"/>
  <c r="BJ22" i="13"/>
  <c r="BK16" i="13"/>
  <c r="BO16" i="13" s="1"/>
  <c r="BP16" i="13" s="1"/>
  <c r="CD17" i="13"/>
  <c r="BK18" i="13"/>
  <c r="CV20" i="13"/>
  <c r="DA20" i="13" s="1"/>
  <c r="DB20" i="13" s="1"/>
  <c r="CC22" i="13"/>
  <c r="CH22" i="13" s="1"/>
  <c r="CI22" i="13" s="1"/>
  <c r="BJ23" i="13"/>
  <c r="BJ24" i="13"/>
  <c r="DO24" i="13"/>
  <c r="AL25" i="13"/>
  <c r="AQ25" i="13" s="1"/>
  <c r="CD25" i="13"/>
  <c r="CV25" i="13"/>
  <c r="AL26" i="13"/>
  <c r="AQ26" i="13" s="1"/>
  <c r="CV27" i="13"/>
  <c r="CC28" i="13"/>
  <c r="CC30" i="13"/>
  <c r="CD31" i="13"/>
  <c r="CV31" i="13"/>
  <c r="CC32" i="13"/>
  <c r="CD33" i="13"/>
  <c r="CV33" i="13"/>
  <c r="AL34" i="13"/>
  <c r="AQ34" i="13" s="1"/>
  <c r="BK34" i="13"/>
  <c r="BO34" i="13" s="1"/>
  <c r="BP34" i="13" s="1"/>
  <c r="CV34" i="13"/>
  <c r="DO35" i="13"/>
  <c r="AL36" i="13"/>
  <c r="BK36" i="13"/>
  <c r="CC36" i="13"/>
  <c r="CV38" i="13"/>
  <c r="DA38" i="13" s="1"/>
  <c r="DB38" i="13" s="1"/>
  <c r="AL40" i="13"/>
  <c r="AQ40" i="13" s="1"/>
  <c r="CV40" i="13"/>
  <c r="DA40" i="13" s="1"/>
  <c r="DB40" i="13" s="1"/>
  <c r="DP40" i="13"/>
  <c r="CW43" i="13"/>
  <c r="DO43" i="13"/>
  <c r="DT43" i="13" s="1"/>
  <c r="DU43" i="13" s="1"/>
  <c r="CW44" i="13"/>
  <c r="CD45" i="13"/>
  <c r="BJ51" i="13"/>
  <c r="CC44" i="13"/>
  <c r="DA46" i="13"/>
  <c r="DB46" i="13" s="1"/>
  <c r="CV51" i="13"/>
  <c r="DO51" i="13"/>
  <c r="CW14" i="13"/>
  <c r="CV13" i="13"/>
  <c r="CV8" i="13"/>
  <c r="CW10" i="13"/>
  <c r="CV11" i="13"/>
  <c r="CV12" i="13"/>
  <c r="CV14" i="13"/>
  <c r="CC15" i="13"/>
  <c r="DA15" i="13"/>
  <c r="DB15" i="13" s="1"/>
  <c r="BJ16" i="13"/>
  <c r="CV16" i="13"/>
  <c r="DT16" i="13"/>
  <c r="DU16" i="13" s="1"/>
  <c r="CC17" i="13"/>
  <c r="DA17" i="13"/>
  <c r="DB17" i="13" s="1"/>
  <c r="BJ18" i="13"/>
  <c r="BO18" i="13" s="1"/>
  <c r="BP18" i="13" s="1"/>
  <c r="CV18" i="13"/>
  <c r="DA19" i="13"/>
  <c r="DB19" i="13" s="1"/>
  <c r="CV10" i="13"/>
  <c r="DA12" i="13"/>
  <c r="DB12" i="13" s="1"/>
  <c r="DA13" i="13"/>
  <c r="DB13" i="13" s="1"/>
  <c r="BK15" i="13"/>
  <c r="CC16" i="13"/>
  <c r="CD16" i="13"/>
  <c r="DA16" i="13"/>
  <c r="DB16" i="13" s="1"/>
  <c r="BK17" i="13"/>
  <c r="CC18" i="13"/>
  <c r="CD18" i="13"/>
  <c r="DA18" i="13"/>
  <c r="DB18" i="13" s="1"/>
  <c r="AL20" i="13"/>
  <c r="AQ20" i="13" s="1"/>
  <c r="DO15" i="13"/>
  <c r="AQ16" i="13"/>
  <c r="CH17" i="13"/>
  <c r="CI17" i="13" s="1"/>
  <c r="DO17" i="13"/>
  <c r="AV9" i="13"/>
  <c r="AW9" i="13" s="1"/>
  <c r="M15" i="13"/>
  <c r="O16" i="13"/>
  <c r="M17" i="13"/>
  <c r="O18" i="13"/>
  <c r="M19" i="13"/>
  <c r="CD19" i="13"/>
  <c r="DO19" i="13"/>
  <c r="CW20" i="13"/>
  <c r="M21" i="13"/>
  <c r="DP22" i="13"/>
  <c r="DT22" i="13" s="1"/>
  <c r="DU22" i="13" s="1"/>
  <c r="CW23" i="13"/>
  <c r="CC25" i="13"/>
  <c r="DT29" i="13"/>
  <c r="DU29" i="13" s="1"/>
  <c r="BJ19" i="13"/>
  <c r="V20" i="13"/>
  <c r="CC20" i="13"/>
  <c r="DP20" i="13"/>
  <c r="AL21" i="13"/>
  <c r="AQ21" i="13" s="1"/>
  <c r="BK21" i="13"/>
  <c r="CW21" i="13"/>
  <c r="BK22" i="13"/>
  <c r="M23" i="13"/>
  <c r="V23" i="13"/>
  <c r="CC23" i="13"/>
  <c r="DT23" i="13"/>
  <c r="DU23" i="13" s="1"/>
  <c r="AL24" i="13"/>
  <c r="AQ24" i="13" s="1"/>
  <c r="BO24" i="13"/>
  <c r="BP24" i="13" s="1"/>
  <c r="CV24" i="13"/>
  <c r="DT24" i="13"/>
  <c r="DU24" i="13" s="1"/>
  <c r="DA25" i="13"/>
  <c r="DB25" i="13" s="1"/>
  <c r="CH28" i="13"/>
  <c r="CI28" i="13" s="1"/>
  <c r="BO17" i="13"/>
  <c r="BP17" i="13" s="1"/>
  <c r="CH21" i="13"/>
  <c r="CI21" i="13" s="1"/>
  <c r="AV19" i="13"/>
  <c r="AW19" i="13" s="1"/>
  <c r="BO20" i="13"/>
  <c r="BP20" i="13" s="1"/>
  <c r="BJ21" i="13"/>
  <c r="BO21" i="13" s="1"/>
  <c r="BP21" i="13" s="1"/>
  <c r="CV22" i="13"/>
  <c r="AL23" i="13"/>
  <c r="AQ23" i="13" s="1"/>
  <c r="CH23" i="13"/>
  <c r="CI23" i="13" s="1"/>
  <c r="CD24" i="13"/>
  <c r="BJ25" i="13"/>
  <c r="DP25" i="13"/>
  <c r="AV22" i="13"/>
  <c r="AW22" i="13" s="1"/>
  <c r="AV24" i="13"/>
  <c r="AW24" i="13" s="1"/>
  <c r="V25" i="13"/>
  <c r="V27" i="13"/>
  <c r="M27" i="13"/>
  <c r="AV27" i="13"/>
  <c r="AW27" i="13" s="1"/>
  <c r="AK28" i="13"/>
  <c r="AL28" i="13" s="1"/>
  <c r="AQ28" i="13" s="1"/>
  <c r="DP28" i="13"/>
  <c r="DT28" i="13" s="1"/>
  <c r="DU28" i="13" s="1"/>
  <c r="CD29" i="13"/>
  <c r="CH30" i="13"/>
  <c r="CI30" i="13" s="1"/>
  <c r="BO31" i="13"/>
  <c r="BP31" i="13" s="1"/>
  <c r="BO33" i="13"/>
  <c r="BP33" i="13" s="1"/>
  <c r="DA36" i="13"/>
  <c r="DB36" i="13" s="1"/>
  <c r="DP26" i="13"/>
  <c r="CD27" i="13"/>
  <c r="BK28" i="13"/>
  <c r="CV28" i="13"/>
  <c r="AP29" i="13"/>
  <c r="BJ29" i="13"/>
  <c r="CW29" i="13"/>
  <c r="V30" i="13"/>
  <c r="AL30" i="13"/>
  <c r="AQ30" i="13" s="1"/>
  <c r="DO30" i="13"/>
  <c r="DA31" i="13"/>
  <c r="DB31" i="13" s="1"/>
  <c r="DO31" i="13"/>
  <c r="DP31" i="13"/>
  <c r="AL32" i="13"/>
  <c r="AQ32" i="13" s="1"/>
  <c r="DO32" i="13"/>
  <c r="DO33" i="13"/>
  <c r="DP33" i="13"/>
  <c r="CH34" i="13"/>
  <c r="CI34" i="13" s="1"/>
  <c r="V24" i="13"/>
  <c r="V26" i="13"/>
  <c r="DA27" i="13"/>
  <c r="DB27" i="13" s="1"/>
  <c r="BK26" i="13"/>
  <c r="DO26" i="13"/>
  <c r="CC27" i="13"/>
  <c r="V29" i="13"/>
  <c r="M29" i="13"/>
  <c r="CH29" i="13"/>
  <c r="CI29" i="13" s="1"/>
  <c r="CW30" i="13"/>
  <c r="AL31" i="13"/>
  <c r="AQ31" i="13" s="1"/>
  <c r="CH31" i="13"/>
  <c r="CI31" i="13" s="1"/>
  <c r="CW32" i="13"/>
  <c r="AL33" i="13"/>
  <c r="AQ33" i="13" s="1"/>
  <c r="DP34" i="13"/>
  <c r="BO28" i="13"/>
  <c r="BP28" i="13" s="1"/>
  <c r="BO30" i="13"/>
  <c r="BP30" i="13" s="1"/>
  <c r="M31" i="13"/>
  <c r="O32" i="13"/>
  <c r="M33" i="13"/>
  <c r="O34" i="13"/>
  <c r="DO34" i="13"/>
  <c r="V35" i="13"/>
  <c r="BO35" i="13"/>
  <c r="BP35" i="13" s="1"/>
  <c r="V36" i="13"/>
  <c r="CH36" i="13"/>
  <c r="CI36" i="13" s="1"/>
  <c r="DO36" i="13"/>
  <c r="CW35" i="13"/>
  <c r="M36" i="13"/>
  <c r="BJ36" i="13"/>
  <c r="CC37" i="13"/>
  <c r="DA37" i="13"/>
  <c r="DB37" i="13" s="1"/>
  <c r="BK38" i="13"/>
  <c r="CC35" i="13"/>
  <c r="DT35" i="13"/>
  <c r="DU35" i="13" s="1"/>
  <c r="AP36" i="13"/>
  <c r="BJ37" i="13"/>
  <c r="V37" i="13"/>
  <c r="AP37" i="13"/>
  <c r="CD37" i="13"/>
  <c r="V38" i="13"/>
  <c r="BJ38" i="13"/>
  <c r="CH38" i="13"/>
  <c r="CI38" i="13" s="1"/>
  <c r="DT38" i="13"/>
  <c r="DU38" i="13" s="1"/>
  <c r="AP39" i="13"/>
  <c r="BK40" i="13"/>
  <c r="DO40" i="13"/>
  <c r="CC41" i="13"/>
  <c r="CV41" i="13"/>
  <c r="BK42" i="13"/>
  <c r="DO42" i="13"/>
  <c r="CC43" i="13"/>
  <c r="CV43" i="13"/>
  <c r="DO45" i="13"/>
  <c r="M37" i="13"/>
  <c r="DP37" i="13"/>
  <c r="AL38" i="13"/>
  <c r="AQ38" i="13" s="1"/>
  <c r="BJ39" i="13"/>
  <c r="CH39" i="13"/>
  <c r="CI39" i="13" s="1"/>
  <c r="CV39" i="13"/>
  <c r="DT39" i="13"/>
  <c r="DU39" i="13" s="1"/>
  <c r="CD40" i="13"/>
  <c r="CD42" i="13"/>
  <c r="AL39" i="13"/>
  <c r="BO39" i="13"/>
  <c r="BP39" i="13" s="1"/>
  <c r="BJ40" i="13"/>
  <c r="DT40" i="13"/>
  <c r="DU40" i="13" s="1"/>
  <c r="CH41" i="13"/>
  <c r="CI41" i="13" s="1"/>
  <c r="DT41" i="13"/>
  <c r="DU41" i="13" s="1"/>
  <c r="BJ42" i="13"/>
  <c r="DT42" i="13"/>
  <c r="DU42" i="13" s="1"/>
  <c r="CC45" i="13"/>
  <c r="BJ44" i="13"/>
  <c r="CH44" i="13"/>
  <c r="CI44" i="13" s="1"/>
  <c r="CV44" i="13"/>
  <c r="V46" i="13"/>
  <c r="V47" i="13"/>
  <c r="BO47" i="13"/>
  <c r="BP47" i="13" s="1"/>
  <c r="DA47" i="13"/>
  <c r="DB47" i="13" s="1"/>
  <c r="BO42" i="13"/>
  <c r="BP42" i="13" s="1"/>
  <c r="BJ45" i="13"/>
  <c r="CH45" i="13"/>
  <c r="CI45" i="13" s="1"/>
  <c r="AP46" i="13"/>
  <c r="CD47" i="13"/>
  <c r="DT47" i="13"/>
  <c r="DU47" i="13" s="1"/>
  <c r="O49" i="13"/>
  <c r="V49" i="13"/>
  <c r="BJ49" i="13"/>
  <c r="CD51" i="13"/>
  <c r="CH51" i="13" s="1"/>
  <c r="CI51" i="13" s="1"/>
  <c r="DT51" i="13"/>
  <c r="DU51" i="13" s="1"/>
  <c r="V44" i="13"/>
  <c r="AP44" i="13"/>
  <c r="DP44" i="13"/>
  <c r="DT44" i="13" s="1"/>
  <c r="DU44" i="13" s="1"/>
  <c r="AL45" i="13"/>
  <c r="AQ45" i="13" s="1"/>
  <c r="DP46" i="13"/>
  <c r="BJ48" i="13"/>
  <c r="CV50" i="13"/>
  <c r="V48" i="13"/>
  <c r="CC49" i="13"/>
  <c r="DP49" i="13"/>
  <c r="V50" i="13"/>
  <c r="M50" i="13"/>
  <c r="CC50" i="13"/>
  <c r="DO50" i="13"/>
  <c r="BO46" i="13"/>
  <c r="BP46" i="13" s="1"/>
  <c r="CC48" i="13"/>
  <c r="DA48" i="13"/>
  <c r="DB48" i="13" s="1"/>
  <c r="DA49" i="13"/>
  <c r="DB49" i="13" s="1"/>
  <c r="BJ50" i="13"/>
  <c r="BO51" i="13"/>
  <c r="BP51" i="13" s="1"/>
  <c r="DA51" i="13"/>
  <c r="DB51" i="13" s="1"/>
  <c r="CC47" i="13"/>
  <c r="DO48" i="13"/>
  <c r="DO49" i="13"/>
  <c r="CD50" i="13"/>
  <c r="CJ7" i="13"/>
  <c r="CK7" i="13" s="1"/>
  <c r="CL7" i="13"/>
  <c r="CN7" i="13" s="1"/>
  <c r="CM7" i="13"/>
  <c r="CP7" i="13"/>
  <c r="CQ7" i="13" s="1"/>
  <c r="CR7" i="13"/>
  <c r="CT7" i="13" s="1"/>
  <c r="CS7" i="13"/>
  <c r="CU7" i="13" s="1"/>
  <c r="DC7" i="13"/>
  <c r="DE7" i="13"/>
  <c r="DF7" i="13"/>
  <c r="DI7" i="13"/>
  <c r="DK7" i="13"/>
  <c r="DL7" i="13"/>
  <c r="L7" i="13"/>
  <c r="N7" i="13"/>
  <c r="P7" i="13"/>
  <c r="R7" i="13"/>
  <c r="S7" i="13"/>
  <c r="T7" i="13"/>
  <c r="U7" i="13"/>
  <c r="W7" i="13"/>
  <c r="AA7" i="13"/>
  <c r="AQ35" i="13" l="1"/>
  <c r="V7" i="13"/>
  <c r="DT45" i="13"/>
  <c r="DU45" i="13" s="1"/>
  <c r="CH50" i="13"/>
  <c r="CI50" i="13" s="1"/>
  <c r="DA43" i="13"/>
  <c r="DB43" i="13" s="1"/>
  <c r="BO15" i="13"/>
  <c r="BP15" i="13" s="1"/>
  <c r="CO7" i="13"/>
  <c r="CW7" i="13" s="1"/>
  <c r="BO40" i="13"/>
  <c r="BP40" i="13" s="1"/>
  <c r="DA33" i="13"/>
  <c r="DB33" i="13" s="1"/>
  <c r="DA23" i="13"/>
  <c r="DB23" i="13" s="1"/>
  <c r="BO23" i="13"/>
  <c r="BP23" i="13" s="1"/>
  <c r="CH15" i="13"/>
  <c r="CI15" i="13" s="1"/>
  <c r="DA8" i="13"/>
  <c r="DB8" i="13" s="1"/>
  <c r="BO37" i="13"/>
  <c r="BP37" i="13" s="1"/>
  <c r="DA30" i="13"/>
  <c r="DB30" i="13" s="1"/>
  <c r="DA10" i="13"/>
  <c r="DB10" i="13" s="1"/>
  <c r="AQ44" i="13"/>
  <c r="DT31" i="13"/>
  <c r="DU31" i="13" s="1"/>
  <c r="CH42" i="13"/>
  <c r="CI42" i="13" s="1"/>
  <c r="CH37" i="13"/>
  <c r="CI37" i="13" s="1"/>
  <c r="AQ39" i="13"/>
  <c r="BO38" i="13"/>
  <c r="BP38" i="13" s="1"/>
  <c r="DA21" i="13"/>
  <c r="DB21" i="13" s="1"/>
  <c r="DA22" i="13"/>
  <c r="DB22" i="13" s="1"/>
  <c r="DT20" i="13"/>
  <c r="DU20" i="13" s="1"/>
  <c r="CH20" i="13"/>
  <c r="CI20" i="13" s="1"/>
  <c r="DT17" i="13"/>
  <c r="DU17" i="13" s="1"/>
  <c r="DT27" i="13"/>
  <c r="DU27" i="13" s="1"/>
  <c r="BO48" i="13"/>
  <c r="BP48" i="13" s="1"/>
  <c r="DT33" i="13"/>
  <c r="DU33" i="13" s="1"/>
  <c r="DT30" i="13"/>
  <c r="DU30" i="13" s="1"/>
  <c r="BO19" i="13"/>
  <c r="BP19" i="13" s="1"/>
  <c r="CH19" i="13"/>
  <c r="CI19" i="13" s="1"/>
  <c r="CH18" i="13"/>
  <c r="CI18" i="13" s="1"/>
  <c r="DA14" i="13"/>
  <c r="DB14" i="13" s="1"/>
  <c r="BO50" i="13"/>
  <c r="BP50" i="13" s="1"/>
  <c r="DT48" i="13"/>
  <c r="DU48" i="13" s="1"/>
  <c r="DT50" i="13"/>
  <c r="DU50" i="13" s="1"/>
  <c r="BO45" i="13"/>
  <c r="BP45" i="13" s="1"/>
  <c r="CH49" i="13"/>
  <c r="CI49" i="13" s="1"/>
  <c r="CH48" i="13"/>
  <c r="CI48" i="13" s="1"/>
  <c r="DT46" i="13"/>
  <c r="DU46" i="13" s="1"/>
  <c r="DT49" i="13"/>
  <c r="DU49" i="13" s="1"/>
  <c r="DT37" i="13"/>
  <c r="DU37" i="13" s="1"/>
  <c r="DA41" i="13"/>
  <c r="DB41" i="13" s="1"/>
  <c r="BO36" i="13"/>
  <c r="BP36" i="13" s="1"/>
  <c r="DA39" i="13"/>
  <c r="DB39" i="13" s="1"/>
  <c r="DA35" i="13"/>
  <c r="DB35" i="13" s="1"/>
  <c r="DA32" i="13"/>
  <c r="DB32" i="13" s="1"/>
  <c r="CH35" i="13"/>
  <c r="CI35" i="13" s="1"/>
  <c r="BO29" i="13"/>
  <c r="BP29" i="13" s="1"/>
  <c r="CH25" i="13"/>
  <c r="CI25" i="13" s="1"/>
  <c r="DT25" i="13"/>
  <c r="DU25" i="13" s="1"/>
  <c r="BO25" i="13"/>
  <c r="BP25" i="13" s="1"/>
  <c r="DT36" i="13"/>
  <c r="DU36" i="13" s="1"/>
  <c r="BO44" i="13"/>
  <c r="BP44" i="13" s="1"/>
  <c r="DA50" i="13"/>
  <c r="DB50" i="13" s="1"/>
  <c r="BO49" i="13"/>
  <c r="BP49" i="13" s="1"/>
  <c r="AQ46" i="13"/>
  <c r="DA44" i="13"/>
  <c r="DB44" i="13" s="1"/>
  <c r="CH43" i="13"/>
  <c r="CI43" i="13" s="1"/>
  <c r="CH40" i="13"/>
  <c r="CI40" i="13" s="1"/>
  <c r="BO26" i="13"/>
  <c r="BP26" i="13" s="1"/>
  <c r="DA29" i="13"/>
  <c r="DB29" i="13" s="1"/>
  <c r="DT32" i="13"/>
  <c r="DU32" i="13" s="1"/>
  <c r="AQ29" i="13"/>
  <c r="CH24" i="13"/>
  <c r="CI24" i="13" s="1"/>
  <c r="DA24" i="13"/>
  <c r="DB24" i="13" s="1"/>
  <c r="BO22" i="13"/>
  <c r="BP22" i="13" s="1"/>
  <c r="DT15" i="13"/>
  <c r="DU15" i="13" s="1"/>
  <c r="CH16" i="13"/>
  <c r="CI16" i="13" s="1"/>
  <c r="DA11" i="13"/>
  <c r="DB11" i="13" s="1"/>
  <c r="CH47" i="13"/>
  <c r="CI47" i="13" s="1"/>
  <c r="DT34" i="13"/>
  <c r="DU34" i="13" s="1"/>
  <c r="AQ37" i="13"/>
  <c r="AQ36" i="13"/>
  <c r="CH27" i="13"/>
  <c r="CI27" i="13" s="1"/>
  <c r="DT26" i="13"/>
  <c r="DU26" i="13" s="1"/>
  <c r="DA28" i="13"/>
  <c r="DB28" i="13" s="1"/>
  <c r="DT19" i="13"/>
  <c r="DU19" i="13" s="1"/>
  <c r="CV7" i="13"/>
  <c r="E49" i="38"/>
  <c r="B2" i="34"/>
  <c r="B2" i="35"/>
  <c r="E2" i="33"/>
  <c r="C2" i="14"/>
  <c r="B2" i="13"/>
  <c r="B2" i="11"/>
  <c r="B2" i="22"/>
  <c r="B2" i="31"/>
  <c r="B2" i="18"/>
  <c r="B2" i="23"/>
  <c r="B2" i="19"/>
  <c r="B2" i="4"/>
  <c r="B2" i="3"/>
  <c r="B2" i="24"/>
  <c r="B2" i="25"/>
  <c r="B3" i="24"/>
  <c r="B3" i="25"/>
  <c r="C24" i="33"/>
  <c r="DA7" i="13" l="1"/>
  <c r="DB7" i="13" s="1"/>
  <c r="C5" i="33"/>
  <c r="B30" i="13"/>
  <c r="C30" i="13"/>
  <c r="AS30" i="13" s="1"/>
  <c r="D30" i="13"/>
  <c r="E30" i="13"/>
  <c r="F30" i="13"/>
  <c r="G30" i="13"/>
  <c r="H30" i="13"/>
  <c r="I30" i="13"/>
  <c r="J30" i="13"/>
  <c r="K30" i="13"/>
  <c r="DV30" i="13"/>
  <c r="B31" i="13"/>
  <c r="C31" i="13"/>
  <c r="D31" i="13"/>
  <c r="E31" i="13"/>
  <c r="F31" i="13"/>
  <c r="G31" i="13"/>
  <c r="H31" i="13"/>
  <c r="I31" i="13"/>
  <c r="J31" i="13"/>
  <c r="K31" i="13"/>
  <c r="DW31" i="13"/>
  <c r="DX31" i="13"/>
  <c r="DY31" i="13"/>
  <c r="EA31" i="13"/>
  <c r="EC31" i="13"/>
  <c r="EF31" i="13"/>
  <c r="EG31" i="13"/>
  <c r="EP31" i="13"/>
  <c r="EQ31" i="13"/>
  <c r="ER31" i="13"/>
  <c r="EU31" i="13"/>
  <c r="FC31" i="13"/>
  <c r="FD31" i="13"/>
  <c r="FF31" i="13"/>
  <c r="FK31" i="13"/>
  <c r="B32" i="13"/>
  <c r="C32" i="13"/>
  <c r="AS32" i="13" s="1"/>
  <c r="D32" i="13"/>
  <c r="E32" i="13"/>
  <c r="F32" i="13"/>
  <c r="G32" i="13"/>
  <c r="H32" i="13"/>
  <c r="I32" i="13"/>
  <c r="J32" i="13"/>
  <c r="K32" i="13"/>
  <c r="DZ32" i="13"/>
  <c r="EA32" i="13"/>
  <c r="EB32" i="13"/>
  <c r="ED32" i="13"/>
  <c r="EK32" i="13"/>
  <c r="EP32" i="13"/>
  <c r="EQ32" i="13"/>
  <c r="ES32" i="13"/>
  <c r="FC32" i="13"/>
  <c r="FD32" i="13"/>
  <c r="FE32" i="13"/>
  <c r="FK32" i="13"/>
  <c r="B33" i="13"/>
  <c r="C33" i="13"/>
  <c r="AS33" i="13" s="1"/>
  <c r="D33" i="13"/>
  <c r="E33" i="13"/>
  <c r="F33" i="13"/>
  <c r="G33" i="13"/>
  <c r="H33" i="13"/>
  <c r="I33" i="13"/>
  <c r="J33" i="13"/>
  <c r="K33" i="13"/>
  <c r="EA33" i="13"/>
  <c r="EE33" i="13"/>
  <c r="EG33" i="13"/>
  <c r="EV33" i="13"/>
  <c r="AE33" i="39" s="1"/>
  <c r="FK33" i="13"/>
  <c r="B34" i="13"/>
  <c r="C34" i="13"/>
  <c r="D34" i="13"/>
  <c r="E34" i="13"/>
  <c r="F34" i="13"/>
  <c r="G34" i="13"/>
  <c r="H34" i="13"/>
  <c r="I34" i="13"/>
  <c r="J34" i="13"/>
  <c r="K34" i="13"/>
  <c r="EA34" i="13"/>
  <c r="B35" i="13"/>
  <c r="C35" i="13"/>
  <c r="AS35" i="13" s="1"/>
  <c r="D35" i="13"/>
  <c r="E35" i="13"/>
  <c r="F35" i="13"/>
  <c r="G35" i="13"/>
  <c r="H35" i="13"/>
  <c r="I35" i="13"/>
  <c r="J35" i="13"/>
  <c r="K35" i="13"/>
  <c r="EQ35" i="13"/>
  <c r="B36" i="13"/>
  <c r="C36" i="13"/>
  <c r="DW36" i="13" s="1"/>
  <c r="D36" i="13"/>
  <c r="E36" i="13"/>
  <c r="F36" i="13"/>
  <c r="G36" i="13"/>
  <c r="H36" i="13"/>
  <c r="I36" i="13"/>
  <c r="J36" i="13"/>
  <c r="K36" i="13"/>
  <c r="DY36" i="13"/>
  <c r="EA36" i="13"/>
  <c r="EC36" i="13"/>
  <c r="ES36" i="13"/>
  <c r="FC36" i="13"/>
  <c r="B37" i="13"/>
  <c r="C37" i="13"/>
  <c r="FK37" i="13" s="1"/>
  <c r="D37" i="13"/>
  <c r="E37" i="13"/>
  <c r="F37" i="13"/>
  <c r="G37" i="13"/>
  <c r="H37" i="13"/>
  <c r="I37" i="13"/>
  <c r="J37" i="13"/>
  <c r="K37" i="13"/>
  <c r="EQ37" i="13"/>
  <c r="B38" i="13"/>
  <c r="C38" i="13"/>
  <c r="AS38" i="13" s="1"/>
  <c r="D38" i="13"/>
  <c r="E38" i="13"/>
  <c r="F38" i="13"/>
  <c r="G38" i="13"/>
  <c r="H38" i="13"/>
  <c r="I38" i="13"/>
  <c r="J38" i="13"/>
  <c r="K38" i="13"/>
  <c r="DW38" i="13"/>
  <c r="EC38" i="13"/>
  <c r="ED38" i="13"/>
  <c r="ES38" i="13"/>
  <c r="FF38" i="13"/>
  <c r="B39" i="13"/>
  <c r="C39" i="13"/>
  <c r="D39" i="13"/>
  <c r="E39" i="13"/>
  <c r="F39" i="13"/>
  <c r="G39" i="13"/>
  <c r="H39" i="13"/>
  <c r="I39" i="13"/>
  <c r="J39" i="13"/>
  <c r="K39" i="13"/>
  <c r="B40" i="13"/>
  <c r="C40" i="13"/>
  <c r="AS40" i="13" s="1"/>
  <c r="D40" i="13"/>
  <c r="E40" i="13"/>
  <c r="F40" i="13"/>
  <c r="G40" i="13"/>
  <c r="H40" i="13"/>
  <c r="I40" i="13"/>
  <c r="J40" i="13"/>
  <c r="K40" i="13"/>
  <c r="B41" i="13"/>
  <c r="C41" i="13"/>
  <c r="EA41" i="13" s="1"/>
  <c r="D41" i="13"/>
  <c r="E41" i="13"/>
  <c r="F41" i="13"/>
  <c r="G41" i="13"/>
  <c r="H41" i="13"/>
  <c r="I41" i="13"/>
  <c r="J41" i="13"/>
  <c r="K41" i="13"/>
  <c r="B42" i="13"/>
  <c r="C42" i="13"/>
  <c r="AS42" i="13" s="1"/>
  <c r="D42" i="13"/>
  <c r="E42" i="13"/>
  <c r="F42" i="13"/>
  <c r="G42" i="13"/>
  <c r="H42" i="13"/>
  <c r="I42" i="13"/>
  <c r="J42" i="13"/>
  <c r="K42" i="13"/>
  <c r="DV42" i="13"/>
  <c r="ED42" i="13"/>
  <c r="ET42" i="13"/>
  <c r="EV42" i="13"/>
  <c r="AE42" i="39" s="1"/>
  <c r="B43" i="13"/>
  <c r="C43" i="13"/>
  <c r="AS43" i="13" s="1"/>
  <c r="D43" i="13"/>
  <c r="E43" i="13"/>
  <c r="F43" i="13"/>
  <c r="G43" i="13"/>
  <c r="H43" i="13"/>
  <c r="I43" i="13"/>
  <c r="J43" i="13"/>
  <c r="K43" i="13"/>
  <c r="DX43" i="13"/>
  <c r="EV43" i="13"/>
  <c r="AE43" i="39" s="1"/>
  <c r="B44" i="13"/>
  <c r="C44" i="13"/>
  <c r="AS44" i="13" s="1"/>
  <c r="D44" i="13"/>
  <c r="E44" i="13"/>
  <c r="F44" i="13"/>
  <c r="G44" i="13"/>
  <c r="H44" i="13"/>
  <c r="I44" i="13"/>
  <c r="J44" i="13"/>
  <c r="K44" i="13"/>
  <c r="B45" i="13"/>
  <c r="C45" i="13"/>
  <c r="ED45" i="13" s="1"/>
  <c r="D45" i="13"/>
  <c r="E45" i="13"/>
  <c r="F45" i="13"/>
  <c r="G45" i="13"/>
  <c r="H45" i="13"/>
  <c r="I45" i="13"/>
  <c r="J45" i="13"/>
  <c r="K45" i="13"/>
  <c r="DV45" i="13"/>
  <c r="DW45" i="13"/>
  <c r="EQ45" i="13"/>
  <c r="ER45" i="13"/>
  <c r="B46" i="13"/>
  <c r="C46" i="13"/>
  <c r="AS46" i="13" s="1"/>
  <c r="D46" i="13"/>
  <c r="E46" i="13"/>
  <c r="F46" i="13"/>
  <c r="G46" i="13"/>
  <c r="H46" i="13"/>
  <c r="I46" i="13"/>
  <c r="J46" i="13"/>
  <c r="K46" i="13"/>
  <c r="DV46" i="13"/>
  <c r="FK46" i="13"/>
  <c r="B47" i="13"/>
  <c r="C47" i="13"/>
  <c r="D47" i="13"/>
  <c r="E47" i="13"/>
  <c r="F47" i="13"/>
  <c r="G47" i="13"/>
  <c r="H47" i="13"/>
  <c r="I47" i="13"/>
  <c r="J47" i="13"/>
  <c r="K47" i="13"/>
  <c r="DY47" i="13"/>
  <c r="EG47" i="13"/>
  <c r="EQ47" i="13"/>
  <c r="FE47" i="13"/>
  <c r="B48" i="13"/>
  <c r="C48" i="13"/>
  <c r="D48" i="13"/>
  <c r="E48" i="13"/>
  <c r="F48" i="13"/>
  <c r="G48" i="13"/>
  <c r="H48" i="13"/>
  <c r="I48" i="13"/>
  <c r="J48" i="13"/>
  <c r="K48" i="13"/>
  <c r="DV48" i="13"/>
  <c r="ET48" i="13"/>
  <c r="B49" i="13"/>
  <c r="C49" i="13"/>
  <c r="AS49" i="13" s="1"/>
  <c r="D49" i="13"/>
  <c r="E49" i="13"/>
  <c r="F49" i="13"/>
  <c r="G49" i="13"/>
  <c r="H49" i="13"/>
  <c r="I49" i="13"/>
  <c r="J49" i="13"/>
  <c r="K49" i="13"/>
  <c r="DY49" i="13"/>
  <c r="EB49" i="13"/>
  <c r="EG49" i="13"/>
  <c r="EQ49" i="13"/>
  <c r="FE49" i="13"/>
  <c r="B50" i="13"/>
  <c r="C50" i="13"/>
  <c r="DV50" i="13" s="1"/>
  <c r="D50" i="13"/>
  <c r="E50" i="13"/>
  <c r="F50" i="13"/>
  <c r="G50" i="13"/>
  <c r="H50" i="13"/>
  <c r="I50" i="13"/>
  <c r="J50" i="13"/>
  <c r="K50" i="13"/>
  <c r="DY50" i="13"/>
  <c r="EA50" i="13"/>
  <c r="EB50" i="13"/>
  <c r="EG50" i="13"/>
  <c r="ET50" i="13"/>
  <c r="FC50" i="13"/>
  <c r="FK50" i="13"/>
  <c r="B51" i="13"/>
  <c r="C51" i="13"/>
  <c r="AS51" i="13" s="1"/>
  <c r="D51" i="13"/>
  <c r="E51" i="13"/>
  <c r="F51" i="13"/>
  <c r="G51" i="13"/>
  <c r="H51" i="13"/>
  <c r="I51" i="13"/>
  <c r="J51" i="13"/>
  <c r="K51" i="13"/>
  <c r="EB51" i="13"/>
  <c r="ED51" i="13"/>
  <c r="FC51" i="13"/>
  <c r="AT35" i="13" l="1"/>
  <c r="AT32" i="13"/>
  <c r="AT49" i="13"/>
  <c r="AB41" i="13"/>
  <c r="AC41" i="13" s="1"/>
  <c r="BL41" i="13"/>
  <c r="Y41" i="13"/>
  <c r="DQ41" i="13"/>
  <c r="CE41" i="13"/>
  <c r="CX41" i="13"/>
  <c r="ES37" i="13"/>
  <c r="DV37" i="13"/>
  <c r="Y37" i="13"/>
  <c r="BL37" i="13"/>
  <c r="DQ37" i="13"/>
  <c r="AB37" i="13"/>
  <c r="AC37" i="13" s="1"/>
  <c r="CE37" i="13"/>
  <c r="CX37" i="13"/>
  <c r="BL30" i="13"/>
  <c r="CE30" i="13"/>
  <c r="AB30" i="13"/>
  <c r="AC30" i="13" s="1"/>
  <c r="Y30" i="13"/>
  <c r="DQ30" i="13"/>
  <c r="CX30" i="13"/>
  <c r="Z32" i="13"/>
  <c r="DZ48" i="13"/>
  <c r="AS48" i="13"/>
  <c r="CE34" i="13"/>
  <c r="Y34" i="13"/>
  <c r="AB34" i="13"/>
  <c r="AC34" i="13" s="1"/>
  <c r="DQ34" i="13"/>
  <c r="BL34" i="13"/>
  <c r="CX34" i="13"/>
  <c r="ET46" i="13"/>
  <c r="EG45" i="13"/>
  <c r="EB39" i="13"/>
  <c r="AS39" i="13"/>
  <c r="EP37" i="13"/>
  <c r="EV34" i="13"/>
  <c r="AE34" i="39" s="1"/>
  <c r="AS34" i="13"/>
  <c r="EU50" i="13"/>
  <c r="DQ50" i="13"/>
  <c r="CX50" i="13"/>
  <c r="Y50" i="13"/>
  <c r="CE50" i="13"/>
  <c r="BL50" i="13"/>
  <c r="AB50" i="13"/>
  <c r="AC50" i="13" s="1"/>
  <c r="EA49" i="13"/>
  <c r="EG48" i="13"/>
  <c r="ER46" i="13"/>
  <c r="FK45" i="13"/>
  <c r="EE45" i="13"/>
  <c r="EF43" i="13"/>
  <c r="EA42" i="13"/>
  <c r="FK40" i="13"/>
  <c r="DV38" i="13"/>
  <c r="CX38" i="13"/>
  <c r="CE38" i="13"/>
  <c r="CF38" i="13" s="1"/>
  <c r="Y38" i="13"/>
  <c r="AB38" i="13"/>
  <c r="AC38" i="13" s="1"/>
  <c r="DQ38" i="13"/>
  <c r="BL38" i="13"/>
  <c r="EG37" i="13"/>
  <c r="FE36" i="13"/>
  <c r="CX36" i="13"/>
  <c r="Y36" i="13"/>
  <c r="DQ36" i="13"/>
  <c r="AB36" i="13"/>
  <c r="AC36" i="13" s="1"/>
  <c r="CE36" i="13"/>
  <c r="BL36" i="13"/>
  <c r="DX33" i="13"/>
  <c r="AB33" i="13"/>
  <c r="AC33" i="13" s="1"/>
  <c r="Y33" i="13"/>
  <c r="BL33" i="13"/>
  <c r="CE33" i="13"/>
  <c r="DQ33" i="13"/>
  <c r="CX33" i="13"/>
  <c r="EV32" i="13"/>
  <c r="AE32" i="39" s="1"/>
  <c r="EG32" i="13"/>
  <c r="DY32" i="13"/>
  <c r="AB31" i="13"/>
  <c r="AC31" i="13" s="1"/>
  <c r="Y31" i="13"/>
  <c r="Z31" i="13" s="1"/>
  <c r="CE31" i="13"/>
  <c r="BL31" i="13"/>
  <c r="BM31" i="13" s="1"/>
  <c r="DQ31" i="13"/>
  <c r="DR31" i="13" s="1"/>
  <c r="CX31" i="13"/>
  <c r="ER48" i="13"/>
  <c r="DV41" i="13"/>
  <c r="AS41" i="13"/>
  <c r="DQ49" i="13"/>
  <c r="CE49" i="13"/>
  <c r="CX49" i="13"/>
  <c r="Y49" i="13"/>
  <c r="AB49" i="13"/>
  <c r="AC49" i="13" s="1"/>
  <c r="BL49" i="13"/>
  <c r="ED48" i="13"/>
  <c r="EQ46" i="13"/>
  <c r="AT46" i="13" s="1"/>
  <c r="FE45" i="13"/>
  <c r="FD44" i="13"/>
  <c r="Y43" i="13"/>
  <c r="AB43" i="13"/>
  <c r="AC43" i="13" s="1"/>
  <c r="BL43" i="13"/>
  <c r="DQ43" i="13"/>
  <c r="CE43" i="13"/>
  <c r="CX43" i="13"/>
  <c r="CX42" i="13"/>
  <c r="CY42" i="13" s="1"/>
  <c r="AB42" i="13"/>
  <c r="AC42" i="13" s="1"/>
  <c r="Y42" i="13"/>
  <c r="CE42" i="13"/>
  <c r="DQ42" i="13"/>
  <c r="BL42" i="13"/>
  <c r="EV40" i="13"/>
  <c r="AE40" i="39" s="1"/>
  <c r="EE37" i="13"/>
  <c r="EE36" i="13"/>
  <c r="AS36" i="13"/>
  <c r="EU32" i="13"/>
  <c r="EF32" i="13"/>
  <c r="DX32" i="13"/>
  <c r="EY31" i="13"/>
  <c r="DV31" i="13"/>
  <c r="AS31" i="13"/>
  <c r="AT31" i="13" s="1"/>
  <c r="Y39" i="13"/>
  <c r="CE39" i="13"/>
  <c r="CX39" i="13"/>
  <c r="AB39" i="13"/>
  <c r="AC39" i="13" s="1"/>
  <c r="BL39" i="13"/>
  <c r="DQ39" i="13"/>
  <c r="EC45" i="13"/>
  <c r="AS45" i="13"/>
  <c r="AT45" i="13" s="1"/>
  <c r="CY50" i="13"/>
  <c r="EE50" i="13"/>
  <c r="AS50" i="13"/>
  <c r="EQ50" i="13"/>
  <c r="EB48" i="13"/>
  <c r="ED46" i="13"/>
  <c r="FC45" i="13"/>
  <c r="EB45" i="13"/>
  <c r="FC44" i="13"/>
  <c r="EQ40" i="13"/>
  <c r="AT40" i="13" s="1"/>
  <c r="FE38" i="13"/>
  <c r="EC37" i="13"/>
  <c r="ET36" i="13"/>
  <c r="CY36" i="13" s="1"/>
  <c r="FD33" i="13"/>
  <c r="ET32" i="13"/>
  <c r="EE32" i="13"/>
  <c r="DW32" i="13"/>
  <c r="AB32" i="13"/>
  <c r="AC32" i="13" s="1"/>
  <c r="BL32" i="13"/>
  <c r="Y32" i="13"/>
  <c r="CX32" i="13"/>
  <c r="DQ32" i="13"/>
  <c r="CE32" i="13"/>
  <c r="EV31" i="13"/>
  <c r="AE31" i="39" s="1"/>
  <c r="EE31" i="13"/>
  <c r="BL46" i="13"/>
  <c r="Y46" i="13"/>
  <c r="CE46" i="13"/>
  <c r="CX46" i="13"/>
  <c r="AB46" i="13"/>
  <c r="AC46" i="13" s="1"/>
  <c r="DQ46" i="13"/>
  <c r="AB45" i="13"/>
  <c r="AC45" i="13" s="1"/>
  <c r="Y45" i="13"/>
  <c r="CX45" i="13"/>
  <c r="DQ45" i="13"/>
  <c r="BL45" i="13"/>
  <c r="BM45" i="13" s="1"/>
  <c r="CE45" i="13"/>
  <c r="EB46" i="13"/>
  <c r="EU45" i="13"/>
  <c r="CE35" i="13"/>
  <c r="CX35" i="13"/>
  <c r="DQ35" i="13"/>
  <c r="Y35" i="13"/>
  <c r="BL35" i="13"/>
  <c r="AB35" i="13"/>
  <c r="AC35" i="13" s="1"/>
  <c r="CF32" i="13"/>
  <c r="ES30" i="13"/>
  <c r="CF30" i="13" s="1"/>
  <c r="DQ48" i="13"/>
  <c r="CE48" i="13"/>
  <c r="BL48" i="13"/>
  <c r="Y48" i="13"/>
  <c r="AB48" i="13"/>
  <c r="AC48" i="13" s="1"/>
  <c r="CX48" i="13"/>
  <c r="CY48" i="13" s="1"/>
  <c r="ED37" i="13"/>
  <c r="AS37" i="13"/>
  <c r="AT37" i="13" s="1"/>
  <c r="EQ48" i="13"/>
  <c r="EX48" i="13" s="1"/>
  <c r="DQ51" i="13"/>
  <c r="Y51" i="13"/>
  <c r="AB51" i="13"/>
  <c r="AC51" i="13" s="1"/>
  <c r="CE51" i="13"/>
  <c r="BL51" i="13"/>
  <c r="CX51" i="13"/>
  <c r="EA48" i="13"/>
  <c r="Y47" i="13"/>
  <c r="AB47" i="13"/>
  <c r="AC47" i="13" s="1"/>
  <c r="CX47" i="13"/>
  <c r="BL47" i="13"/>
  <c r="CE47" i="13"/>
  <c r="DQ47" i="13"/>
  <c r="EA45" i="13"/>
  <c r="ED44" i="13"/>
  <c r="EA40" i="13"/>
  <c r="EA37" i="13"/>
  <c r="CF36" i="13"/>
  <c r="ED50" i="13"/>
  <c r="ER49" i="13"/>
  <c r="FE48" i="13"/>
  <c r="DY48" i="13"/>
  <c r="EB47" i="13"/>
  <c r="AS47" i="13"/>
  <c r="AT47" i="13" s="1"/>
  <c r="EA46" i="13"/>
  <c r="ET45" i="13"/>
  <c r="FA45" i="13" s="1"/>
  <c r="DY45" i="13"/>
  <c r="DW44" i="13"/>
  <c r="BL44" i="13"/>
  <c r="AB44" i="13"/>
  <c r="AC44" i="13" s="1"/>
  <c r="DQ44" i="13"/>
  <c r="CE44" i="13"/>
  <c r="CX44" i="13"/>
  <c r="Y44" i="13"/>
  <c r="FE42" i="13"/>
  <c r="EU41" i="13"/>
  <c r="DR41" i="13" s="1"/>
  <c r="DX40" i="13"/>
  <c r="CX40" i="13"/>
  <c r="Y40" i="13"/>
  <c r="AB40" i="13"/>
  <c r="AC40" i="13" s="1"/>
  <c r="BL40" i="13"/>
  <c r="CE40" i="13"/>
  <c r="DQ40" i="13"/>
  <c r="EP38" i="13"/>
  <c r="FC37" i="13"/>
  <c r="DW37" i="13"/>
  <c r="ED36" i="13"/>
  <c r="ER33" i="13"/>
  <c r="FF32" i="13"/>
  <c r="ER32" i="13"/>
  <c r="BM32" i="13" s="1"/>
  <c r="EC32" i="13"/>
  <c r="ET31" i="13"/>
  <c r="EB31" i="13"/>
  <c r="DZ30" i="13"/>
  <c r="EH32" i="13"/>
  <c r="H32" i="39" s="1"/>
  <c r="K32" i="39"/>
  <c r="M32" i="39" s="1"/>
  <c r="EY49" i="13"/>
  <c r="EW37" i="13"/>
  <c r="EZ32" i="13"/>
  <c r="EX45" i="13"/>
  <c r="EX37" i="13"/>
  <c r="EY46" i="13"/>
  <c r="EY33" i="13"/>
  <c r="EY48" i="13"/>
  <c r="FA46" i="13"/>
  <c r="FB45" i="13"/>
  <c r="EW32" i="13"/>
  <c r="EA51" i="13"/>
  <c r="EE51" i="13"/>
  <c r="FK51" i="13"/>
  <c r="EA44" i="13"/>
  <c r="ET44" i="13"/>
  <c r="CY44" i="13" s="1"/>
  <c r="EA43" i="13"/>
  <c r="EQ43" i="13"/>
  <c r="AT43" i="13" s="1"/>
  <c r="DZ42" i="13"/>
  <c r="DY42" i="13"/>
  <c r="EG42" i="13"/>
  <c r="FD42" i="13"/>
  <c r="DX42" i="13"/>
  <c r="EQ42" i="13"/>
  <c r="AT42" i="13" s="1"/>
  <c r="EB40" i="13"/>
  <c r="DV40" i="13"/>
  <c r="ED40" i="13"/>
  <c r="FC40" i="13"/>
  <c r="DW40" i="13"/>
  <c r="EU40" i="13"/>
  <c r="DR40" i="13" s="1"/>
  <c r="DW35" i="13"/>
  <c r="EE35" i="13"/>
  <c r="ER35" i="13"/>
  <c r="BM35" i="13" s="1"/>
  <c r="FK35" i="13"/>
  <c r="DY35" i="13"/>
  <c r="EG35" i="13"/>
  <c r="FD35" i="13"/>
  <c r="EA35" i="13"/>
  <c r="FE35" i="13"/>
  <c r="EF35" i="13"/>
  <c r="DZ34" i="13"/>
  <c r="DY34" i="13"/>
  <c r="EF34" i="13"/>
  <c r="EU34" i="13"/>
  <c r="DR34" i="13" s="1"/>
  <c r="FE34" i="13"/>
  <c r="DW34" i="13"/>
  <c r="EB34" i="13"/>
  <c r="EQ34" i="13"/>
  <c r="FC34" i="13"/>
  <c r="EE34" i="13"/>
  <c r="FD34" i="13"/>
  <c r="EG34" i="13"/>
  <c r="FK34" i="13"/>
  <c r="DZ47" i="13"/>
  <c r="DV47" i="13"/>
  <c r="ED47" i="13"/>
  <c r="ET47" i="13"/>
  <c r="CY47" i="13" s="1"/>
  <c r="DX35" i="13"/>
  <c r="DX34" i="13"/>
  <c r="ER51" i="13"/>
  <c r="BM51" i="13" s="1"/>
  <c r="DY51" i="13"/>
  <c r="EQ51" i="13"/>
  <c r="AT51" i="13" s="1"/>
  <c r="DV49" i="13"/>
  <c r="ED49" i="13"/>
  <c r="ET49" i="13"/>
  <c r="CY49" i="13" s="1"/>
  <c r="ER47" i="13"/>
  <c r="BM47" i="13" s="1"/>
  <c r="EA47" i="13"/>
  <c r="DZ46" i="13"/>
  <c r="DY46" i="13"/>
  <c r="EG46" i="13"/>
  <c r="FE46" i="13"/>
  <c r="DX44" i="13"/>
  <c r="EF42" i="13"/>
  <c r="DZ38" i="13"/>
  <c r="EE38" i="13"/>
  <c r="EQ38" i="13"/>
  <c r="AT38" i="13" s="1"/>
  <c r="FC38" i="13"/>
  <c r="DY38" i="13"/>
  <c r="EG38" i="13"/>
  <c r="ET38" i="13"/>
  <c r="CY38" i="13" s="1"/>
  <c r="FK38" i="13"/>
  <c r="EA38" i="13"/>
  <c r="EK38" i="13"/>
  <c r="EU38" i="13"/>
  <c r="DR38" i="13" s="1"/>
  <c r="EU35" i="13"/>
  <c r="DR35" i="13" s="1"/>
  <c r="ER34" i="13"/>
  <c r="BM34" i="13" s="1"/>
  <c r="DW30" i="13"/>
  <c r="EA30" i="13"/>
  <c r="EE30" i="13"/>
  <c r="EP30" i="13"/>
  <c r="Z30" i="13" s="1"/>
  <c r="ET30" i="13"/>
  <c r="FC30" i="13"/>
  <c r="FK30" i="13"/>
  <c r="DX30" i="13"/>
  <c r="EB30" i="13"/>
  <c r="EF30" i="13"/>
  <c r="EQ30" i="13"/>
  <c r="AT30" i="13" s="1"/>
  <c r="EU30" i="13"/>
  <c r="DR30" i="13" s="1"/>
  <c r="FD30" i="13"/>
  <c r="DY30" i="13"/>
  <c r="EC30" i="13"/>
  <c r="EG30" i="13"/>
  <c r="ER30" i="13"/>
  <c r="BM30" i="13" s="1"/>
  <c r="EV30" i="13"/>
  <c r="AE30" i="39" s="1"/>
  <c r="FE30" i="13"/>
  <c r="FG36" i="13"/>
  <c r="FB32" i="13"/>
  <c r="EW31" i="13"/>
  <c r="EK30" i="13"/>
  <c r="DZ33" i="13"/>
  <c r="DW33" i="13"/>
  <c r="EB33" i="13"/>
  <c r="EQ33" i="13"/>
  <c r="AT33" i="13" s="1"/>
  <c r="FC33" i="13"/>
  <c r="DY33" i="13"/>
  <c r="EF33" i="13"/>
  <c r="EU33" i="13"/>
  <c r="DR33" i="13" s="1"/>
  <c r="FE33" i="13"/>
  <c r="FF30" i="13"/>
  <c r="ED30" i="13"/>
  <c r="FG37" i="13"/>
  <c r="FE31" i="13"/>
  <c r="ES31" i="13"/>
  <c r="CF31" i="13" s="1"/>
  <c r="EK31" i="13"/>
  <c r="ED31" i="13"/>
  <c r="DZ31" i="13"/>
  <c r="EM32" i="13"/>
  <c r="EN32" i="13" s="1"/>
  <c r="FG50" i="13"/>
  <c r="EX47" i="13"/>
  <c r="FG46" i="13"/>
  <c r="FG47" i="13"/>
  <c r="FG48" i="13"/>
  <c r="FG49" i="13"/>
  <c r="FG45" i="13"/>
  <c r="EY45" i="13"/>
  <c r="FG51" i="13"/>
  <c r="EZ37" i="13"/>
  <c r="FB31" i="13"/>
  <c r="FB50" i="13"/>
  <c r="FA50" i="13"/>
  <c r="FE50" i="13"/>
  <c r="ER50" i="13"/>
  <c r="BM50" i="13" s="1"/>
  <c r="DZ51" i="13"/>
  <c r="EP51" i="13"/>
  <c r="EC51" i="13"/>
  <c r="EK51" i="13"/>
  <c r="ES51" i="13"/>
  <c r="CF51" i="13" s="1"/>
  <c r="DX51" i="13"/>
  <c r="EF51" i="13"/>
  <c r="EV51" i="13"/>
  <c r="AE51" i="39" s="1"/>
  <c r="FD51" i="13"/>
  <c r="DZ49" i="13"/>
  <c r="EP49" i="13"/>
  <c r="Z49" i="13" s="1"/>
  <c r="FF49" i="13"/>
  <c r="EC49" i="13"/>
  <c r="EK49" i="13"/>
  <c r="ES49" i="13"/>
  <c r="CF49" i="13" s="1"/>
  <c r="DW49" i="13"/>
  <c r="EE49" i="13"/>
  <c r="EU49" i="13"/>
  <c r="DR49" i="13" s="1"/>
  <c r="FC49" i="13"/>
  <c r="FK49" i="13"/>
  <c r="DX49" i="13"/>
  <c r="EF49" i="13"/>
  <c r="EV49" i="13"/>
  <c r="AE49" i="39" s="1"/>
  <c r="FD49" i="13"/>
  <c r="EX50" i="13"/>
  <c r="DW51" i="13"/>
  <c r="FF51" i="13"/>
  <c r="EU51" i="13"/>
  <c r="DR51" i="13" s="1"/>
  <c r="DV51" i="13"/>
  <c r="FA48" i="13"/>
  <c r="FE51" i="13"/>
  <c r="ET51" i="13"/>
  <c r="CY51" i="13" s="1"/>
  <c r="EG51" i="13"/>
  <c r="DZ50" i="13"/>
  <c r="EP50" i="13"/>
  <c r="Z50" i="13" s="1"/>
  <c r="FF50" i="13"/>
  <c r="EC50" i="13"/>
  <c r="EK50" i="13"/>
  <c r="K50" i="39" s="1"/>
  <c r="M50" i="39" s="1"/>
  <c r="ES50" i="13"/>
  <c r="CF50" i="13" s="1"/>
  <c r="DW50" i="13"/>
  <c r="DX50" i="13"/>
  <c r="EF50" i="13"/>
  <c r="EV50" i="13"/>
  <c r="AE50" i="39" s="1"/>
  <c r="FD50" i="13"/>
  <c r="EX49" i="13"/>
  <c r="FD48" i="13"/>
  <c r="EV48" i="13"/>
  <c r="AE48" i="39" s="1"/>
  <c r="EF48" i="13"/>
  <c r="DX48" i="13"/>
  <c r="FD47" i="13"/>
  <c r="EV47" i="13"/>
  <c r="AE47" i="39" s="1"/>
  <c r="EF47" i="13"/>
  <c r="DX47" i="13"/>
  <c r="FD46" i="13"/>
  <c r="EV46" i="13"/>
  <c r="AE46" i="39" s="1"/>
  <c r="EF46" i="13"/>
  <c r="DX46" i="13"/>
  <c r="FD45" i="13"/>
  <c r="EV45" i="13"/>
  <c r="AE45" i="39" s="1"/>
  <c r="EF45" i="13"/>
  <c r="DX45" i="13"/>
  <c r="EV44" i="13"/>
  <c r="AE44" i="39" s="1"/>
  <c r="EF44" i="13"/>
  <c r="FK43" i="13"/>
  <c r="EU43" i="13"/>
  <c r="ED43" i="13"/>
  <c r="FG40" i="13"/>
  <c r="FK48" i="13"/>
  <c r="FC48" i="13"/>
  <c r="EU48" i="13"/>
  <c r="EE48" i="13"/>
  <c r="DW48" i="13"/>
  <c r="FK47" i="13"/>
  <c r="FC47" i="13"/>
  <c r="EU47" i="13"/>
  <c r="DR47" i="13" s="1"/>
  <c r="EE47" i="13"/>
  <c r="DW47" i="13"/>
  <c r="FC46" i="13"/>
  <c r="EU46" i="13"/>
  <c r="DR46" i="13" s="1"/>
  <c r="EE46" i="13"/>
  <c r="DW46" i="13"/>
  <c r="FK44" i="13"/>
  <c r="EU44" i="13"/>
  <c r="DR44" i="13" s="1"/>
  <c r="EE44" i="13"/>
  <c r="ET43" i="13"/>
  <c r="CY43" i="13" s="1"/>
  <c r="FB41" i="13"/>
  <c r="FG41" i="13"/>
  <c r="FG43" i="13"/>
  <c r="DW43" i="13"/>
  <c r="EE43" i="13"/>
  <c r="DY43" i="13"/>
  <c r="EG43" i="13"/>
  <c r="FE43" i="13"/>
  <c r="DZ43" i="13"/>
  <c r="EP43" i="13"/>
  <c r="Z43" i="13" s="1"/>
  <c r="FF43" i="13"/>
  <c r="EB43" i="13"/>
  <c r="ER43" i="13"/>
  <c r="BM43" i="13" s="1"/>
  <c r="EC43" i="13"/>
  <c r="EK43" i="13"/>
  <c r="ES43" i="13"/>
  <c r="CF43" i="13" s="1"/>
  <c r="ES48" i="13"/>
  <c r="CF48" i="13" s="1"/>
  <c r="EK48" i="13"/>
  <c r="EC48" i="13"/>
  <c r="ES47" i="13"/>
  <c r="CF47" i="13" s="1"/>
  <c r="EK47" i="13"/>
  <c r="EC47" i="13"/>
  <c r="ES46" i="13"/>
  <c r="CF46" i="13" s="1"/>
  <c r="EK46" i="13"/>
  <c r="EC46" i="13"/>
  <c r="ES45" i="13"/>
  <c r="CF45" i="13" s="1"/>
  <c r="EK45" i="13"/>
  <c r="K45" i="39" s="1"/>
  <c r="M45" i="39" s="1"/>
  <c r="FG44" i="13"/>
  <c r="EQ44" i="13"/>
  <c r="AT44" i="13" s="1"/>
  <c r="FA44" i="13"/>
  <c r="FD43" i="13"/>
  <c r="DV43" i="13"/>
  <c r="FC43" i="13"/>
  <c r="DY41" i="13"/>
  <c r="EG41" i="13"/>
  <c r="FE41" i="13"/>
  <c r="DZ41" i="13"/>
  <c r="EP41" i="13"/>
  <c r="Z41" i="13" s="1"/>
  <c r="FF41" i="13"/>
  <c r="EC41" i="13"/>
  <c r="EK41" i="13"/>
  <c r="K41" i="39" s="1"/>
  <c r="M41" i="39" s="1"/>
  <c r="ES41" i="13"/>
  <c r="CF41" i="13" s="1"/>
  <c r="EB41" i="13"/>
  <c r="ED41" i="13"/>
  <c r="EQ41" i="13"/>
  <c r="AT41" i="13" s="1"/>
  <c r="FC41" i="13"/>
  <c r="EE41" i="13"/>
  <c r="ER41" i="13"/>
  <c r="BM41" i="13" s="1"/>
  <c r="FD41" i="13"/>
  <c r="EF41" i="13"/>
  <c r="ET41" i="13"/>
  <c r="CY41" i="13" s="1"/>
  <c r="DW41" i="13"/>
  <c r="EV41" i="13"/>
  <c r="AE41" i="39" s="1"/>
  <c r="DX41" i="13"/>
  <c r="FK41" i="13"/>
  <c r="DY39" i="13"/>
  <c r="EG39" i="13"/>
  <c r="FE39" i="13"/>
  <c r="DZ39" i="13"/>
  <c r="EP39" i="13"/>
  <c r="Z39" i="13" s="1"/>
  <c r="FF39" i="13"/>
  <c r="EC39" i="13"/>
  <c r="EK39" i="13"/>
  <c r="ES39" i="13"/>
  <c r="CF39" i="13" s="1"/>
  <c r="ED39" i="13"/>
  <c r="EQ39" i="13"/>
  <c r="AT39" i="13" s="1"/>
  <c r="FC39" i="13"/>
  <c r="EE39" i="13"/>
  <c r="ER39" i="13"/>
  <c r="BM39" i="13" s="1"/>
  <c r="FD39" i="13"/>
  <c r="EF39" i="13"/>
  <c r="ET39" i="13"/>
  <c r="CY39" i="13" s="1"/>
  <c r="DV39" i="13"/>
  <c r="EU39" i="13"/>
  <c r="DR39" i="13" s="1"/>
  <c r="DW39" i="13"/>
  <c r="EV39" i="13"/>
  <c r="AE39" i="39" s="1"/>
  <c r="DX39" i="13"/>
  <c r="FK39" i="13"/>
  <c r="EA39" i="13"/>
  <c r="DY44" i="13"/>
  <c r="EG44" i="13"/>
  <c r="FE44" i="13"/>
  <c r="DZ44" i="13"/>
  <c r="EP44" i="13"/>
  <c r="Z44" i="13" s="1"/>
  <c r="FF44" i="13"/>
  <c r="EB44" i="13"/>
  <c r="ER44" i="13"/>
  <c r="BM44" i="13" s="1"/>
  <c r="EC44" i="13"/>
  <c r="EK44" i="13"/>
  <c r="K44" i="39" s="1"/>
  <c r="M44" i="39" s="1"/>
  <c r="ES44" i="13"/>
  <c r="CF44" i="13" s="1"/>
  <c r="FG42" i="13"/>
  <c r="FG38" i="13"/>
  <c r="EW38" i="13"/>
  <c r="FF48" i="13"/>
  <c r="EP48" i="13"/>
  <c r="FF47" i="13"/>
  <c r="EP47" i="13"/>
  <c r="FF46" i="13"/>
  <c r="EP46" i="13"/>
  <c r="FF45" i="13"/>
  <c r="EP45" i="13"/>
  <c r="Z45" i="13" s="1"/>
  <c r="DZ45" i="13"/>
  <c r="DV44" i="13"/>
  <c r="FA42" i="13"/>
  <c r="ES42" i="13"/>
  <c r="CF42" i="13" s="1"/>
  <c r="EK42" i="13"/>
  <c r="EC42" i="13"/>
  <c r="ET40" i="13"/>
  <c r="CY40" i="13" s="1"/>
  <c r="EF40" i="13"/>
  <c r="ER42" i="13"/>
  <c r="BM42" i="13" s="1"/>
  <c r="EB42" i="13"/>
  <c r="FD40" i="13"/>
  <c r="ER40" i="13"/>
  <c r="BM40" i="13" s="1"/>
  <c r="EE40" i="13"/>
  <c r="FG34" i="13"/>
  <c r="FF42" i="13"/>
  <c r="EP42" i="13"/>
  <c r="Z42" i="13" s="1"/>
  <c r="EX40" i="13"/>
  <c r="FG39" i="13"/>
  <c r="FK42" i="13"/>
  <c r="FC42" i="13"/>
  <c r="EU42" i="13"/>
  <c r="DR42" i="13" s="1"/>
  <c r="EE42" i="13"/>
  <c r="DW42" i="13"/>
  <c r="DY40" i="13"/>
  <c r="EG40" i="13"/>
  <c r="FE40" i="13"/>
  <c r="DZ40" i="13"/>
  <c r="EP40" i="13"/>
  <c r="Z40" i="13" s="1"/>
  <c r="FF40" i="13"/>
  <c r="EC40" i="13"/>
  <c r="EK40" i="13"/>
  <c r="K40" i="39" s="1"/>
  <c r="M40" i="39" s="1"/>
  <c r="ES40" i="13"/>
  <c r="CF40" i="13" s="1"/>
  <c r="EX35" i="13"/>
  <c r="FG35" i="13"/>
  <c r="FF36" i="13"/>
  <c r="EU36" i="13"/>
  <c r="DR36" i="13" s="1"/>
  <c r="EK36" i="13"/>
  <c r="K36" i="39" s="1"/>
  <c r="M36" i="39" s="1"/>
  <c r="DZ36" i="13"/>
  <c r="DX37" i="13"/>
  <c r="EF37" i="13"/>
  <c r="EV37" i="13"/>
  <c r="AE37" i="39" s="1"/>
  <c r="FD37" i="13"/>
  <c r="EB37" i="13"/>
  <c r="ER37" i="13"/>
  <c r="BM37" i="13" s="1"/>
  <c r="EI32" i="13"/>
  <c r="FF37" i="13"/>
  <c r="EU37" i="13"/>
  <c r="DR37" i="13" s="1"/>
  <c r="EK37" i="13"/>
  <c r="K37" i="39" s="1"/>
  <c r="M37" i="39" s="1"/>
  <c r="DZ37" i="13"/>
  <c r="EQ36" i="13"/>
  <c r="EG36" i="13"/>
  <c r="DV36" i="13"/>
  <c r="EZ38" i="13"/>
  <c r="DX38" i="13"/>
  <c r="EF38" i="13"/>
  <c r="EV38" i="13"/>
  <c r="AE38" i="39" s="1"/>
  <c r="FD38" i="13"/>
  <c r="EB38" i="13"/>
  <c r="ER38" i="13"/>
  <c r="BM38" i="13" s="1"/>
  <c r="FE37" i="13"/>
  <c r="ET37" i="13"/>
  <c r="CY37" i="13" s="1"/>
  <c r="DY37" i="13"/>
  <c r="FK36" i="13"/>
  <c r="FA36" i="13"/>
  <c r="EP36" i="13"/>
  <c r="Z36" i="13" s="1"/>
  <c r="FA31" i="13"/>
  <c r="EZ36" i="13"/>
  <c r="DX36" i="13"/>
  <c r="EF36" i="13"/>
  <c r="EV36" i="13"/>
  <c r="AE36" i="39" s="1"/>
  <c r="FD36" i="13"/>
  <c r="EB36" i="13"/>
  <c r="ER36" i="13"/>
  <c r="BM36" i="13" s="1"/>
  <c r="EX32" i="13"/>
  <c r="FG32" i="13"/>
  <c r="EV35" i="13"/>
  <c r="AE35" i="39" s="1"/>
  <c r="FB34" i="13"/>
  <c r="FA32" i="13"/>
  <c r="FA30" i="13"/>
  <c r="DZ35" i="13"/>
  <c r="EP35" i="13"/>
  <c r="Z35" i="13" s="1"/>
  <c r="FF35" i="13"/>
  <c r="EC35" i="13"/>
  <c r="EK35" i="13"/>
  <c r="K35" i="39" s="1"/>
  <c r="M35" i="39" s="1"/>
  <c r="ES35" i="13"/>
  <c r="CF35" i="13" s="1"/>
  <c r="DV35" i="13"/>
  <c r="ED35" i="13"/>
  <c r="ET35" i="13"/>
  <c r="CY35" i="13" s="1"/>
  <c r="FG33" i="13"/>
  <c r="FC35" i="13"/>
  <c r="EB35" i="13"/>
  <c r="EX31" i="13"/>
  <c r="FG31" i="13"/>
  <c r="FG30" i="13"/>
  <c r="ET34" i="13"/>
  <c r="CY34" i="13" s="1"/>
  <c r="ED34" i="13"/>
  <c r="DV34" i="13"/>
  <c r="ET33" i="13"/>
  <c r="CY33" i="13" s="1"/>
  <c r="ED33" i="13"/>
  <c r="DV33" i="13"/>
  <c r="DV32" i="13"/>
  <c r="ES34" i="13"/>
  <c r="CF34" i="13" s="1"/>
  <c r="EK34" i="13"/>
  <c r="K34" i="39" s="1"/>
  <c r="M34" i="39" s="1"/>
  <c r="EC34" i="13"/>
  <c r="ES33" i="13"/>
  <c r="CF33" i="13" s="1"/>
  <c r="EK33" i="13"/>
  <c r="K33" i="39" s="1"/>
  <c r="M33" i="39" s="1"/>
  <c r="EC33" i="13"/>
  <c r="EZ30" i="13"/>
  <c r="FF34" i="13"/>
  <c r="EP34" i="13"/>
  <c r="Z34" i="13" s="1"/>
  <c r="FF33" i="13"/>
  <c r="EP33" i="13"/>
  <c r="Z33" i="13" s="1"/>
  <c r="DU55" i="13"/>
  <c r="DT55" i="13"/>
  <c r="DB55" i="13"/>
  <c r="DA55" i="13"/>
  <c r="CI55" i="13"/>
  <c r="CH55" i="13"/>
  <c r="BP55" i="13"/>
  <c r="BO55" i="13"/>
  <c r="AV55" i="13"/>
  <c r="AU55" i="13"/>
  <c r="Z47" i="13" l="1"/>
  <c r="EX46" i="13"/>
  <c r="Z46" i="13"/>
  <c r="AT34" i="13"/>
  <c r="Z37" i="13"/>
  <c r="AT36" i="13"/>
  <c r="Z38" i="13"/>
  <c r="AT50" i="13"/>
  <c r="FB30" i="13"/>
  <c r="FB40" i="13"/>
  <c r="DR48" i="13"/>
  <c r="Z48" i="13"/>
  <c r="EY51" i="13"/>
  <c r="EY32" i="13"/>
  <c r="BM33" i="13"/>
  <c r="AT48" i="13"/>
  <c r="DR32" i="13"/>
  <c r="CF37" i="13"/>
  <c r="EL32" i="13"/>
  <c r="DR43" i="13"/>
  <c r="Z51" i="13"/>
  <c r="CY30" i="13"/>
  <c r="CY31" i="13"/>
  <c r="BM49" i="13"/>
  <c r="DR45" i="13"/>
  <c r="CY32" i="13"/>
  <c r="BM46" i="13"/>
  <c r="CY45" i="13"/>
  <c r="DR50" i="13"/>
  <c r="CY46" i="13"/>
  <c r="BM48" i="13"/>
  <c r="FH32" i="13"/>
  <c r="AF32" i="39"/>
  <c r="EH47" i="13"/>
  <c r="H47" i="39" s="1"/>
  <c r="K47" i="39"/>
  <c r="M47" i="39" s="1"/>
  <c r="FH41" i="13"/>
  <c r="AF41" i="39"/>
  <c r="FH40" i="13"/>
  <c r="AF40" i="39"/>
  <c r="EH51" i="13"/>
  <c r="H51" i="39" s="1"/>
  <c r="K51" i="39"/>
  <c r="M51" i="39" s="1"/>
  <c r="FH51" i="13"/>
  <c r="AF51" i="39"/>
  <c r="FH48" i="13"/>
  <c r="AF48" i="39"/>
  <c r="FH37" i="13"/>
  <c r="AF37" i="39"/>
  <c r="EH30" i="13"/>
  <c r="K30" i="39"/>
  <c r="M30" i="39" s="1"/>
  <c r="FH30" i="13"/>
  <c r="AF30" i="39"/>
  <c r="FH31" i="13"/>
  <c r="AF31" i="39"/>
  <c r="FH38" i="13"/>
  <c r="AF38" i="39"/>
  <c r="FH44" i="13"/>
  <c r="AF44" i="39"/>
  <c r="EH46" i="13"/>
  <c r="H46" i="39" s="1"/>
  <c r="K46" i="39"/>
  <c r="M46" i="39" s="1"/>
  <c r="EH49" i="13"/>
  <c r="H49" i="39" s="1"/>
  <c r="K49" i="39"/>
  <c r="M49" i="39" s="1"/>
  <c r="FH47" i="13"/>
  <c r="AF47" i="39"/>
  <c r="FH50" i="13"/>
  <c r="AF50" i="39"/>
  <c r="EH31" i="13"/>
  <c r="EL31" i="13" s="1"/>
  <c r="K31" i="39"/>
  <c r="M31" i="39" s="1"/>
  <c r="FH33" i="13"/>
  <c r="AF33" i="39"/>
  <c r="FH35" i="13"/>
  <c r="AF35" i="39"/>
  <c r="FH39" i="13"/>
  <c r="AF39" i="39"/>
  <c r="FH34" i="13"/>
  <c r="AF34" i="39"/>
  <c r="FH42" i="13"/>
  <c r="AF42" i="39"/>
  <c r="EH39" i="13"/>
  <c r="H39" i="39" s="1"/>
  <c r="K39" i="39"/>
  <c r="M39" i="39" s="1"/>
  <c r="FH45" i="13"/>
  <c r="AF45" i="39"/>
  <c r="FH46" i="13"/>
  <c r="AF46" i="39"/>
  <c r="EM38" i="13"/>
  <c r="EN38" i="13" s="1"/>
  <c r="N38" i="39" s="1"/>
  <c r="K38" i="39"/>
  <c r="M38" i="39" s="1"/>
  <c r="EJ32" i="13"/>
  <c r="J32" i="39" s="1"/>
  <c r="I32" i="39"/>
  <c r="EH42" i="13"/>
  <c r="H42" i="39" s="1"/>
  <c r="K42" i="39"/>
  <c r="M42" i="39" s="1"/>
  <c r="EH48" i="13"/>
  <c r="H48" i="39" s="1"/>
  <c r="K48" i="39"/>
  <c r="M48" i="39" s="1"/>
  <c r="EH43" i="13"/>
  <c r="H43" i="39" s="1"/>
  <c r="K43" i="39"/>
  <c r="M43" i="39" s="1"/>
  <c r="FH43" i="13"/>
  <c r="AF43" i="39"/>
  <c r="FH49" i="13"/>
  <c r="AF49" i="39"/>
  <c r="FH36" i="13"/>
  <c r="AF36" i="39"/>
  <c r="EO32" i="13"/>
  <c r="N32" i="39"/>
  <c r="FB33" i="13"/>
  <c r="FA47" i="13"/>
  <c r="EX34" i="13"/>
  <c r="EX42" i="13"/>
  <c r="EM30" i="13"/>
  <c r="EN30" i="13" s="1"/>
  <c r="EY35" i="13"/>
  <c r="EZ31" i="13"/>
  <c r="EW30" i="13"/>
  <c r="EY34" i="13"/>
  <c r="EY47" i="13"/>
  <c r="EX51" i="13"/>
  <c r="EW41" i="13"/>
  <c r="EX33" i="13"/>
  <c r="EY30" i="13"/>
  <c r="EW40" i="13"/>
  <c r="EY39" i="13"/>
  <c r="EX38" i="13"/>
  <c r="EX43" i="13"/>
  <c r="FA40" i="13"/>
  <c r="FA49" i="13"/>
  <c r="FA35" i="13"/>
  <c r="FA34" i="13"/>
  <c r="FA33" i="13"/>
  <c r="FA38" i="13"/>
  <c r="FB35" i="13"/>
  <c r="FB42" i="13"/>
  <c r="FB49" i="13"/>
  <c r="FB38" i="13"/>
  <c r="EI30" i="13"/>
  <c r="EX30" i="13"/>
  <c r="EM31" i="13"/>
  <c r="EN31" i="13" s="1"/>
  <c r="EH38" i="13"/>
  <c r="FA39" i="13"/>
  <c r="EM43" i="13"/>
  <c r="EN43" i="13" s="1"/>
  <c r="EM39" i="13"/>
  <c r="EN39" i="13" s="1"/>
  <c r="EM42" i="13"/>
  <c r="EN42" i="13" s="1"/>
  <c r="FA41" i="13"/>
  <c r="EM51" i="13"/>
  <c r="FB37" i="13"/>
  <c r="EH50" i="13"/>
  <c r="H50" i="39" s="1"/>
  <c r="EM50" i="13"/>
  <c r="FA37" i="13"/>
  <c r="FB39" i="13"/>
  <c r="EW34" i="13"/>
  <c r="EW42" i="13"/>
  <c r="EW45" i="13"/>
  <c r="EW43" i="13"/>
  <c r="EH45" i="13"/>
  <c r="H45" i="39" s="1"/>
  <c r="EM45" i="13"/>
  <c r="EH34" i="13"/>
  <c r="H34" i="39" s="1"/>
  <c r="EM34" i="13"/>
  <c r="EN34" i="13" s="1"/>
  <c r="EY38" i="13"/>
  <c r="EZ41" i="13"/>
  <c r="EM48" i="13"/>
  <c r="FA43" i="13"/>
  <c r="EW50" i="13"/>
  <c r="EZ34" i="13"/>
  <c r="EH35" i="13"/>
  <c r="H35" i="39" s="1"/>
  <c r="EM35" i="13"/>
  <c r="EN35" i="13" s="1"/>
  <c r="EY36" i="13"/>
  <c r="EW46" i="13"/>
  <c r="EL39" i="13"/>
  <c r="EZ48" i="13"/>
  <c r="EZ43" i="13"/>
  <c r="FB48" i="13"/>
  <c r="FB43" i="13"/>
  <c r="FB51" i="13"/>
  <c r="EZ42" i="13"/>
  <c r="EZ35" i="13"/>
  <c r="EX36" i="13"/>
  <c r="EY37" i="13"/>
  <c r="EX41" i="13"/>
  <c r="EZ44" i="13"/>
  <c r="EH41" i="13"/>
  <c r="H41" i="39" s="1"/>
  <c r="EM41" i="13"/>
  <c r="EN41" i="13" s="1"/>
  <c r="EZ46" i="13"/>
  <c r="EW36" i="13"/>
  <c r="EZ40" i="13"/>
  <c r="EH44" i="13"/>
  <c r="H44" i="39" s="1"/>
  <c r="EM44" i="13"/>
  <c r="EN44" i="13" s="1"/>
  <c r="EY41" i="13"/>
  <c r="EX44" i="13"/>
  <c r="EM47" i="13"/>
  <c r="EM49" i="13"/>
  <c r="EW49" i="13"/>
  <c r="EW51" i="13"/>
  <c r="FB44" i="13"/>
  <c r="EY50" i="13"/>
  <c r="EH37" i="13"/>
  <c r="H37" i="39" s="1"/>
  <c r="EM37" i="13"/>
  <c r="EH40" i="13"/>
  <c r="H40" i="39" s="1"/>
  <c r="EM40" i="13"/>
  <c r="EN40" i="13" s="1"/>
  <c r="EX39" i="13"/>
  <c r="EY42" i="13"/>
  <c r="EW47" i="13"/>
  <c r="FB47" i="13"/>
  <c r="EZ50" i="13"/>
  <c r="EW35" i="13"/>
  <c r="EM36" i="13"/>
  <c r="EH36" i="13"/>
  <c r="H36" i="39" s="1"/>
  <c r="EY40" i="13"/>
  <c r="FB36" i="13"/>
  <c r="EW48" i="13"/>
  <c r="EY44" i="13"/>
  <c r="EW39" i="13"/>
  <c r="EZ39" i="13"/>
  <c r="EZ45" i="13"/>
  <c r="EZ47" i="13"/>
  <c r="EY43" i="13"/>
  <c r="EW44" i="13"/>
  <c r="EM46" i="13"/>
  <c r="EZ49" i="13"/>
  <c r="FA51" i="13"/>
  <c r="EH33" i="13"/>
  <c r="H33" i="39" s="1"/>
  <c r="EM33" i="13"/>
  <c r="EN33" i="13" s="1"/>
  <c r="EW33" i="13"/>
  <c r="EZ33" i="13"/>
  <c r="FB46" i="13"/>
  <c r="EZ51" i="13"/>
  <c r="I95" i="34"/>
  <c r="N53" i="34"/>
  <c r="EI39" i="13" l="1"/>
  <c r="EL49" i="13"/>
  <c r="EL47" i="13"/>
  <c r="EL48" i="13"/>
  <c r="EI47" i="13"/>
  <c r="EJ47" i="13" s="1"/>
  <c r="EL46" i="13"/>
  <c r="EI51" i="13"/>
  <c r="EJ51" i="13" s="1"/>
  <c r="EI46" i="13"/>
  <c r="EJ46" i="13" s="1"/>
  <c r="EI48" i="13"/>
  <c r="EJ48" i="13" s="1"/>
  <c r="FI49" i="13"/>
  <c r="FL49" i="13" s="1"/>
  <c r="AG49" i="39"/>
  <c r="FI50" i="13"/>
  <c r="FL50" i="13" s="1"/>
  <c r="AG50" i="39"/>
  <c r="EI49" i="13"/>
  <c r="EL43" i="13"/>
  <c r="EJ39" i="13"/>
  <c r="J39" i="39" s="1"/>
  <c r="I39" i="39"/>
  <c r="I48" i="39"/>
  <c r="EL51" i="13"/>
  <c r="EI38" i="13"/>
  <c r="H38" i="39"/>
  <c r="EO38" i="13"/>
  <c r="FI42" i="13"/>
  <c r="FL42" i="13" s="1"/>
  <c r="AG42" i="39"/>
  <c r="EL42" i="13"/>
  <c r="EI43" i="13"/>
  <c r="FI36" i="13"/>
  <c r="FL36" i="13" s="1"/>
  <c r="AG36" i="39"/>
  <c r="FI43" i="13"/>
  <c r="FL43" i="13" s="1"/>
  <c r="AG43" i="39"/>
  <c r="FI46" i="13"/>
  <c r="AG46" i="39"/>
  <c r="FI34" i="13"/>
  <c r="FL34" i="13" s="1"/>
  <c r="AG34" i="39"/>
  <c r="FI35" i="13"/>
  <c r="FL35" i="13" s="1"/>
  <c r="AG35" i="39"/>
  <c r="EI31" i="13"/>
  <c r="H31" i="39"/>
  <c r="FI47" i="13"/>
  <c r="AG47" i="39"/>
  <c r="FI38" i="13"/>
  <c r="AG38" i="39"/>
  <c r="FI30" i="13"/>
  <c r="FL30" i="13" s="1"/>
  <c r="AG30" i="39"/>
  <c r="FI37" i="13"/>
  <c r="AG37" i="39"/>
  <c r="FI51" i="13"/>
  <c r="AG51" i="39"/>
  <c r="FI40" i="13"/>
  <c r="AG40" i="39"/>
  <c r="EJ30" i="13"/>
  <c r="J30" i="39" s="1"/>
  <c r="I30" i="39"/>
  <c r="EI42" i="13"/>
  <c r="FI45" i="13"/>
  <c r="FL45" i="13" s="1"/>
  <c r="AG45" i="39"/>
  <c r="FI39" i="13"/>
  <c r="FL39" i="13" s="1"/>
  <c r="AG39" i="39"/>
  <c r="FI33" i="13"/>
  <c r="FL33" i="13" s="1"/>
  <c r="AG33" i="39"/>
  <c r="FI44" i="13"/>
  <c r="FL44" i="13" s="1"/>
  <c r="AG44" i="39"/>
  <c r="FI31" i="13"/>
  <c r="FL31" i="13" s="1"/>
  <c r="AG31" i="39"/>
  <c r="EL30" i="13"/>
  <c r="H30" i="39"/>
  <c r="FI48" i="13"/>
  <c r="FL48" i="13" s="1"/>
  <c r="AG48" i="39"/>
  <c r="FI41" i="13"/>
  <c r="FL41" i="13" s="1"/>
  <c r="AG41" i="39"/>
  <c r="FI32" i="13"/>
  <c r="AG32" i="39"/>
  <c r="EO33" i="13"/>
  <c r="N33" i="39"/>
  <c r="EO44" i="13"/>
  <c r="N44" i="39"/>
  <c r="EO31" i="13"/>
  <c r="N31" i="39"/>
  <c r="EO41" i="13"/>
  <c r="N41" i="39"/>
  <c r="EO39" i="13"/>
  <c r="N39" i="39"/>
  <c r="EO40" i="13"/>
  <c r="N40" i="39"/>
  <c r="EO43" i="13"/>
  <c r="N43" i="39"/>
  <c r="EO35" i="13"/>
  <c r="N35" i="39"/>
  <c r="EO34" i="13"/>
  <c r="N34" i="39"/>
  <c r="EO42" i="13"/>
  <c r="N42" i="39"/>
  <c r="EO30" i="13"/>
  <c r="N30" i="39"/>
  <c r="EL38" i="13"/>
  <c r="EN51" i="13"/>
  <c r="FL51" i="13"/>
  <c r="EN48" i="13"/>
  <c r="EI45" i="13"/>
  <c r="EL45" i="13"/>
  <c r="EL40" i="13"/>
  <c r="EI40" i="13"/>
  <c r="EL41" i="13"/>
  <c r="EI41" i="13"/>
  <c r="EL34" i="13"/>
  <c r="EI34" i="13"/>
  <c r="EN50" i="13"/>
  <c r="EN36" i="13"/>
  <c r="EL44" i="13"/>
  <c r="EI44" i="13"/>
  <c r="EN49" i="13"/>
  <c r="EL50" i="13"/>
  <c r="EI50" i="13"/>
  <c r="EI33" i="13"/>
  <c r="EL33" i="13"/>
  <c r="EN46" i="13"/>
  <c r="FL46" i="13"/>
  <c r="EI36" i="13"/>
  <c r="EL36" i="13"/>
  <c r="EN37" i="13"/>
  <c r="FL37" i="13"/>
  <c r="EI37" i="13"/>
  <c r="EL37" i="13"/>
  <c r="EN47" i="13"/>
  <c r="FL47" i="13"/>
  <c r="EL35" i="13"/>
  <c r="EI35" i="13"/>
  <c r="EN45" i="13"/>
  <c r="I46" i="39" l="1"/>
  <c r="I47" i="39"/>
  <c r="I51" i="39"/>
  <c r="AH34" i="39"/>
  <c r="FJ34" i="13"/>
  <c r="AI34" i="39" s="1"/>
  <c r="J51" i="39"/>
  <c r="EJ44" i="13"/>
  <c r="I44" i="39"/>
  <c r="EJ45" i="13"/>
  <c r="I45" i="39"/>
  <c r="AH32" i="39"/>
  <c r="FJ32" i="13"/>
  <c r="FL32" i="13"/>
  <c r="FJ48" i="13"/>
  <c r="AI48" i="39" s="1"/>
  <c r="AH48" i="39"/>
  <c r="AH31" i="39"/>
  <c r="FJ31" i="13"/>
  <c r="AH33" i="39"/>
  <c r="FJ33" i="13"/>
  <c r="AI33" i="39" s="1"/>
  <c r="FJ45" i="13"/>
  <c r="AI45" i="39" s="1"/>
  <c r="AH45" i="39"/>
  <c r="EJ50" i="13"/>
  <c r="I50" i="39"/>
  <c r="AH40" i="39"/>
  <c r="FJ40" i="13"/>
  <c r="AI40" i="39" s="1"/>
  <c r="FJ37" i="13"/>
  <c r="AI37" i="39" s="1"/>
  <c r="AH37" i="39"/>
  <c r="AH38" i="39"/>
  <c r="FJ38" i="13"/>
  <c r="FL38" i="13"/>
  <c r="EJ31" i="13"/>
  <c r="J31" i="39" s="1"/>
  <c r="I31" i="39"/>
  <c r="AH43" i="39"/>
  <c r="FJ43" i="13"/>
  <c r="FJ50" i="13"/>
  <c r="AI50" i="39" s="1"/>
  <c r="AH50" i="39"/>
  <c r="EJ35" i="13"/>
  <c r="I35" i="39"/>
  <c r="EJ41" i="13"/>
  <c r="I41" i="39"/>
  <c r="EJ40" i="13"/>
  <c r="I40" i="39"/>
  <c r="EJ42" i="13"/>
  <c r="J42" i="39" s="1"/>
  <c r="I42" i="39"/>
  <c r="J46" i="39"/>
  <c r="FJ51" i="13"/>
  <c r="AI51" i="39" s="1"/>
  <c r="AH51" i="39"/>
  <c r="AH30" i="39"/>
  <c r="FJ30" i="13"/>
  <c r="FJ47" i="13"/>
  <c r="AI47" i="39" s="1"/>
  <c r="AH47" i="39"/>
  <c r="AH35" i="39"/>
  <c r="FJ35" i="13"/>
  <c r="AI35" i="39" s="1"/>
  <c r="FJ46" i="13"/>
  <c r="AI46" i="39" s="1"/>
  <c r="AH46" i="39"/>
  <c r="FJ36" i="13"/>
  <c r="AI36" i="39" s="1"/>
  <c r="AH36" i="39"/>
  <c r="J47" i="39"/>
  <c r="J48" i="39"/>
  <c r="EJ49" i="13"/>
  <c r="I49" i="39"/>
  <c r="FJ49" i="13"/>
  <c r="AI49" i="39" s="1"/>
  <c r="AH49" i="39"/>
  <c r="EJ37" i="13"/>
  <c r="I37" i="39"/>
  <c r="EJ36" i="13"/>
  <c r="I36" i="39"/>
  <c r="EJ33" i="13"/>
  <c r="I33" i="39"/>
  <c r="EJ34" i="13"/>
  <c r="I34" i="39"/>
  <c r="FL40" i="13"/>
  <c r="AH41" i="39"/>
  <c r="FJ41" i="13"/>
  <c r="AI41" i="39" s="1"/>
  <c r="AH44" i="39"/>
  <c r="FJ44" i="13"/>
  <c r="AI44" i="39" s="1"/>
  <c r="AH39" i="39"/>
  <c r="FJ39" i="13"/>
  <c r="EJ43" i="13"/>
  <c r="J43" i="39" s="1"/>
  <c r="I43" i="39"/>
  <c r="EJ38" i="13"/>
  <c r="J38" i="39" s="1"/>
  <c r="I38" i="39"/>
  <c r="AH42" i="39"/>
  <c r="FJ42" i="13"/>
  <c r="EO47" i="13"/>
  <c r="N47" i="39"/>
  <c r="EO37" i="13"/>
  <c r="N37" i="39"/>
  <c r="EO46" i="13"/>
  <c r="N46" i="39"/>
  <c r="EO45" i="13"/>
  <c r="N45" i="39"/>
  <c r="EO50" i="13"/>
  <c r="N50" i="39"/>
  <c r="EO51" i="13"/>
  <c r="N51" i="39"/>
  <c r="EO36" i="13"/>
  <c r="N36" i="39"/>
  <c r="EO49" i="13"/>
  <c r="N49" i="39"/>
  <c r="EO48" i="13"/>
  <c r="N48" i="39"/>
  <c r="B5" i="14"/>
  <c r="FM48" i="13" l="1"/>
  <c r="FM33" i="13"/>
  <c r="J33" i="39"/>
  <c r="FM49" i="13"/>
  <c r="J49" i="39"/>
  <c r="FM41" i="13"/>
  <c r="J41" i="39"/>
  <c r="AI30" i="39"/>
  <c r="FM30" i="13"/>
  <c r="AI43" i="39"/>
  <c r="FM43" i="13"/>
  <c r="FM50" i="13"/>
  <c r="J50" i="39"/>
  <c r="FM37" i="13"/>
  <c r="J37" i="39"/>
  <c r="FM44" i="13"/>
  <c r="J44" i="39"/>
  <c r="AI39" i="39"/>
  <c r="FM39" i="13"/>
  <c r="FM34" i="13"/>
  <c r="J34" i="39"/>
  <c r="FM36" i="13"/>
  <c r="J36" i="39"/>
  <c r="FM46" i="13"/>
  <c r="FM40" i="13"/>
  <c r="J40" i="39"/>
  <c r="FM35" i="13"/>
  <c r="J35" i="39"/>
  <c r="AI38" i="39"/>
  <c r="FM38" i="13"/>
  <c r="FM31" i="13"/>
  <c r="AI31" i="39"/>
  <c r="FM45" i="13"/>
  <c r="J45" i="39"/>
  <c r="FM51" i="13"/>
  <c r="AI42" i="39"/>
  <c r="FM42" i="13"/>
  <c r="FM47" i="13"/>
  <c r="FM32" i="13"/>
  <c r="AI32" i="39"/>
  <c r="Q7" i="11"/>
  <c r="G6" i="39" l="1"/>
  <c r="L51" i="25"/>
  <c r="L52" i="25"/>
  <c r="L51" i="24"/>
  <c r="L52" i="24"/>
  <c r="L51" i="19"/>
  <c r="FH52" i="13" l="1"/>
  <c r="AA6" i="13" l="1"/>
  <c r="AU6" i="13"/>
  <c r="AR6" i="13"/>
  <c r="D3" i="38"/>
  <c r="G4" i="38"/>
  <c r="H6" i="38"/>
  <c r="K7" i="38"/>
  <c r="G8" i="38"/>
  <c r="H9" i="38"/>
  <c r="W9" i="38"/>
  <c r="E11" i="38"/>
  <c r="J13" i="38"/>
  <c r="P72" i="38"/>
  <c r="V51" i="38"/>
  <c r="Q51" i="38"/>
  <c r="I51" i="38"/>
  <c r="W6" i="36"/>
  <c r="E6" i="36"/>
  <c r="C38" i="36"/>
  <c r="U38" i="36"/>
  <c r="AB38" i="36"/>
  <c r="J38" i="36"/>
  <c r="AA41" i="36"/>
  <c r="I41" i="36"/>
  <c r="D3" i="36"/>
  <c r="V3" i="36" s="1"/>
  <c r="J12" i="36"/>
  <c r="AB8" i="36"/>
  <c r="G4" i="36"/>
  <c r="Y4" i="36" s="1"/>
  <c r="AR11" i="13" l="1"/>
  <c r="AR14" i="13"/>
  <c r="AR10" i="13"/>
  <c r="AR8" i="13"/>
  <c r="AR12" i="13"/>
  <c r="AR9" i="13"/>
  <c r="AR7" i="13"/>
  <c r="AR13" i="13"/>
  <c r="AV7" i="13"/>
  <c r="AB12" i="36"/>
  <c r="K3" i="34" l="1"/>
  <c r="H3" i="34"/>
  <c r="B3" i="34"/>
  <c r="B3" i="35"/>
  <c r="K3" i="35"/>
  <c r="H3" i="35"/>
  <c r="E50" i="29"/>
  <c r="J17" i="29" l="1"/>
  <c r="E11" i="29"/>
  <c r="G4" i="29"/>
  <c r="D4" i="31" l="1"/>
  <c r="B3" i="31"/>
  <c r="C8" i="13"/>
  <c r="D8" i="13"/>
  <c r="E8" i="13"/>
  <c r="F8" i="13"/>
  <c r="G8" i="13"/>
  <c r="H8" i="13"/>
  <c r="I8" i="13"/>
  <c r="J8" i="13"/>
  <c r="K8" i="13"/>
  <c r="C9" i="13"/>
  <c r="D9" i="13"/>
  <c r="E9" i="13"/>
  <c r="F9" i="13"/>
  <c r="G9" i="13"/>
  <c r="H9" i="13"/>
  <c r="I9" i="13"/>
  <c r="J9" i="13"/>
  <c r="K9" i="13"/>
  <c r="C10" i="13"/>
  <c r="D10" i="13"/>
  <c r="E10" i="13"/>
  <c r="F10" i="13"/>
  <c r="G10" i="13"/>
  <c r="H10" i="13"/>
  <c r="I10" i="13"/>
  <c r="J10" i="13"/>
  <c r="K10" i="13"/>
  <c r="C11" i="13"/>
  <c r="D11" i="13"/>
  <c r="E11" i="13"/>
  <c r="F11" i="13"/>
  <c r="G11" i="13"/>
  <c r="H11" i="13"/>
  <c r="I11" i="13"/>
  <c r="J11" i="13"/>
  <c r="K11" i="13"/>
  <c r="C12" i="13"/>
  <c r="D12" i="13"/>
  <c r="E12" i="13"/>
  <c r="F12" i="13"/>
  <c r="G12" i="13"/>
  <c r="H12" i="13"/>
  <c r="I12" i="13"/>
  <c r="J12" i="13"/>
  <c r="K12" i="13"/>
  <c r="C13" i="13"/>
  <c r="D13" i="13"/>
  <c r="E13" i="13"/>
  <c r="F13" i="13"/>
  <c r="G13" i="13"/>
  <c r="H13" i="13"/>
  <c r="I13" i="13"/>
  <c r="J13" i="13"/>
  <c r="K13" i="13"/>
  <c r="C14" i="13"/>
  <c r="D14" i="13"/>
  <c r="E14" i="13"/>
  <c r="F14" i="13"/>
  <c r="G14" i="13"/>
  <c r="H14" i="13"/>
  <c r="I14" i="13"/>
  <c r="J14" i="13"/>
  <c r="K14" i="13"/>
  <c r="C15" i="13"/>
  <c r="AS15" i="13" s="1"/>
  <c r="D15" i="13"/>
  <c r="E15" i="13"/>
  <c r="F15" i="13"/>
  <c r="G15" i="13"/>
  <c r="H15" i="13"/>
  <c r="I15" i="13"/>
  <c r="J15" i="13"/>
  <c r="K15" i="13"/>
  <c r="C16" i="13"/>
  <c r="AS16" i="13" s="1"/>
  <c r="D16" i="13"/>
  <c r="E16" i="13"/>
  <c r="F16" i="13"/>
  <c r="G16" i="13"/>
  <c r="H16" i="13"/>
  <c r="I16" i="13"/>
  <c r="J16" i="13"/>
  <c r="K16" i="13"/>
  <c r="C17" i="13"/>
  <c r="AS17" i="13" s="1"/>
  <c r="D17" i="13"/>
  <c r="E17" i="13"/>
  <c r="F17" i="13"/>
  <c r="G17" i="13"/>
  <c r="H17" i="13"/>
  <c r="I17" i="13"/>
  <c r="J17" i="13"/>
  <c r="K17" i="13"/>
  <c r="C18" i="13"/>
  <c r="AS18" i="13" s="1"/>
  <c r="D18" i="13"/>
  <c r="E18" i="13"/>
  <c r="F18" i="13"/>
  <c r="G18" i="13"/>
  <c r="H18" i="13"/>
  <c r="I18" i="13"/>
  <c r="J18" i="13"/>
  <c r="K18" i="13"/>
  <c r="C19" i="13"/>
  <c r="AS19" i="13" s="1"/>
  <c r="D19" i="13"/>
  <c r="E19" i="13"/>
  <c r="F19" i="13"/>
  <c r="G19" i="13"/>
  <c r="H19" i="13"/>
  <c r="I19" i="13"/>
  <c r="J19" i="13"/>
  <c r="K19" i="13"/>
  <c r="C20" i="13"/>
  <c r="AS20" i="13" s="1"/>
  <c r="D20" i="13"/>
  <c r="E20" i="13"/>
  <c r="F20" i="13"/>
  <c r="G20" i="13"/>
  <c r="H20" i="13"/>
  <c r="I20" i="13"/>
  <c r="J20" i="13"/>
  <c r="K20" i="13"/>
  <c r="C21" i="13"/>
  <c r="AS21" i="13" s="1"/>
  <c r="D21" i="13"/>
  <c r="E21" i="13"/>
  <c r="F21" i="13"/>
  <c r="G21" i="13"/>
  <c r="H21" i="13"/>
  <c r="I21" i="13"/>
  <c r="J21" i="13"/>
  <c r="K21" i="13"/>
  <c r="C22" i="13"/>
  <c r="AS22" i="13" s="1"/>
  <c r="D22" i="13"/>
  <c r="E22" i="13"/>
  <c r="F22" i="13"/>
  <c r="G22" i="13"/>
  <c r="H22" i="13"/>
  <c r="I22" i="13"/>
  <c r="J22" i="13"/>
  <c r="K22" i="13"/>
  <c r="C23" i="13"/>
  <c r="AS23" i="13" s="1"/>
  <c r="D23" i="13"/>
  <c r="E23" i="13"/>
  <c r="F23" i="13"/>
  <c r="G23" i="13"/>
  <c r="H23" i="13"/>
  <c r="I23" i="13"/>
  <c r="J23" i="13"/>
  <c r="K23" i="13"/>
  <c r="C24" i="13"/>
  <c r="AS24" i="13" s="1"/>
  <c r="D24" i="13"/>
  <c r="E24" i="13"/>
  <c r="F24" i="13"/>
  <c r="G24" i="13"/>
  <c r="H24" i="13"/>
  <c r="I24" i="13"/>
  <c r="J24" i="13"/>
  <c r="K24" i="13"/>
  <c r="C25" i="13"/>
  <c r="AS25" i="13" s="1"/>
  <c r="D25" i="13"/>
  <c r="E25" i="13"/>
  <c r="F25" i="13"/>
  <c r="G25" i="13"/>
  <c r="H25" i="13"/>
  <c r="I25" i="13"/>
  <c r="J25" i="13"/>
  <c r="K25" i="13"/>
  <c r="C26" i="13"/>
  <c r="AS26" i="13" s="1"/>
  <c r="D26" i="13"/>
  <c r="E26" i="13"/>
  <c r="F26" i="13"/>
  <c r="G26" i="13"/>
  <c r="H26" i="13"/>
  <c r="I26" i="13"/>
  <c r="J26" i="13"/>
  <c r="K26" i="13"/>
  <c r="C27" i="13"/>
  <c r="AS27" i="13" s="1"/>
  <c r="D27" i="13"/>
  <c r="E27" i="13"/>
  <c r="F27" i="13"/>
  <c r="G27" i="13"/>
  <c r="H27" i="13"/>
  <c r="I27" i="13"/>
  <c r="J27" i="13"/>
  <c r="K27" i="13"/>
  <c r="C28" i="13"/>
  <c r="AS28" i="13" s="1"/>
  <c r="D28" i="13"/>
  <c r="E28" i="13"/>
  <c r="F28" i="13"/>
  <c r="G28" i="13"/>
  <c r="H28" i="13"/>
  <c r="I28" i="13"/>
  <c r="J28" i="13"/>
  <c r="K28" i="13"/>
  <c r="C29" i="13"/>
  <c r="AS29" i="13" s="1"/>
  <c r="D29" i="13"/>
  <c r="E29" i="13"/>
  <c r="F29" i="13"/>
  <c r="G29" i="13"/>
  <c r="H29" i="13"/>
  <c r="I29" i="13"/>
  <c r="J29" i="13"/>
  <c r="K29" i="13"/>
  <c r="K7" i="13"/>
  <c r="J7" i="13"/>
  <c r="I7" i="13"/>
  <c r="H7" i="13"/>
  <c r="E7" i="13"/>
  <c r="F7" i="13"/>
  <c r="G7" i="13"/>
  <c r="D7" i="13"/>
  <c r="C7" i="13"/>
  <c r="FJ69" i="13"/>
  <c r="FJ67" i="13"/>
  <c r="FI69" i="13"/>
  <c r="FI67" i="13"/>
  <c r="FH69" i="13"/>
  <c r="FH67" i="13"/>
  <c r="FH64" i="13"/>
  <c r="FH62" i="13"/>
  <c r="FH60" i="13"/>
  <c r="FH58" i="13"/>
  <c r="FH56" i="13"/>
  <c r="FH54" i="13"/>
  <c r="CE29" i="13" l="1"/>
  <c r="DQ29" i="13"/>
  <c r="Y29" i="13"/>
  <c r="AB29" i="13"/>
  <c r="AC29" i="13" s="1"/>
  <c r="CX29" i="13"/>
  <c r="BL29" i="13"/>
  <c r="Y21" i="13"/>
  <c r="AB21" i="13"/>
  <c r="AC21" i="13" s="1"/>
  <c r="DQ21" i="13"/>
  <c r="CX21" i="13"/>
  <c r="BL21" i="13"/>
  <c r="CE21" i="13"/>
  <c r="AB13" i="13"/>
  <c r="AC13" i="13" s="1"/>
  <c r="CX13" i="13"/>
  <c r="AB7" i="13"/>
  <c r="AC7" i="13" s="1"/>
  <c r="CX7" i="13"/>
  <c r="Y28" i="13"/>
  <c r="AB28" i="13"/>
  <c r="AC28" i="13" s="1"/>
  <c r="BL28" i="13"/>
  <c r="CX28" i="13"/>
  <c r="CE28" i="13"/>
  <c r="DQ28" i="13"/>
  <c r="CX20" i="13"/>
  <c r="CE20" i="13"/>
  <c r="Y20" i="13"/>
  <c r="BL20" i="13"/>
  <c r="DQ20" i="13"/>
  <c r="AB20" i="13"/>
  <c r="AC20" i="13" s="1"/>
  <c r="AB12" i="13"/>
  <c r="AC12" i="13" s="1"/>
  <c r="CX12" i="13"/>
  <c r="CX26" i="13"/>
  <c r="DQ26" i="13"/>
  <c r="BL26" i="13"/>
  <c r="Y26" i="13"/>
  <c r="CE26" i="13"/>
  <c r="AB26" i="13"/>
  <c r="AC26" i="13" s="1"/>
  <c r="Y18" i="13"/>
  <c r="AB18" i="13"/>
  <c r="AC18" i="13" s="1"/>
  <c r="CE18" i="13"/>
  <c r="BL18" i="13"/>
  <c r="DQ18" i="13"/>
  <c r="CX18" i="13"/>
  <c r="DQ25" i="13"/>
  <c r="BL25" i="13"/>
  <c r="CE25" i="13"/>
  <c r="CX25" i="13"/>
  <c r="Y25" i="13"/>
  <c r="AB25" i="13"/>
  <c r="AC25" i="13" s="1"/>
  <c r="AB17" i="13"/>
  <c r="AC17" i="13" s="1"/>
  <c r="Y17" i="13"/>
  <c r="BL17" i="13"/>
  <c r="CE17" i="13"/>
  <c r="DQ17" i="13"/>
  <c r="CX17" i="13"/>
  <c r="CX9" i="13"/>
  <c r="AB9" i="13"/>
  <c r="AC9" i="13" s="1"/>
  <c r="AB22" i="13"/>
  <c r="AC22" i="13" s="1"/>
  <c r="DQ22" i="13"/>
  <c r="CE22" i="13"/>
  <c r="Y22" i="13"/>
  <c r="BL22" i="13"/>
  <c r="CX22" i="13"/>
  <c r="Y27" i="13"/>
  <c r="BL27" i="13"/>
  <c r="AB27" i="13"/>
  <c r="AC27" i="13" s="1"/>
  <c r="CE27" i="13"/>
  <c r="DQ27" i="13"/>
  <c r="CX27" i="13"/>
  <c r="AB10" i="13"/>
  <c r="AC10" i="13" s="1"/>
  <c r="CX10" i="13"/>
  <c r="CX24" i="13"/>
  <c r="CE24" i="13"/>
  <c r="BL24" i="13"/>
  <c r="DQ24" i="13"/>
  <c r="Y24" i="13"/>
  <c r="AB24" i="13"/>
  <c r="AC24" i="13" s="1"/>
  <c r="Y16" i="13"/>
  <c r="AB16" i="13"/>
  <c r="AC16" i="13" s="1"/>
  <c r="DQ16" i="13"/>
  <c r="BL16" i="13"/>
  <c r="CE16" i="13"/>
  <c r="CX16" i="13"/>
  <c r="AB8" i="13"/>
  <c r="AC8" i="13" s="1"/>
  <c r="CX8" i="13"/>
  <c r="AB14" i="13"/>
  <c r="AC14" i="13" s="1"/>
  <c r="CX14" i="13"/>
  <c r="AB19" i="13"/>
  <c r="AC19" i="13" s="1"/>
  <c r="Y19" i="13"/>
  <c r="CX19" i="13"/>
  <c r="BL19" i="13"/>
  <c r="DQ19" i="13"/>
  <c r="CE19" i="13"/>
  <c r="AB11" i="13"/>
  <c r="AC11" i="13" s="1"/>
  <c r="CX11" i="13"/>
  <c r="DQ23" i="13"/>
  <c r="BL23" i="13"/>
  <c r="Y23" i="13"/>
  <c r="CE23" i="13"/>
  <c r="AB23" i="13"/>
  <c r="AC23" i="13" s="1"/>
  <c r="CX23" i="13"/>
  <c r="AB15" i="13"/>
  <c r="AC15" i="13" s="1"/>
  <c r="CX15" i="13"/>
  <c r="Y15" i="13"/>
  <c r="BL15" i="13"/>
  <c r="DQ15" i="13"/>
  <c r="CE15" i="13"/>
  <c r="L20" i="33"/>
  <c r="G18" i="33"/>
  <c r="G20" i="33"/>
  <c r="L19" i="33"/>
  <c r="G19" i="33"/>
  <c r="L18" i="33"/>
  <c r="L9" i="33"/>
  <c r="L11" i="33"/>
  <c r="L13" i="33"/>
  <c r="L15" i="33"/>
  <c r="G9" i="33"/>
  <c r="G11" i="33"/>
  <c r="G13" i="33"/>
  <c r="L8" i="33"/>
  <c r="G8" i="33"/>
  <c r="L10" i="33"/>
  <c r="L12" i="33"/>
  <c r="L14" i="33"/>
  <c r="G10" i="33"/>
  <c r="G12" i="33"/>
  <c r="G14" i="33"/>
  <c r="G15" i="33"/>
  <c r="S26" i="38"/>
  <c r="Y13" i="29"/>
  <c r="J16" i="29"/>
  <c r="Y13" i="38"/>
  <c r="J16" i="38"/>
  <c r="J14" i="29"/>
  <c r="J15" i="29"/>
  <c r="J10" i="36"/>
  <c r="J11" i="36"/>
  <c r="J9" i="36"/>
  <c r="AB10" i="36"/>
  <c r="AB11" i="36"/>
  <c r="AB9" i="36"/>
  <c r="N53" i="35"/>
  <c r="AE94" i="35"/>
  <c r="AE93" i="35"/>
  <c r="D93" i="35"/>
  <c r="AE92" i="35"/>
  <c r="D92" i="35"/>
  <c r="AE91" i="35"/>
  <c r="D91" i="35"/>
  <c r="AE90" i="35"/>
  <c r="D90" i="35"/>
  <c r="AE89" i="35"/>
  <c r="D89" i="35"/>
  <c r="AE88" i="35"/>
  <c r="D88" i="35"/>
  <c r="AE87" i="35"/>
  <c r="D87" i="35"/>
  <c r="AE86" i="35"/>
  <c r="D86" i="35"/>
  <c r="AE85" i="35"/>
  <c r="D85" i="35"/>
  <c r="AE84" i="35"/>
  <c r="D84" i="35"/>
  <c r="AE83" i="35"/>
  <c r="D83" i="35"/>
  <c r="AE82" i="35"/>
  <c r="D82" i="35"/>
  <c r="AE81" i="35"/>
  <c r="D81" i="35"/>
  <c r="AE80" i="35"/>
  <c r="D80" i="35"/>
  <c r="AE79" i="35"/>
  <c r="D79" i="35"/>
  <c r="AE78" i="35"/>
  <c r="D78" i="35"/>
  <c r="AE77" i="35"/>
  <c r="D77" i="35"/>
  <c r="AE76" i="35"/>
  <c r="D76" i="35"/>
  <c r="AE75" i="35"/>
  <c r="D75" i="35"/>
  <c r="AE74" i="35"/>
  <c r="D74" i="35"/>
  <c r="AE73" i="35"/>
  <c r="D73" i="35"/>
  <c r="AE72" i="35"/>
  <c r="D72" i="35"/>
  <c r="AE71" i="35"/>
  <c r="D71" i="35"/>
  <c r="AE70" i="35"/>
  <c r="D70" i="35"/>
  <c r="AE69" i="35"/>
  <c r="D69" i="35"/>
  <c r="AE68" i="35"/>
  <c r="D68" i="35"/>
  <c r="AE67" i="35"/>
  <c r="D67" i="35"/>
  <c r="AE66" i="35"/>
  <c r="D66" i="35"/>
  <c r="AE65" i="35"/>
  <c r="D65" i="35"/>
  <c r="AE64" i="35"/>
  <c r="D64" i="35"/>
  <c r="AE63" i="35"/>
  <c r="D63" i="35"/>
  <c r="AE62" i="35"/>
  <c r="D62" i="35"/>
  <c r="AE61" i="35"/>
  <c r="D61" i="35"/>
  <c r="AE60" i="35"/>
  <c r="D60" i="35"/>
  <c r="AE54" i="35"/>
  <c r="AD54" i="35"/>
  <c r="AC54" i="35"/>
  <c r="AB54" i="35"/>
  <c r="AA54" i="35"/>
  <c r="Z54" i="35"/>
  <c r="M54" i="35"/>
  <c r="L54" i="35"/>
  <c r="K54" i="35"/>
  <c r="J54" i="35"/>
  <c r="I54" i="35"/>
  <c r="H54" i="35"/>
  <c r="G54" i="35"/>
  <c r="F54" i="35"/>
  <c r="E54" i="35"/>
  <c r="D54" i="35"/>
  <c r="C54" i="35"/>
  <c r="B54" i="35"/>
  <c r="M51" i="35"/>
  <c r="L51" i="35"/>
  <c r="K51" i="35"/>
  <c r="J51" i="35"/>
  <c r="I51" i="35"/>
  <c r="H51" i="35"/>
  <c r="G51" i="35"/>
  <c r="F51" i="35"/>
  <c r="V51" i="35" s="1"/>
  <c r="E51" i="35"/>
  <c r="M50" i="35"/>
  <c r="L50" i="35"/>
  <c r="K50" i="35"/>
  <c r="J50" i="35"/>
  <c r="I50" i="35"/>
  <c r="H50" i="35"/>
  <c r="G50" i="35"/>
  <c r="F50" i="35"/>
  <c r="Z50" i="35" s="1"/>
  <c r="E50" i="35"/>
  <c r="M49" i="35"/>
  <c r="L49" i="35"/>
  <c r="K49" i="35"/>
  <c r="J49" i="35"/>
  <c r="I49" i="35"/>
  <c r="H49" i="35"/>
  <c r="G49" i="35"/>
  <c r="F49" i="35"/>
  <c r="AC49" i="35" s="1"/>
  <c r="D49" i="35" s="1"/>
  <c r="E49" i="35"/>
  <c r="M48" i="35"/>
  <c r="L48" i="35"/>
  <c r="K48" i="35"/>
  <c r="J48" i="35"/>
  <c r="I48" i="35"/>
  <c r="H48" i="35"/>
  <c r="G48" i="35"/>
  <c r="F48" i="35"/>
  <c r="Z48" i="35" s="1"/>
  <c r="E48" i="35"/>
  <c r="M47" i="35"/>
  <c r="L47" i="35"/>
  <c r="K47" i="35"/>
  <c r="J47" i="35"/>
  <c r="I47" i="35"/>
  <c r="H47" i="35"/>
  <c r="G47" i="35"/>
  <c r="F47" i="35"/>
  <c r="Z47" i="35" s="1"/>
  <c r="E47" i="35"/>
  <c r="M46" i="35"/>
  <c r="L46" i="35"/>
  <c r="K46" i="35"/>
  <c r="J46" i="35"/>
  <c r="I46" i="35"/>
  <c r="H46" i="35"/>
  <c r="G46" i="35"/>
  <c r="F46" i="35"/>
  <c r="E46" i="35"/>
  <c r="M45" i="35"/>
  <c r="L45" i="35"/>
  <c r="K45" i="35"/>
  <c r="J45" i="35"/>
  <c r="I45" i="35"/>
  <c r="H45" i="35"/>
  <c r="G45" i="35"/>
  <c r="F45" i="35"/>
  <c r="E45" i="35"/>
  <c r="M44" i="35"/>
  <c r="L44" i="35"/>
  <c r="K44" i="35"/>
  <c r="J44" i="35"/>
  <c r="I44" i="35"/>
  <c r="H44" i="35"/>
  <c r="G44" i="35"/>
  <c r="F44" i="35"/>
  <c r="E44" i="35"/>
  <c r="M43" i="35"/>
  <c r="L43" i="35"/>
  <c r="K43" i="35"/>
  <c r="J43" i="35"/>
  <c r="I43" i="35"/>
  <c r="H43" i="35"/>
  <c r="G43" i="35"/>
  <c r="F43" i="35"/>
  <c r="E43" i="35"/>
  <c r="M42" i="35"/>
  <c r="L42" i="35"/>
  <c r="K42" i="35"/>
  <c r="J42" i="35"/>
  <c r="I42" i="35"/>
  <c r="H42" i="35"/>
  <c r="G42" i="35"/>
  <c r="F42" i="35"/>
  <c r="E42" i="35"/>
  <c r="M41" i="35"/>
  <c r="L41" i="35"/>
  <c r="K41" i="35"/>
  <c r="J41" i="35"/>
  <c r="I41" i="35"/>
  <c r="H41" i="35"/>
  <c r="G41" i="35"/>
  <c r="F41" i="35"/>
  <c r="E41" i="35"/>
  <c r="M40" i="35"/>
  <c r="L40" i="35"/>
  <c r="K40" i="35"/>
  <c r="J40" i="35"/>
  <c r="I40" i="35"/>
  <c r="H40" i="35"/>
  <c r="G40" i="35"/>
  <c r="F40" i="35"/>
  <c r="E40" i="35"/>
  <c r="M39" i="35"/>
  <c r="L39" i="35"/>
  <c r="K39" i="35"/>
  <c r="J39" i="35"/>
  <c r="I39" i="35"/>
  <c r="H39" i="35"/>
  <c r="G39" i="35"/>
  <c r="F39" i="35"/>
  <c r="E39" i="35"/>
  <c r="M38" i="35"/>
  <c r="L38" i="35"/>
  <c r="K38" i="35"/>
  <c r="J38" i="35"/>
  <c r="I38" i="35"/>
  <c r="H38" i="35"/>
  <c r="G38" i="35"/>
  <c r="F38" i="35"/>
  <c r="E38" i="35"/>
  <c r="M37" i="35"/>
  <c r="L37" i="35"/>
  <c r="K37" i="35"/>
  <c r="J37" i="35"/>
  <c r="I37" i="35"/>
  <c r="H37" i="35"/>
  <c r="G37" i="35"/>
  <c r="F37" i="35"/>
  <c r="E37" i="35"/>
  <c r="M36" i="35"/>
  <c r="L36" i="35"/>
  <c r="K36" i="35"/>
  <c r="J36" i="35"/>
  <c r="I36" i="35"/>
  <c r="H36" i="35"/>
  <c r="G36" i="35"/>
  <c r="F36" i="35"/>
  <c r="E36" i="35"/>
  <c r="M35" i="35"/>
  <c r="L35" i="35"/>
  <c r="K35" i="35"/>
  <c r="J35" i="35"/>
  <c r="I35" i="35"/>
  <c r="H35" i="35"/>
  <c r="G35" i="35"/>
  <c r="F35" i="35"/>
  <c r="E35" i="35"/>
  <c r="M34" i="35"/>
  <c r="L34" i="35"/>
  <c r="K34" i="35"/>
  <c r="J34" i="35"/>
  <c r="I34" i="35"/>
  <c r="H34" i="35"/>
  <c r="G34" i="35"/>
  <c r="F34" i="35"/>
  <c r="E34" i="35"/>
  <c r="M33" i="35"/>
  <c r="L33" i="35"/>
  <c r="K33" i="35"/>
  <c r="J33" i="35"/>
  <c r="I33" i="35"/>
  <c r="H33" i="35"/>
  <c r="G33" i="35"/>
  <c r="F33" i="35"/>
  <c r="E33" i="35"/>
  <c r="M32" i="35"/>
  <c r="L32" i="35"/>
  <c r="K32" i="35"/>
  <c r="J32" i="35"/>
  <c r="I32" i="35"/>
  <c r="H32" i="35"/>
  <c r="G32" i="35"/>
  <c r="F32" i="35"/>
  <c r="E32" i="35"/>
  <c r="M31" i="35"/>
  <c r="L31" i="35"/>
  <c r="K31" i="35"/>
  <c r="J31" i="35"/>
  <c r="I31" i="35"/>
  <c r="H31" i="35"/>
  <c r="G31" i="35"/>
  <c r="F31" i="35"/>
  <c r="E31" i="35"/>
  <c r="M30" i="35"/>
  <c r="L30" i="35"/>
  <c r="K30" i="35"/>
  <c r="J30" i="35"/>
  <c r="I30" i="35"/>
  <c r="H30" i="35"/>
  <c r="G30" i="35"/>
  <c r="F30" i="35"/>
  <c r="E30" i="35"/>
  <c r="M29" i="35"/>
  <c r="L29" i="35"/>
  <c r="K29" i="35"/>
  <c r="J29" i="35"/>
  <c r="I29" i="35"/>
  <c r="H29" i="35"/>
  <c r="G29" i="35"/>
  <c r="F29" i="35"/>
  <c r="E29" i="35"/>
  <c r="M28" i="35"/>
  <c r="L28" i="35"/>
  <c r="K28" i="35"/>
  <c r="J28" i="35"/>
  <c r="I28" i="35"/>
  <c r="H28" i="35"/>
  <c r="G28" i="35"/>
  <c r="F28" i="35"/>
  <c r="E28" i="35"/>
  <c r="M27" i="35"/>
  <c r="L27" i="35"/>
  <c r="K27" i="35"/>
  <c r="J27" i="35"/>
  <c r="I27" i="35"/>
  <c r="H27" i="35"/>
  <c r="G27" i="35"/>
  <c r="F27" i="35"/>
  <c r="E27" i="35"/>
  <c r="M26" i="35"/>
  <c r="L26" i="35"/>
  <c r="K26" i="35"/>
  <c r="J26" i="35"/>
  <c r="I26" i="35"/>
  <c r="H26" i="35"/>
  <c r="G26" i="35"/>
  <c r="F26" i="35"/>
  <c r="E26" i="35"/>
  <c r="M25" i="35"/>
  <c r="L25" i="35"/>
  <c r="K25" i="35"/>
  <c r="J25" i="35"/>
  <c r="I25" i="35"/>
  <c r="H25" i="35"/>
  <c r="G25" i="35"/>
  <c r="F25" i="35"/>
  <c r="E25" i="35"/>
  <c r="M24" i="35"/>
  <c r="L24" i="35"/>
  <c r="K24" i="35"/>
  <c r="J24" i="35"/>
  <c r="I24" i="35"/>
  <c r="H24" i="35"/>
  <c r="G24" i="35"/>
  <c r="F24" i="35"/>
  <c r="E24" i="35"/>
  <c r="M23" i="35"/>
  <c r="L23" i="35"/>
  <c r="K23" i="35"/>
  <c r="J23" i="35"/>
  <c r="I23" i="35"/>
  <c r="H23" i="35"/>
  <c r="G23" i="35"/>
  <c r="F23" i="35"/>
  <c r="E23" i="35"/>
  <c r="M22" i="35"/>
  <c r="L22" i="35"/>
  <c r="K22" i="35"/>
  <c r="J22" i="35"/>
  <c r="I22" i="35"/>
  <c r="H22" i="35"/>
  <c r="G22" i="35"/>
  <c r="F22" i="35"/>
  <c r="E22" i="35"/>
  <c r="M21" i="35"/>
  <c r="L21" i="35"/>
  <c r="K21" i="35"/>
  <c r="J21" i="35"/>
  <c r="I21" i="35"/>
  <c r="H21" i="35"/>
  <c r="G21" i="35"/>
  <c r="F21" i="35"/>
  <c r="E21" i="35"/>
  <c r="M20" i="35"/>
  <c r="L20" i="35"/>
  <c r="K20" i="35"/>
  <c r="J20" i="35"/>
  <c r="I20" i="35"/>
  <c r="H20" i="35"/>
  <c r="G20" i="35"/>
  <c r="F20" i="35"/>
  <c r="E20" i="35"/>
  <c r="M19" i="35"/>
  <c r="L19" i="35"/>
  <c r="K19" i="35"/>
  <c r="J19" i="35"/>
  <c r="I19" i="35"/>
  <c r="H19" i="35"/>
  <c r="G19" i="35"/>
  <c r="F19" i="35"/>
  <c r="E19" i="35"/>
  <c r="M18" i="35"/>
  <c r="L18" i="35"/>
  <c r="K18" i="35"/>
  <c r="J18" i="35"/>
  <c r="I18" i="35"/>
  <c r="H18" i="35"/>
  <c r="G18" i="35"/>
  <c r="F18" i="35"/>
  <c r="E18" i="35"/>
  <c r="M17" i="35"/>
  <c r="L17" i="35"/>
  <c r="K17" i="35"/>
  <c r="J17" i="35"/>
  <c r="I17" i="35"/>
  <c r="H17" i="35"/>
  <c r="G17" i="35"/>
  <c r="F17" i="35"/>
  <c r="E17" i="35"/>
  <c r="M16" i="35"/>
  <c r="L16" i="35"/>
  <c r="K16" i="35"/>
  <c r="J16" i="35"/>
  <c r="I16" i="35"/>
  <c r="H16" i="35"/>
  <c r="G16" i="35"/>
  <c r="F16" i="35"/>
  <c r="E16" i="35"/>
  <c r="M15" i="35"/>
  <c r="L15" i="35"/>
  <c r="K15" i="35"/>
  <c r="J15" i="35"/>
  <c r="I15" i="35"/>
  <c r="H15" i="35"/>
  <c r="G15" i="35"/>
  <c r="F15" i="35"/>
  <c r="E15" i="35"/>
  <c r="M14" i="35"/>
  <c r="L14" i="35"/>
  <c r="K14" i="35"/>
  <c r="J14" i="35"/>
  <c r="I14" i="35"/>
  <c r="H14" i="35"/>
  <c r="G14" i="35"/>
  <c r="F14" i="35"/>
  <c r="E14" i="35"/>
  <c r="M13" i="35"/>
  <c r="L13" i="35"/>
  <c r="K13" i="35"/>
  <c r="J13" i="35"/>
  <c r="I13" i="35"/>
  <c r="H13" i="35"/>
  <c r="G13" i="35"/>
  <c r="F13" i="35"/>
  <c r="E13" i="35"/>
  <c r="M12" i="35"/>
  <c r="L12" i="35"/>
  <c r="K12" i="35"/>
  <c r="J12" i="35"/>
  <c r="I12" i="35"/>
  <c r="H12" i="35"/>
  <c r="G12" i="35"/>
  <c r="F12" i="35"/>
  <c r="E12" i="35"/>
  <c r="M11" i="35"/>
  <c r="L11" i="35"/>
  <c r="K11" i="35"/>
  <c r="J11" i="35"/>
  <c r="I11" i="35"/>
  <c r="H11" i="35"/>
  <c r="G11" i="35"/>
  <c r="F11" i="35"/>
  <c r="E11" i="35"/>
  <c r="M10" i="35"/>
  <c r="L10" i="35"/>
  <c r="K10" i="35"/>
  <c r="J10" i="35"/>
  <c r="I10" i="35"/>
  <c r="H10" i="35"/>
  <c r="G10" i="35"/>
  <c r="F10" i="35"/>
  <c r="E10" i="35"/>
  <c r="M9" i="35"/>
  <c r="L9" i="35"/>
  <c r="K9" i="35"/>
  <c r="J9" i="35"/>
  <c r="I9" i="35"/>
  <c r="H9" i="35"/>
  <c r="G9" i="35"/>
  <c r="F9" i="35"/>
  <c r="E9" i="35"/>
  <c r="M8" i="35"/>
  <c r="L8" i="35"/>
  <c r="K8" i="35"/>
  <c r="J8" i="35"/>
  <c r="I8" i="35"/>
  <c r="H8" i="35"/>
  <c r="G8" i="35"/>
  <c r="F8" i="35"/>
  <c r="E8" i="35"/>
  <c r="M7" i="35"/>
  <c r="L7" i="35"/>
  <c r="K7" i="35"/>
  <c r="J7" i="35"/>
  <c r="I7" i="35"/>
  <c r="H7" i="35"/>
  <c r="G7" i="35"/>
  <c r="F7" i="35"/>
  <c r="E7" i="35"/>
  <c r="Z6" i="35"/>
  <c r="AA6" i="35" s="1"/>
  <c r="AB6" i="35" s="1"/>
  <c r="Z6" i="34"/>
  <c r="E8" i="34"/>
  <c r="F8" i="34"/>
  <c r="G8" i="34"/>
  <c r="H8" i="34"/>
  <c r="I8" i="34"/>
  <c r="J8" i="34"/>
  <c r="K8" i="34"/>
  <c r="L8" i="34"/>
  <c r="M8" i="34"/>
  <c r="E9" i="34"/>
  <c r="F9" i="34"/>
  <c r="G9" i="34"/>
  <c r="H9" i="34"/>
  <c r="I9" i="34"/>
  <c r="J9" i="34"/>
  <c r="K9" i="34"/>
  <c r="L9" i="34"/>
  <c r="M9" i="34"/>
  <c r="E10" i="34"/>
  <c r="F10" i="34"/>
  <c r="G10" i="34"/>
  <c r="H10" i="34"/>
  <c r="I10" i="34"/>
  <c r="J10" i="34"/>
  <c r="K10" i="34"/>
  <c r="L10" i="34"/>
  <c r="M10" i="34"/>
  <c r="E11" i="34"/>
  <c r="F11" i="34"/>
  <c r="G11" i="34"/>
  <c r="H11" i="34"/>
  <c r="I11" i="34"/>
  <c r="J11" i="34"/>
  <c r="K11" i="34"/>
  <c r="L11" i="34"/>
  <c r="M11" i="34"/>
  <c r="E12" i="34"/>
  <c r="F12" i="34"/>
  <c r="G12" i="34"/>
  <c r="H12" i="34"/>
  <c r="I12" i="34"/>
  <c r="J12" i="34"/>
  <c r="K12" i="34"/>
  <c r="L12" i="34"/>
  <c r="M12" i="34"/>
  <c r="E13" i="34"/>
  <c r="F13" i="34"/>
  <c r="G13" i="34"/>
  <c r="H13" i="34"/>
  <c r="I13" i="34"/>
  <c r="J13" i="34"/>
  <c r="K13" i="34"/>
  <c r="L13" i="34"/>
  <c r="M13" i="34"/>
  <c r="E14" i="34"/>
  <c r="F14" i="34"/>
  <c r="G14" i="34"/>
  <c r="H14" i="34"/>
  <c r="I14" i="34"/>
  <c r="J14" i="34"/>
  <c r="K14" i="34"/>
  <c r="L14" i="34"/>
  <c r="M14" i="34"/>
  <c r="E15" i="34"/>
  <c r="F15" i="34"/>
  <c r="G15" i="34"/>
  <c r="H15" i="34"/>
  <c r="I15" i="34"/>
  <c r="J15" i="34"/>
  <c r="K15" i="34"/>
  <c r="L15" i="34"/>
  <c r="M15" i="34"/>
  <c r="E16" i="34"/>
  <c r="F16" i="34"/>
  <c r="G16" i="34"/>
  <c r="H16" i="34"/>
  <c r="I16" i="34"/>
  <c r="J16" i="34"/>
  <c r="K16" i="34"/>
  <c r="L16" i="34"/>
  <c r="M16" i="34"/>
  <c r="E17" i="34"/>
  <c r="F17" i="34"/>
  <c r="G17" i="34"/>
  <c r="H17" i="34"/>
  <c r="I17" i="34"/>
  <c r="J17" i="34"/>
  <c r="K17" i="34"/>
  <c r="L17" i="34"/>
  <c r="M17" i="34"/>
  <c r="E18" i="34"/>
  <c r="F18" i="34"/>
  <c r="G18" i="34"/>
  <c r="H18" i="34"/>
  <c r="I18" i="34"/>
  <c r="J18" i="34"/>
  <c r="K18" i="34"/>
  <c r="L18" i="34"/>
  <c r="M18" i="34"/>
  <c r="E19" i="34"/>
  <c r="F19" i="34"/>
  <c r="G19" i="34"/>
  <c r="H19" i="34"/>
  <c r="I19" i="34"/>
  <c r="J19" i="34"/>
  <c r="K19" i="34"/>
  <c r="L19" i="34"/>
  <c r="M19" i="34"/>
  <c r="E20" i="34"/>
  <c r="F20" i="34"/>
  <c r="G20" i="34"/>
  <c r="H20" i="34"/>
  <c r="I20" i="34"/>
  <c r="J20" i="34"/>
  <c r="K20" i="34"/>
  <c r="L20" i="34"/>
  <c r="M20" i="34"/>
  <c r="E21" i="34"/>
  <c r="F21" i="34"/>
  <c r="G21" i="34"/>
  <c r="H21" i="34"/>
  <c r="I21" i="34"/>
  <c r="J21" i="34"/>
  <c r="K21" i="34"/>
  <c r="L21" i="34"/>
  <c r="M21" i="34"/>
  <c r="E22" i="34"/>
  <c r="F22" i="34"/>
  <c r="G22" i="34"/>
  <c r="H22" i="34"/>
  <c r="I22" i="34"/>
  <c r="J22" i="34"/>
  <c r="K22" i="34"/>
  <c r="L22" i="34"/>
  <c r="M22" i="34"/>
  <c r="E23" i="34"/>
  <c r="F23" i="34"/>
  <c r="G23" i="34"/>
  <c r="H23" i="34"/>
  <c r="I23" i="34"/>
  <c r="J23" i="34"/>
  <c r="K23" i="34"/>
  <c r="L23" i="34"/>
  <c r="M23" i="34"/>
  <c r="E24" i="34"/>
  <c r="F24" i="34"/>
  <c r="G24" i="34"/>
  <c r="H24" i="34"/>
  <c r="I24" i="34"/>
  <c r="J24" i="34"/>
  <c r="K24" i="34"/>
  <c r="L24" i="34"/>
  <c r="M24" i="34"/>
  <c r="E25" i="34"/>
  <c r="F25" i="34"/>
  <c r="G25" i="34"/>
  <c r="H25" i="34"/>
  <c r="I25" i="34"/>
  <c r="J25" i="34"/>
  <c r="K25" i="34"/>
  <c r="L25" i="34"/>
  <c r="M25" i="34"/>
  <c r="E26" i="34"/>
  <c r="F26" i="34"/>
  <c r="G26" i="34"/>
  <c r="H26" i="34"/>
  <c r="I26" i="34"/>
  <c r="J26" i="34"/>
  <c r="K26" i="34"/>
  <c r="L26" i="34"/>
  <c r="M26" i="34"/>
  <c r="E27" i="34"/>
  <c r="F27" i="34"/>
  <c r="G27" i="34"/>
  <c r="H27" i="34"/>
  <c r="I27" i="34"/>
  <c r="J27" i="34"/>
  <c r="K27" i="34"/>
  <c r="L27" i="34"/>
  <c r="M27" i="34"/>
  <c r="E28" i="34"/>
  <c r="F28" i="34"/>
  <c r="G28" i="34"/>
  <c r="H28" i="34"/>
  <c r="I28" i="34"/>
  <c r="J28" i="34"/>
  <c r="K28" i="34"/>
  <c r="L28" i="34"/>
  <c r="M28" i="34"/>
  <c r="E29" i="34"/>
  <c r="F29" i="34"/>
  <c r="G29" i="34"/>
  <c r="H29" i="34"/>
  <c r="I29" i="34"/>
  <c r="J29" i="34"/>
  <c r="K29" i="34"/>
  <c r="L29" i="34"/>
  <c r="M29" i="34"/>
  <c r="E30" i="34"/>
  <c r="F30" i="34"/>
  <c r="G30" i="34"/>
  <c r="H30" i="34"/>
  <c r="I30" i="34"/>
  <c r="J30" i="34"/>
  <c r="K30" i="34"/>
  <c r="L30" i="34"/>
  <c r="M30" i="34"/>
  <c r="E31" i="34"/>
  <c r="F31" i="34"/>
  <c r="G31" i="34"/>
  <c r="H31" i="34"/>
  <c r="I31" i="34"/>
  <c r="J31" i="34"/>
  <c r="K31" i="34"/>
  <c r="L31" i="34"/>
  <c r="M31" i="34"/>
  <c r="E32" i="34"/>
  <c r="F32" i="34"/>
  <c r="G32" i="34"/>
  <c r="H32" i="34"/>
  <c r="I32" i="34"/>
  <c r="J32" i="34"/>
  <c r="K32" i="34"/>
  <c r="L32" i="34"/>
  <c r="M32" i="34"/>
  <c r="E33" i="34"/>
  <c r="F33" i="34"/>
  <c r="G33" i="34"/>
  <c r="H33" i="34"/>
  <c r="I33" i="34"/>
  <c r="J33" i="34"/>
  <c r="K33" i="34"/>
  <c r="L33" i="34"/>
  <c r="M33" i="34"/>
  <c r="E34" i="34"/>
  <c r="F34" i="34"/>
  <c r="G34" i="34"/>
  <c r="H34" i="34"/>
  <c r="I34" i="34"/>
  <c r="J34" i="34"/>
  <c r="K34" i="34"/>
  <c r="L34" i="34"/>
  <c r="M34" i="34"/>
  <c r="E35" i="34"/>
  <c r="F35" i="34"/>
  <c r="G35" i="34"/>
  <c r="H35" i="34"/>
  <c r="I35" i="34"/>
  <c r="J35" i="34"/>
  <c r="K35" i="34"/>
  <c r="L35" i="34"/>
  <c r="M35" i="34"/>
  <c r="E36" i="34"/>
  <c r="F36" i="34"/>
  <c r="G36" i="34"/>
  <c r="H36" i="34"/>
  <c r="I36" i="34"/>
  <c r="J36" i="34"/>
  <c r="K36" i="34"/>
  <c r="L36" i="34"/>
  <c r="M36" i="34"/>
  <c r="E37" i="34"/>
  <c r="F37" i="34"/>
  <c r="G37" i="34"/>
  <c r="H37" i="34"/>
  <c r="I37" i="34"/>
  <c r="J37" i="34"/>
  <c r="K37" i="34"/>
  <c r="L37" i="34"/>
  <c r="M37" i="34"/>
  <c r="E38" i="34"/>
  <c r="F38" i="34"/>
  <c r="G38" i="34"/>
  <c r="H38" i="34"/>
  <c r="I38" i="34"/>
  <c r="J38" i="34"/>
  <c r="K38" i="34"/>
  <c r="L38" i="34"/>
  <c r="M38" i="34"/>
  <c r="E39" i="34"/>
  <c r="F39" i="34"/>
  <c r="G39" i="34"/>
  <c r="H39" i="34"/>
  <c r="I39" i="34"/>
  <c r="J39" i="34"/>
  <c r="K39" i="34"/>
  <c r="L39" i="34"/>
  <c r="M39" i="34"/>
  <c r="E40" i="34"/>
  <c r="F40" i="34"/>
  <c r="G40" i="34"/>
  <c r="H40" i="34"/>
  <c r="I40" i="34"/>
  <c r="J40" i="34"/>
  <c r="K40" i="34"/>
  <c r="L40" i="34"/>
  <c r="M40" i="34"/>
  <c r="E41" i="34"/>
  <c r="F41" i="34"/>
  <c r="G41" i="34"/>
  <c r="H41" i="34"/>
  <c r="I41" i="34"/>
  <c r="J41" i="34"/>
  <c r="K41" i="34"/>
  <c r="L41" i="34"/>
  <c r="M41" i="34"/>
  <c r="E42" i="34"/>
  <c r="F42" i="34"/>
  <c r="G42" i="34"/>
  <c r="H42" i="34"/>
  <c r="I42" i="34"/>
  <c r="J42" i="34"/>
  <c r="K42" i="34"/>
  <c r="L42" i="34"/>
  <c r="M42" i="34"/>
  <c r="E43" i="34"/>
  <c r="F43" i="34"/>
  <c r="G43" i="34"/>
  <c r="H43" i="34"/>
  <c r="I43" i="34"/>
  <c r="J43" i="34"/>
  <c r="K43" i="34"/>
  <c r="L43" i="34"/>
  <c r="M43" i="34"/>
  <c r="E44" i="34"/>
  <c r="F44" i="34"/>
  <c r="G44" i="34"/>
  <c r="H44" i="34"/>
  <c r="I44" i="34"/>
  <c r="J44" i="34"/>
  <c r="K44" i="34"/>
  <c r="L44" i="34"/>
  <c r="M44" i="34"/>
  <c r="E45" i="34"/>
  <c r="F45" i="34"/>
  <c r="G45" i="34"/>
  <c r="H45" i="34"/>
  <c r="I45" i="34"/>
  <c r="J45" i="34"/>
  <c r="K45" i="34"/>
  <c r="L45" i="34"/>
  <c r="M45" i="34"/>
  <c r="E46" i="34"/>
  <c r="F46" i="34"/>
  <c r="G46" i="34"/>
  <c r="H46" i="34"/>
  <c r="I46" i="34"/>
  <c r="J46" i="34"/>
  <c r="K46" i="34"/>
  <c r="L46" i="34"/>
  <c r="M46" i="34"/>
  <c r="E47" i="34"/>
  <c r="F47" i="34"/>
  <c r="V47" i="34" s="1"/>
  <c r="G47" i="34"/>
  <c r="H47" i="34"/>
  <c r="I47" i="34"/>
  <c r="J47" i="34"/>
  <c r="K47" i="34"/>
  <c r="L47" i="34"/>
  <c r="M47" i="34"/>
  <c r="E48" i="34"/>
  <c r="F48" i="34"/>
  <c r="Q48" i="34" s="1"/>
  <c r="G48" i="34"/>
  <c r="H48" i="34"/>
  <c r="I48" i="34"/>
  <c r="J48" i="34"/>
  <c r="K48" i="34"/>
  <c r="L48" i="34"/>
  <c r="M48" i="34"/>
  <c r="E49" i="34"/>
  <c r="F49" i="34"/>
  <c r="Q49" i="34" s="1"/>
  <c r="G49" i="34"/>
  <c r="H49" i="34"/>
  <c r="I49" i="34"/>
  <c r="J49" i="34"/>
  <c r="K49" i="34"/>
  <c r="L49" i="34"/>
  <c r="M49" i="34"/>
  <c r="E50" i="34"/>
  <c r="F50" i="34"/>
  <c r="G50" i="34"/>
  <c r="H50" i="34"/>
  <c r="I50" i="34"/>
  <c r="J50" i="34"/>
  <c r="K50" i="34"/>
  <c r="L50" i="34"/>
  <c r="M50" i="34"/>
  <c r="E51" i="34"/>
  <c r="F51" i="34"/>
  <c r="O51" i="34" s="1"/>
  <c r="G51" i="34"/>
  <c r="H51" i="34"/>
  <c r="I51" i="34"/>
  <c r="J51" i="34"/>
  <c r="K51" i="34"/>
  <c r="L51" i="34"/>
  <c r="M51" i="34"/>
  <c r="F7" i="34"/>
  <c r="G7" i="34"/>
  <c r="H7" i="34"/>
  <c r="I7" i="34"/>
  <c r="J7" i="34"/>
  <c r="K7" i="34"/>
  <c r="L7" i="34"/>
  <c r="M7" i="34"/>
  <c r="E7" i="34"/>
  <c r="AF96" i="34"/>
  <c r="M96" i="34"/>
  <c r="L96" i="34"/>
  <c r="K96" i="34"/>
  <c r="J96" i="34"/>
  <c r="I96" i="34"/>
  <c r="H96" i="34"/>
  <c r="G96" i="34"/>
  <c r="F96" i="34"/>
  <c r="E96" i="34"/>
  <c r="D96" i="34"/>
  <c r="C96" i="34"/>
  <c r="B96" i="34"/>
  <c r="AG95" i="34"/>
  <c r="AE54" i="34"/>
  <c r="AE96" i="34" s="1"/>
  <c r="AD54" i="34"/>
  <c r="AD96" i="34" s="1"/>
  <c r="AC54" i="34"/>
  <c r="AC96" i="34" s="1"/>
  <c r="AB54" i="34"/>
  <c r="AB96" i="34" s="1"/>
  <c r="AA54" i="34"/>
  <c r="AA96" i="34" s="1"/>
  <c r="Z54" i="34"/>
  <c r="Z96" i="34" s="1"/>
  <c r="M54" i="34"/>
  <c r="L54" i="34"/>
  <c r="K54" i="34"/>
  <c r="J54" i="34"/>
  <c r="I54" i="34"/>
  <c r="H54" i="34"/>
  <c r="G54" i="34"/>
  <c r="F54" i="34"/>
  <c r="E54" i="34"/>
  <c r="D54" i="34"/>
  <c r="C54" i="34"/>
  <c r="B54" i="34"/>
  <c r="R49" i="34" l="1"/>
  <c r="AC51" i="35"/>
  <c r="D51" i="35" s="1"/>
  <c r="V49" i="34"/>
  <c r="N48" i="34"/>
  <c r="W49" i="34"/>
  <c r="V48" i="34"/>
  <c r="P49" i="34"/>
  <c r="Z49" i="34"/>
  <c r="W48" i="34"/>
  <c r="O48" i="34"/>
  <c r="AA48" i="34"/>
  <c r="AB48" i="34" s="1"/>
  <c r="AF48" i="34" s="1"/>
  <c r="R51" i="35"/>
  <c r="AC49" i="34"/>
  <c r="D49" i="34" s="1"/>
  <c r="X49" i="34"/>
  <c r="S49" i="34"/>
  <c r="N49" i="34"/>
  <c r="R48" i="34"/>
  <c r="N47" i="34"/>
  <c r="AA49" i="34"/>
  <c r="AB49" i="34" s="1"/>
  <c r="AF49" i="34" s="1"/>
  <c r="U47" i="35"/>
  <c r="W51" i="34"/>
  <c r="AC48" i="34"/>
  <c r="D48" i="34" s="1"/>
  <c r="Z51" i="34"/>
  <c r="AC51" i="34"/>
  <c r="D51" i="34" s="1"/>
  <c r="T49" i="34"/>
  <c r="O49" i="34"/>
  <c r="S48" i="34"/>
  <c r="Z48" i="34"/>
  <c r="Z50" i="34"/>
  <c r="Q50" i="34"/>
  <c r="U50" i="34"/>
  <c r="Y50" i="34"/>
  <c r="AC50" i="34"/>
  <c r="D50" i="34" s="1"/>
  <c r="AA50" i="34"/>
  <c r="AB50" i="34" s="1"/>
  <c r="AF50" i="34" s="1"/>
  <c r="P50" i="34"/>
  <c r="T50" i="34"/>
  <c r="X50" i="34"/>
  <c r="AA51" i="34"/>
  <c r="AB51" i="34" s="1"/>
  <c r="AF51" i="34" s="1"/>
  <c r="Q51" i="34"/>
  <c r="U51" i="34"/>
  <c r="Y51" i="34"/>
  <c r="P51" i="34"/>
  <c r="T51" i="34"/>
  <c r="X51" i="34"/>
  <c r="AA47" i="34"/>
  <c r="AB47" i="34" s="1"/>
  <c r="AF47" i="34" s="1"/>
  <c r="Q47" i="34"/>
  <c r="U47" i="34"/>
  <c r="Y47" i="34"/>
  <c r="P47" i="34"/>
  <c r="T47" i="34"/>
  <c r="X47" i="34"/>
  <c r="R51" i="34"/>
  <c r="N50" i="34"/>
  <c r="W47" i="34"/>
  <c r="O47" i="34"/>
  <c r="Z47" i="34"/>
  <c r="S51" i="34"/>
  <c r="W50" i="34"/>
  <c r="O50" i="34"/>
  <c r="R47" i="34"/>
  <c r="V51" i="34"/>
  <c r="N51" i="34"/>
  <c r="R50" i="34"/>
  <c r="S47" i="34"/>
  <c r="S49" i="35"/>
  <c r="S50" i="34"/>
  <c r="AC47" i="34"/>
  <c r="D47" i="34" s="1"/>
  <c r="V50" i="34"/>
  <c r="P47" i="35"/>
  <c r="Q51" i="35"/>
  <c r="Z51" i="35"/>
  <c r="X48" i="34"/>
  <c r="T48" i="34"/>
  <c r="P48" i="34"/>
  <c r="X51" i="35"/>
  <c r="Y49" i="34"/>
  <c r="U49" i="34"/>
  <c r="Y48" i="34"/>
  <c r="U48" i="34"/>
  <c r="AA47" i="35"/>
  <c r="AD47" i="35" s="1"/>
  <c r="AE47" i="35" s="1"/>
  <c r="C47" i="35" s="1"/>
  <c r="U51" i="35"/>
  <c r="AA6" i="34"/>
  <c r="AB6" i="34" s="1"/>
  <c r="R48" i="35"/>
  <c r="O50" i="35"/>
  <c r="W50" i="35"/>
  <c r="O47" i="35"/>
  <c r="T47" i="35"/>
  <c r="Y47" i="35"/>
  <c r="O49" i="35"/>
  <c r="S47" i="35"/>
  <c r="X47" i="35"/>
  <c r="AC47" i="35"/>
  <c r="D47" i="35" s="1"/>
  <c r="AA49" i="35"/>
  <c r="AB49" i="35" s="1"/>
  <c r="AF49" i="35" s="1"/>
  <c r="S50" i="35"/>
  <c r="AA50" i="35"/>
  <c r="P51" i="35"/>
  <c r="T50" i="35"/>
  <c r="Q47" i="35"/>
  <c r="W47" i="35"/>
  <c r="V48" i="35"/>
  <c r="W49" i="35"/>
  <c r="P50" i="35"/>
  <c r="X50" i="35"/>
  <c r="X48" i="35"/>
  <c r="T48" i="35"/>
  <c r="P48" i="35"/>
  <c r="AC48" i="35"/>
  <c r="D48" i="35" s="1"/>
  <c r="Y48" i="35"/>
  <c r="U48" i="35"/>
  <c r="Q48" i="35"/>
  <c r="AA48" i="35"/>
  <c r="W48" i="35"/>
  <c r="S48" i="35"/>
  <c r="O48" i="35"/>
  <c r="N48" i="35"/>
  <c r="AA51" i="35"/>
  <c r="W51" i="35"/>
  <c r="S51" i="35"/>
  <c r="O51" i="35"/>
  <c r="N47" i="35"/>
  <c r="R47" i="35"/>
  <c r="V47" i="35"/>
  <c r="P49" i="35"/>
  <c r="T49" i="35"/>
  <c r="X49" i="35"/>
  <c r="Q50" i="35"/>
  <c r="U50" i="35"/>
  <c r="Y50" i="35"/>
  <c r="AC50" i="35"/>
  <c r="D50" i="35" s="1"/>
  <c r="N51" i="35"/>
  <c r="T51" i="35"/>
  <c r="Y51" i="35"/>
  <c r="N49" i="35"/>
  <c r="R49" i="35"/>
  <c r="V49" i="35"/>
  <c r="Z49" i="35"/>
  <c r="Q49" i="35"/>
  <c r="U49" i="35"/>
  <c r="Y49" i="35"/>
  <c r="N50" i="35"/>
  <c r="R50" i="35"/>
  <c r="V50" i="35"/>
  <c r="AB47" i="35" l="1"/>
  <c r="AF47" i="35" s="1"/>
  <c r="AG47" i="35"/>
  <c r="AD50" i="35"/>
  <c r="AE50" i="35" s="1"/>
  <c r="AB50" i="35"/>
  <c r="AF50" i="35" s="1"/>
  <c r="AD49" i="35"/>
  <c r="AE49" i="35" s="1"/>
  <c r="C49" i="35" s="1"/>
  <c r="AB48" i="35"/>
  <c r="AF48" i="35" s="1"/>
  <c r="AD48" i="35"/>
  <c r="AE48" i="35" s="1"/>
  <c r="AB51" i="35"/>
  <c r="AF51" i="35" s="1"/>
  <c r="AD51" i="35"/>
  <c r="AE51" i="35" s="1"/>
  <c r="AD47" i="34"/>
  <c r="AE47" i="34" s="1"/>
  <c r="C47" i="34" s="1"/>
  <c r="AD50" i="34"/>
  <c r="AD51" i="34"/>
  <c r="AD48" i="34"/>
  <c r="AD49" i="34"/>
  <c r="AG49" i="35" l="1"/>
  <c r="C50" i="35"/>
  <c r="AG50" i="35"/>
  <c r="C51" i="35"/>
  <c r="AG51" i="35"/>
  <c r="AG48" i="35"/>
  <c r="C48" i="35"/>
  <c r="AE49" i="34"/>
  <c r="C49" i="34" s="1"/>
  <c r="AE48" i="34"/>
  <c r="C48" i="34" s="1"/>
  <c r="AE50" i="34"/>
  <c r="C50" i="34" s="1"/>
  <c r="AE51" i="34"/>
  <c r="C51" i="34" s="1"/>
  <c r="AG51" i="34" l="1"/>
  <c r="AG47" i="34"/>
  <c r="AG48" i="34"/>
  <c r="AG49" i="34"/>
  <c r="AG50" i="34"/>
  <c r="P56" i="29" l="1"/>
  <c r="U16" i="31"/>
  <c r="U17" i="31"/>
  <c r="U18" i="31"/>
  <c r="U19" i="31"/>
  <c r="U20" i="31"/>
  <c r="U21" i="31"/>
  <c r="U22" i="31"/>
  <c r="U23" i="31"/>
  <c r="U24" i="31"/>
  <c r="U25" i="31"/>
  <c r="U26" i="31"/>
  <c r="Q52" i="29" l="1"/>
  <c r="I52" i="29"/>
  <c r="D16" i="31" l="1"/>
  <c r="D17" i="31"/>
  <c r="D18" i="31"/>
  <c r="D19" i="31"/>
  <c r="D20" i="31"/>
  <c r="D21" i="31"/>
  <c r="D22" i="31"/>
  <c r="D23" i="31"/>
  <c r="D24" i="31"/>
  <c r="D25" i="31"/>
  <c r="D26" i="31"/>
  <c r="D27" i="31"/>
  <c r="D28" i="31"/>
  <c r="D29" i="31"/>
  <c r="D30" i="31"/>
  <c r="D31" i="31"/>
  <c r="D32" i="31"/>
  <c r="D33" i="31"/>
  <c r="D34" i="31"/>
  <c r="D35" i="31"/>
  <c r="D36" i="31"/>
  <c r="D37" i="31"/>
  <c r="D38" i="31"/>
  <c r="D39" i="31"/>
  <c r="D40" i="31"/>
  <c r="D41" i="31"/>
  <c r="D42" i="31"/>
  <c r="D43" i="31"/>
  <c r="D44" i="31"/>
  <c r="D45" i="31"/>
  <c r="D46" i="31"/>
  <c r="D47" i="31"/>
  <c r="D9" i="31"/>
  <c r="D10" i="31"/>
  <c r="D11" i="31"/>
  <c r="D12" i="31"/>
  <c r="D13" i="31"/>
  <c r="D14" i="31"/>
  <c r="D15" i="31"/>
  <c r="C18" i="31"/>
  <c r="C19" i="31"/>
  <c r="C20" i="31"/>
  <c r="C21" i="31"/>
  <c r="C22" i="31"/>
  <c r="C23" i="31"/>
  <c r="C24" i="31"/>
  <c r="C25" i="31"/>
  <c r="C26" i="31"/>
  <c r="C9" i="31"/>
  <c r="C10" i="31"/>
  <c r="C11" i="31"/>
  <c r="C12" i="31"/>
  <c r="C13" i="31"/>
  <c r="C14" i="31"/>
  <c r="C15" i="31"/>
  <c r="C16" i="31"/>
  <c r="C17" i="31"/>
  <c r="DS6" i="13"/>
  <c r="CZ6" i="13"/>
  <c r="CG6" i="13"/>
  <c r="BN6" i="13"/>
  <c r="FG25" i="13" l="1"/>
  <c r="FG17" i="13"/>
  <c r="FG24" i="13"/>
  <c r="FG16" i="13"/>
  <c r="FG21" i="13"/>
  <c r="FG13" i="13"/>
  <c r="FG14" i="13"/>
  <c r="FG20" i="13"/>
  <c r="FG12" i="13"/>
  <c r="FG27" i="13"/>
  <c r="FG19" i="13"/>
  <c r="FG11" i="13"/>
  <c r="FG26" i="13"/>
  <c r="FG18" i="13"/>
  <c r="FG10" i="13"/>
  <c r="FG23" i="13"/>
  <c r="FG15" i="13"/>
  <c r="E3" i="33"/>
  <c r="FH18" i="13" l="1"/>
  <c r="AG18" i="39" s="1"/>
  <c r="AF18" i="39"/>
  <c r="FH26" i="13"/>
  <c r="AG26" i="39" s="1"/>
  <c r="AF26" i="39"/>
  <c r="FH21" i="13"/>
  <c r="AG21" i="39" s="1"/>
  <c r="AF21" i="39"/>
  <c r="FH23" i="13"/>
  <c r="AG23" i="39" s="1"/>
  <c r="AF23" i="39"/>
  <c r="FH11" i="13"/>
  <c r="AG11" i="39" s="1"/>
  <c r="AF11" i="39"/>
  <c r="FH20" i="13"/>
  <c r="AG20" i="39" s="1"/>
  <c r="AF20" i="39"/>
  <c r="FH16" i="13"/>
  <c r="AG16" i="39" s="1"/>
  <c r="AF16" i="39"/>
  <c r="FH15" i="13"/>
  <c r="AG15" i="39" s="1"/>
  <c r="AF15" i="39"/>
  <c r="FH25" i="13"/>
  <c r="AG25" i="39" s="1"/>
  <c r="AF25" i="39"/>
  <c r="FH19" i="13"/>
  <c r="AG19" i="39" s="1"/>
  <c r="AF19" i="39"/>
  <c r="FH24" i="13"/>
  <c r="AG24" i="39" s="1"/>
  <c r="AF24" i="39"/>
  <c r="FH27" i="13"/>
  <c r="AG27" i="39" s="1"/>
  <c r="AF27" i="39"/>
  <c r="FH17" i="13"/>
  <c r="AG17" i="39" s="1"/>
  <c r="AF17" i="39"/>
  <c r="FH13" i="13"/>
  <c r="AG13" i="39" s="1"/>
  <c r="AF13" i="39"/>
  <c r="FH12" i="13"/>
  <c r="AG12" i="39" s="1"/>
  <c r="AF12" i="39"/>
  <c r="FH10" i="13"/>
  <c r="AG10" i="39" s="1"/>
  <c r="AF10" i="39"/>
  <c r="FH14" i="13"/>
  <c r="AG14" i="39" s="1"/>
  <c r="AF14" i="39"/>
  <c r="C3" i="14"/>
  <c r="B3" i="11"/>
  <c r="DL68" i="13"/>
  <c r="DK68" i="13"/>
  <c r="DJ68" i="13"/>
  <c r="DI68" i="13"/>
  <c r="DG68" i="13"/>
  <c r="DF68" i="13"/>
  <c r="DE68" i="13"/>
  <c r="DD68" i="13"/>
  <c r="CS68" i="13"/>
  <c r="CR68" i="13"/>
  <c r="CQ68" i="13"/>
  <c r="CP68" i="13"/>
  <c r="CN68" i="13"/>
  <c r="CM68" i="13"/>
  <c r="CL68" i="13"/>
  <c r="CK68" i="13"/>
  <c r="BZ68" i="13"/>
  <c r="BY68" i="13"/>
  <c r="BX68" i="13"/>
  <c r="BW68" i="13"/>
  <c r="BU68" i="13"/>
  <c r="BT68" i="13"/>
  <c r="BS68" i="13"/>
  <c r="BR68" i="13"/>
  <c r="BV68" i="13" l="1"/>
  <c r="CA68" i="13"/>
  <c r="CO68" i="13"/>
  <c r="CT68" i="13"/>
  <c r="DH68" i="13"/>
  <c r="DM68" i="13"/>
  <c r="N51" i="18"/>
  <c r="CU68" i="13" l="1"/>
  <c r="DN68" i="13"/>
  <c r="CB68" i="13"/>
  <c r="FI10" i="13" l="1"/>
  <c r="AH10" i="39" s="1"/>
  <c r="FI11" i="13"/>
  <c r="AH11" i="39" s="1"/>
  <c r="FI12" i="13"/>
  <c r="AH12" i="39" s="1"/>
  <c r="FI15" i="13"/>
  <c r="AH15" i="39" s="1"/>
  <c r="FI16" i="13"/>
  <c r="AH16" i="39" s="1"/>
  <c r="FI17" i="13"/>
  <c r="AH17" i="39" s="1"/>
  <c r="FI18" i="13"/>
  <c r="AH18" i="39" s="1"/>
  <c r="FI23" i="13"/>
  <c r="AH23" i="39" s="1"/>
  <c r="FI25" i="13"/>
  <c r="AH25" i="39" s="1"/>
  <c r="FI26" i="13"/>
  <c r="AH26" i="39" s="1"/>
  <c r="FI27" i="13"/>
  <c r="AH27" i="39" s="1"/>
  <c r="AM68" i="13" l="1"/>
  <c r="BG68" i="13"/>
  <c r="BF68" i="13"/>
  <c r="BE68" i="13"/>
  <c r="BD68" i="13"/>
  <c r="BB68" i="13"/>
  <c r="BA68" i="13"/>
  <c r="AZ68" i="13"/>
  <c r="AY68" i="13"/>
  <c r="BC68" i="13" l="1"/>
  <c r="BH68" i="13"/>
  <c r="AL68" i="13"/>
  <c r="AK68" i="13"/>
  <c r="AJ68" i="13"/>
  <c r="AH68" i="13"/>
  <c r="AG68" i="13"/>
  <c r="AF68" i="13"/>
  <c r="AE68" i="13"/>
  <c r="J60" i="13"/>
  <c r="Y68" i="13"/>
  <c r="W68" i="13"/>
  <c r="V68" i="13"/>
  <c r="U68" i="13"/>
  <c r="S68" i="13"/>
  <c r="R68" i="13"/>
  <c r="P68" i="13"/>
  <c r="N68" i="13"/>
  <c r="I4" i="13"/>
  <c r="D4" i="4"/>
  <c r="B4" i="13"/>
  <c r="B3" i="22"/>
  <c r="B3" i="23"/>
  <c r="B3" i="19"/>
  <c r="B3" i="18"/>
  <c r="B3" i="4"/>
  <c r="DC3" i="13"/>
  <c r="CJ3" i="13"/>
  <c r="BQ3" i="13"/>
  <c r="AX3" i="13"/>
  <c r="AD3" i="13"/>
  <c r="L3" i="13"/>
  <c r="Z17" i="36" l="1"/>
  <c r="H17" i="36"/>
  <c r="P3" i="35"/>
  <c r="P3" i="34"/>
  <c r="N3" i="35"/>
  <c r="N3" i="34"/>
  <c r="V3" i="35"/>
  <c r="V3" i="34"/>
  <c r="AB17" i="36"/>
  <c r="J17" i="36"/>
  <c r="X3" i="35"/>
  <c r="X3" i="34"/>
  <c r="T3" i="35"/>
  <c r="T3" i="34"/>
  <c r="R3" i="35"/>
  <c r="R3" i="34"/>
  <c r="AI68" i="13"/>
  <c r="AN68" i="13"/>
  <c r="BI68" i="13"/>
  <c r="T68" i="13"/>
  <c r="Z68" i="13"/>
  <c r="AO68" i="13" l="1"/>
  <c r="AA68" i="13"/>
  <c r="L51" i="23"/>
  <c r="L52" i="23"/>
  <c r="W9" i="29" l="1"/>
  <c r="H9" i="29"/>
  <c r="G8" i="29"/>
  <c r="H6" i="29"/>
  <c r="K7" i="29"/>
  <c r="DV52" i="13" l="1"/>
  <c r="DW52" i="13"/>
  <c r="DX52" i="13"/>
  <c r="DY52" i="13"/>
  <c r="DZ52" i="13"/>
  <c r="EA52" i="13"/>
  <c r="EB52" i="13"/>
  <c r="EC52" i="13"/>
  <c r="ED52" i="13"/>
  <c r="EE52" i="13"/>
  <c r="EF52" i="13"/>
  <c r="EG52" i="13"/>
  <c r="DV53" i="13"/>
  <c r="DW53" i="13"/>
  <c r="DX53" i="13"/>
  <c r="DY53" i="13"/>
  <c r="DZ53" i="13"/>
  <c r="EA53" i="13"/>
  <c r="EB53" i="13"/>
  <c r="EC53" i="13"/>
  <c r="ED53" i="13"/>
  <c r="EE53" i="13"/>
  <c r="EF53" i="13"/>
  <c r="EG53" i="13"/>
  <c r="DV54" i="13"/>
  <c r="DW54" i="13"/>
  <c r="DX54" i="13"/>
  <c r="DY54" i="13"/>
  <c r="DZ54" i="13"/>
  <c r="EA54" i="13"/>
  <c r="EB54" i="13"/>
  <c r="EC54" i="13"/>
  <c r="ED54" i="13"/>
  <c r="EE54" i="13"/>
  <c r="EF54" i="13"/>
  <c r="EG54" i="13"/>
  <c r="DV55" i="13"/>
  <c r="DW55" i="13"/>
  <c r="DX55" i="13"/>
  <c r="DY55" i="13"/>
  <c r="DZ55" i="13"/>
  <c r="EA55" i="13"/>
  <c r="EB55" i="13"/>
  <c r="EC55" i="13"/>
  <c r="ED55" i="13"/>
  <c r="EE55" i="13"/>
  <c r="EF55" i="13"/>
  <c r="EG55" i="13"/>
  <c r="DV56" i="13"/>
  <c r="DW56" i="13"/>
  <c r="DX56" i="13"/>
  <c r="DY56" i="13"/>
  <c r="DZ56" i="13"/>
  <c r="EA56" i="13"/>
  <c r="EB56" i="13"/>
  <c r="EC56" i="13"/>
  <c r="ED56" i="13"/>
  <c r="EE56" i="13"/>
  <c r="EF56" i="13"/>
  <c r="EG56" i="13"/>
  <c r="DV57" i="13"/>
  <c r="DW57" i="13"/>
  <c r="DX57" i="13"/>
  <c r="DY57" i="13"/>
  <c r="DZ57" i="13"/>
  <c r="EA57" i="13"/>
  <c r="EB57" i="13"/>
  <c r="EC57" i="13"/>
  <c r="ED57" i="13"/>
  <c r="EE57" i="13"/>
  <c r="EF57" i="13"/>
  <c r="EG57" i="13"/>
  <c r="DV58" i="13"/>
  <c r="DW58" i="13"/>
  <c r="DX58" i="13"/>
  <c r="DY58" i="13"/>
  <c r="DZ58" i="13"/>
  <c r="EA58" i="13"/>
  <c r="EB58" i="13"/>
  <c r="EC58" i="13"/>
  <c r="ED58" i="13"/>
  <c r="EE58" i="13"/>
  <c r="EF58" i="13"/>
  <c r="EG58" i="13"/>
  <c r="DV59" i="13"/>
  <c r="DW59" i="13"/>
  <c r="DX59" i="13"/>
  <c r="DY59" i="13"/>
  <c r="DZ59" i="13"/>
  <c r="EA59" i="13"/>
  <c r="EB59" i="13"/>
  <c r="EC59" i="13"/>
  <c r="ED59" i="13"/>
  <c r="EE59" i="13"/>
  <c r="EF59" i="13"/>
  <c r="EG59" i="13"/>
  <c r="DV60" i="13"/>
  <c r="DW60" i="13"/>
  <c r="DX60" i="13"/>
  <c r="DY60" i="13"/>
  <c r="DZ60" i="13"/>
  <c r="EA60" i="13"/>
  <c r="EB60" i="13"/>
  <c r="EC60" i="13"/>
  <c r="ED60" i="13"/>
  <c r="EE60" i="13"/>
  <c r="EF60" i="13"/>
  <c r="EG60" i="13"/>
  <c r="DV61" i="13"/>
  <c r="DW61" i="13"/>
  <c r="DX61" i="13"/>
  <c r="DY61" i="13"/>
  <c r="DZ61" i="13"/>
  <c r="EA61" i="13"/>
  <c r="EB61" i="13"/>
  <c r="EC61" i="13"/>
  <c r="ED61" i="13"/>
  <c r="EE61" i="13"/>
  <c r="EF61" i="13"/>
  <c r="EG61" i="13"/>
  <c r="DV62" i="13"/>
  <c r="DW62" i="13"/>
  <c r="DX62" i="13"/>
  <c r="DY62" i="13"/>
  <c r="DZ62" i="13"/>
  <c r="EA62" i="13"/>
  <c r="EB62" i="13"/>
  <c r="EC62" i="13"/>
  <c r="ED62" i="13"/>
  <c r="EE62" i="13"/>
  <c r="EF62" i="13"/>
  <c r="EG62" i="13"/>
  <c r="DV63" i="13"/>
  <c r="DW63" i="13"/>
  <c r="DX63" i="13"/>
  <c r="DY63" i="13"/>
  <c r="DZ63" i="13"/>
  <c r="EA63" i="13"/>
  <c r="EB63" i="13"/>
  <c r="EC63" i="13"/>
  <c r="ED63" i="13"/>
  <c r="EE63" i="13"/>
  <c r="EF63" i="13"/>
  <c r="EG63" i="13"/>
  <c r="DV64" i="13"/>
  <c r="DW64" i="13"/>
  <c r="DX64" i="13"/>
  <c r="DY64" i="13"/>
  <c r="DZ64" i="13"/>
  <c r="EA64" i="13"/>
  <c r="EB64" i="13"/>
  <c r="EC64" i="13"/>
  <c r="ED64" i="13"/>
  <c r="EE64" i="13"/>
  <c r="EF64" i="13"/>
  <c r="EG64" i="13"/>
  <c r="DV65" i="13"/>
  <c r="DW65" i="13"/>
  <c r="DX65" i="13"/>
  <c r="DY65" i="13"/>
  <c r="DZ65" i="13"/>
  <c r="EA65" i="13"/>
  <c r="EB65" i="13"/>
  <c r="EC65" i="13"/>
  <c r="ED65" i="13"/>
  <c r="EE65" i="13"/>
  <c r="EF65" i="13"/>
  <c r="EG65" i="13"/>
  <c r="DV66" i="13"/>
  <c r="DW66" i="13"/>
  <c r="DX66" i="13"/>
  <c r="DY66" i="13"/>
  <c r="DZ66" i="13"/>
  <c r="EA66" i="13"/>
  <c r="EB66" i="13"/>
  <c r="EC66" i="13"/>
  <c r="ED66" i="13"/>
  <c r="EE66" i="13"/>
  <c r="EF66" i="13"/>
  <c r="EG66" i="13"/>
  <c r="DV67" i="13"/>
  <c r="DW67" i="13"/>
  <c r="DX67" i="13"/>
  <c r="DY67" i="13"/>
  <c r="DZ67" i="13"/>
  <c r="EA67" i="13"/>
  <c r="EB67" i="13"/>
  <c r="EC67" i="13"/>
  <c r="ED67" i="13"/>
  <c r="EE67" i="13"/>
  <c r="EF67" i="13"/>
  <c r="EG67" i="13"/>
  <c r="DV68" i="13"/>
  <c r="DW68" i="13"/>
  <c r="DX68" i="13"/>
  <c r="DY68" i="13"/>
  <c r="DZ68" i="13"/>
  <c r="EA68" i="13"/>
  <c r="EB68" i="13"/>
  <c r="EC68" i="13"/>
  <c r="ED68" i="13"/>
  <c r="EE68" i="13"/>
  <c r="EF68" i="13"/>
  <c r="EG68" i="13"/>
  <c r="DV69" i="13"/>
  <c r="DW69" i="13"/>
  <c r="DX69" i="13"/>
  <c r="DY69" i="13"/>
  <c r="DZ69" i="13"/>
  <c r="EA69" i="13"/>
  <c r="EB69" i="13"/>
  <c r="EC69" i="13"/>
  <c r="ED69" i="13"/>
  <c r="EE69" i="13"/>
  <c r="EF69" i="13"/>
  <c r="EG69" i="13"/>
  <c r="H6" i="14"/>
  <c r="G6" i="14"/>
  <c r="F6" i="14"/>
  <c r="E6" i="14"/>
  <c r="D6" i="14"/>
  <c r="C6" i="14"/>
  <c r="V52" i="29" l="1"/>
  <c r="D3" i="29" l="1"/>
  <c r="EU4" i="13"/>
  <c r="EI6" i="13"/>
  <c r="BQ7" i="13"/>
  <c r="BS7" i="13"/>
  <c r="BT7" i="13"/>
  <c r="BW7" i="13"/>
  <c r="BY7" i="13"/>
  <c r="BZ7" i="13"/>
  <c r="AX7" i="13"/>
  <c r="AZ7" i="13"/>
  <c r="BA7" i="13"/>
  <c r="BD7" i="13"/>
  <c r="BF7" i="13"/>
  <c r="BG7" i="13"/>
  <c r="M51" i="18"/>
  <c r="R6" i="13"/>
  <c r="S6" i="13"/>
  <c r="T6" i="13"/>
  <c r="U6" i="13"/>
  <c r="N6" i="13"/>
  <c r="P6" i="13"/>
  <c r="L6" i="13"/>
  <c r="M13" i="13" l="1"/>
  <c r="EJ6" i="13"/>
  <c r="J6" i="39" s="1"/>
  <c r="I6" i="39"/>
  <c r="O10" i="13"/>
  <c r="O12" i="13"/>
  <c r="P34" i="29"/>
  <c r="M6" i="13"/>
  <c r="M10" i="13" s="1"/>
  <c r="O6" i="13"/>
  <c r="O7" i="13" s="1"/>
  <c r="Q6" i="13"/>
  <c r="Q7" i="13" s="1"/>
  <c r="FB4" i="13"/>
  <c r="AC52" i="13"/>
  <c r="L49" i="19"/>
  <c r="L49" i="25"/>
  <c r="L50" i="25"/>
  <c r="L48" i="25"/>
  <c r="L49" i="24"/>
  <c r="L50" i="24"/>
  <c r="L48" i="24"/>
  <c r="L48" i="19"/>
  <c r="L50" i="19"/>
  <c r="V6" i="13"/>
  <c r="M7" i="13" l="1"/>
  <c r="H22" i="38" s="1"/>
  <c r="Q9" i="13"/>
  <c r="Q10" i="13"/>
  <c r="M12" i="13"/>
  <c r="Q11" i="13"/>
  <c r="O9" i="13"/>
  <c r="O14" i="13"/>
  <c r="Q8" i="13"/>
  <c r="O13" i="13"/>
  <c r="Q12" i="13"/>
  <c r="M8" i="13"/>
  <c r="M14" i="13"/>
  <c r="Q13" i="13"/>
  <c r="O11" i="13"/>
  <c r="Q14" i="13"/>
  <c r="M11" i="13"/>
  <c r="M9" i="13"/>
  <c r="O8" i="13"/>
  <c r="AD17" i="36"/>
  <c r="AF17" i="36" s="1"/>
  <c r="L17" i="36"/>
  <c r="N17" i="36" s="1"/>
  <c r="L22" i="38"/>
  <c r="J22" i="38"/>
  <c r="H22" i="29"/>
  <c r="P22" i="38"/>
  <c r="C8" i="14"/>
  <c r="B20" i="13"/>
  <c r="B21" i="13"/>
  <c r="B22" i="13"/>
  <c r="B23" i="13"/>
  <c r="B24" i="13"/>
  <c r="B3" i="3"/>
  <c r="C8" i="25"/>
  <c r="AT52" i="13" l="1"/>
  <c r="L8" i="31"/>
  <c r="M8" i="31"/>
  <c r="N8" i="31"/>
  <c r="O8" i="31"/>
  <c r="P8" i="31"/>
  <c r="Q8" i="31"/>
  <c r="L9" i="31"/>
  <c r="M9" i="31"/>
  <c r="N9" i="31"/>
  <c r="O9" i="31"/>
  <c r="P9" i="31"/>
  <c r="Q9" i="31"/>
  <c r="L10" i="31"/>
  <c r="M10" i="31"/>
  <c r="N10" i="31"/>
  <c r="O10" i="31"/>
  <c r="P10" i="31"/>
  <c r="Q10" i="31"/>
  <c r="S10" i="31" s="1"/>
  <c r="L11" i="31"/>
  <c r="M11" i="31"/>
  <c r="N11" i="31"/>
  <c r="O11" i="31"/>
  <c r="P11" i="31"/>
  <c r="Q11" i="31"/>
  <c r="L12" i="31"/>
  <c r="M12" i="31"/>
  <c r="N12" i="31"/>
  <c r="O12" i="31"/>
  <c r="P12" i="31"/>
  <c r="Q12" i="31"/>
  <c r="L13" i="31"/>
  <c r="M13" i="31"/>
  <c r="N13" i="31"/>
  <c r="O13" i="31"/>
  <c r="P13" i="31"/>
  <c r="Q13" i="31"/>
  <c r="L14" i="31"/>
  <c r="M14" i="31"/>
  <c r="N14" i="31"/>
  <c r="O14" i="31"/>
  <c r="P14" i="31"/>
  <c r="Q14" i="31"/>
  <c r="S14" i="31" s="1"/>
  <c r="L15" i="31"/>
  <c r="M15" i="31"/>
  <c r="N15" i="31"/>
  <c r="O15" i="31"/>
  <c r="P15" i="31"/>
  <c r="Q15" i="31"/>
  <c r="L27" i="31"/>
  <c r="M27" i="31"/>
  <c r="N27" i="31"/>
  <c r="O27" i="31"/>
  <c r="P27" i="31"/>
  <c r="Q27" i="31"/>
  <c r="L28" i="31"/>
  <c r="M28" i="31"/>
  <c r="N28" i="31"/>
  <c r="O28" i="31"/>
  <c r="P28" i="31"/>
  <c r="Q28" i="31"/>
  <c r="L29" i="31"/>
  <c r="M29" i="31"/>
  <c r="N29" i="31"/>
  <c r="O29" i="31"/>
  <c r="P29" i="31"/>
  <c r="Q29" i="31"/>
  <c r="L30" i="31"/>
  <c r="M30" i="31"/>
  <c r="N30" i="31"/>
  <c r="O30" i="31"/>
  <c r="P30" i="31"/>
  <c r="Q30" i="31"/>
  <c r="L31" i="31"/>
  <c r="M31" i="31"/>
  <c r="N31" i="31"/>
  <c r="O31" i="31"/>
  <c r="P31" i="31"/>
  <c r="Q31" i="31"/>
  <c r="L32" i="31"/>
  <c r="M32" i="31"/>
  <c r="N32" i="31"/>
  <c r="O32" i="31"/>
  <c r="P32" i="31"/>
  <c r="Q32" i="31"/>
  <c r="L33" i="31"/>
  <c r="M33" i="31"/>
  <c r="N33" i="31"/>
  <c r="O33" i="31"/>
  <c r="P33" i="31"/>
  <c r="Q33" i="31"/>
  <c r="L34" i="31"/>
  <c r="M34" i="31"/>
  <c r="N34" i="31"/>
  <c r="O34" i="31"/>
  <c r="P34" i="31"/>
  <c r="Q34" i="31"/>
  <c r="S34" i="31" s="1"/>
  <c r="L35" i="31"/>
  <c r="M35" i="31"/>
  <c r="N35" i="31"/>
  <c r="O35" i="31"/>
  <c r="P35" i="31"/>
  <c r="Q35" i="31"/>
  <c r="L36" i="31"/>
  <c r="M36" i="31"/>
  <c r="N36" i="31"/>
  <c r="O36" i="31"/>
  <c r="P36" i="31"/>
  <c r="Q36" i="31"/>
  <c r="L37" i="31"/>
  <c r="M37" i="31"/>
  <c r="N37" i="31"/>
  <c r="O37" i="31"/>
  <c r="P37" i="31"/>
  <c r="Q37" i="31"/>
  <c r="L38" i="31"/>
  <c r="M38" i="31"/>
  <c r="N38" i="31"/>
  <c r="O38" i="31"/>
  <c r="P38" i="31"/>
  <c r="Q38" i="31"/>
  <c r="L39" i="31"/>
  <c r="M39" i="31"/>
  <c r="N39" i="31"/>
  <c r="O39" i="31"/>
  <c r="P39" i="31"/>
  <c r="Q39" i="31"/>
  <c r="L40" i="31"/>
  <c r="M40" i="31"/>
  <c r="N40" i="31"/>
  <c r="O40" i="31"/>
  <c r="P40" i="31"/>
  <c r="Q40" i="31"/>
  <c r="L41" i="31"/>
  <c r="M41" i="31"/>
  <c r="N41" i="31"/>
  <c r="O41" i="31"/>
  <c r="P41" i="31"/>
  <c r="Q41" i="31"/>
  <c r="L42" i="31"/>
  <c r="M42" i="31"/>
  <c r="N42" i="31"/>
  <c r="O42" i="31"/>
  <c r="P42" i="31"/>
  <c r="Q42" i="31"/>
  <c r="S42" i="31" s="1"/>
  <c r="L43" i="31"/>
  <c r="M43" i="31"/>
  <c r="N43" i="31"/>
  <c r="O43" i="31"/>
  <c r="P43" i="31"/>
  <c r="Q43" i="31"/>
  <c r="L44" i="31"/>
  <c r="M44" i="31"/>
  <c r="N44" i="31"/>
  <c r="O44" i="31"/>
  <c r="P44" i="31"/>
  <c r="Q44" i="31"/>
  <c r="L45" i="31"/>
  <c r="M45" i="31"/>
  <c r="N45" i="31"/>
  <c r="O45" i="31"/>
  <c r="P45" i="31"/>
  <c r="Q45" i="31"/>
  <c r="L46" i="31"/>
  <c r="M46" i="31"/>
  <c r="N46" i="31"/>
  <c r="O46" i="31"/>
  <c r="P46" i="31"/>
  <c r="Q46" i="31"/>
  <c r="L47" i="31"/>
  <c r="M47" i="31"/>
  <c r="N47" i="31"/>
  <c r="O47" i="31"/>
  <c r="P47" i="31"/>
  <c r="Q47" i="31"/>
  <c r="L48" i="31"/>
  <c r="M48" i="31"/>
  <c r="N48" i="31"/>
  <c r="O48" i="31"/>
  <c r="P48" i="31"/>
  <c r="Q48" i="31"/>
  <c r="L49" i="31"/>
  <c r="M49" i="31"/>
  <c r="N49" i="31"/>
  <c r="O49" i="31"/>
  <c r="P49" i="31"/>
  <c r="Q49" i="31"/>
  <c r="L50" i="31"/>
  <c r="M50" i="31"/>
  <c r="N50" i="31"/>
  <c r="O50" i="31"/>
  <c r="P50" i="31"/>
  <c r="Q50" i="31"/>
  <c r="L51" i="31"/>
  <c r="M51" i="31"/>
  <c r="N51" i="31"/>
  <c r="O51" i="31"/>
  <c r="P51" i="31"/>
  <c r="Q51" i="31"/>
  <c r="L52" i="31"/>
  <c r="M52" i="31"/>
  <c r="N52" i="31"/>
  <c r="O52" i="31"/>
  <c r="P52" i="31"/>
  <c r="Q52" i="31"/>
  <c r="Q7" i="31"/>
  <c r="P7" i="31"/>
  <c r="O7" i="31"/>
  <c r="N7" i="31"/>
  <c r="S7" i="31" s="1"/>
  <c r="M7" i="31"/>
  <c r="L7" i="31"/>
  <c r="R7" i="31" s="1"/>
  <c r="D52" i="31"/>
  <c r="C52" i="31"/>
  <c r="D51" i="31"/>
  <c r="C51" i="31"/>
  <c r="D50" i="31"/>
  <c r="C50" i="31"/>
  <c r="D49" i="31"/>
  <c r="C49" i="31"/>
  <c r="D48" i="31"/>
  <c r="C48" i="31"/>
  <c r="C47" i="31"/>
  <c r="C46" i="31"/>
  <c r="C45" i="31"/>
  <c r="C44" i="31"/>
  <c r="C43" i="31"/>
  <c r="C42" i="31"/>
  <c r="C41" i="31"/>
  <c r="C40" i="31"/>
  <c r="C39" i="31"/>
  <c r="C38" i="31"/>
  <c r="C37" i="31"/>
  <c r="C36" i="31"/>
  <c r="C35" i="31"/>
  <c r="C34" i="31"/>
  <c r="C33" i="31"/>
  <c r="C32" i="31"/>
  <c r="C31" i="31"/>
  <c r="C30" i="31"/>
  <c r="C29" i="31"/>
  <c r="C28" i="31"/>
  <c r="C27" i="31"/>
  <c r="D8" i="31"/>
  <c r="C8" i="31"/>
  <c r="R47" i="31" l="1"/>
  <c r="R31" i="31"/>
  <c r="R36" i="31"/>
  <c r="R28" i="31"/>
  <c r="R39" i="31"/>
  <c r="S47" i="31"/>
  <c r="S39" i="31"/>
  <c r="S31" i="31"/>
  <c r="R27" i="31"/>
  <c r="R51" i="31"/>
  <c r="S30" i="31"/>
  <c r="S9" i="31"/>
  <c r="V37" i="29" s="1"/>
  <c r="D43" i="29"/>
  <c r="H37" i="29"/>
  <c r="P37" i="29"/>
  <c r="J37" i="29"/>
  <c r="R37" i="29"/>
  <c r="L37" i="29"/>
  <c r="N37" i="29"/>
  <c r="H37" i="38"/>
  <c r="N37" i="38"/>
  <c r="N27" i="36"/>
  <c r="P37" i="38"/>
  <c r="D43" i="38"/>
  <c r="H27" i="36"/>
  <c r="J37" i="38"/>
  <c r="C37" i="38"/>
  <c r="C27" i="36"/>
  <c r="L37" i="38"/>
  <c r="R37" i="38"/>
  <c r="J27" i="36"/>
  <c r="D32" i="36"/>
  <c r="L27" i="36"/>
  <c r="R52" i="31"/>
  <c r="S50" i="31"/>
  <c r="S46" i="31"/>
  <c r="R43" i="31"/>
  <c r="R15" i="31"/>
  <c r="R11" i="31"/>
  <c r="R44" i="31"/>
  <c r="S38" i="31"/>
  <c r="R35" i="31"/>
  <c r="S12" i="31"/>
  <c r="D8" i="14"/>
  <c r="R13" i="31"/>
  <c r="S49" i="31"/>
  <c r="S44" i="31"/>
  <c r="R42" i="31"/>
  <c r="T42" i="31" s="1"/>
  <c r="U42" i="31" s="1"/>
  <c r="S36" i="31"/>
  <c r="T36" i="31" s="1"/>
  <c r="U36" i="31" s="1"/>
  <c r="R34" i="31"/>
  <c r="T34" i="31" s="1"/>
  <c r="U34" i="31" s="1"/>
  <c r="R29" i="31"/>
  <c r="R49" i="31"/>
  <c r="S48" i="31"/>
  <c r="R46" i="31"/>
  <c r="T46" i="31" s="1"/>
  <c r="U46" i="31" s="1"/>
  <c r="S45" i="31"/>
  <c r="R41" i="31"/>
  <c r="S40" i="31"/>
  <c r="R38" i="31"/>
  <c r="S37" i="31"/>
  <c r="R33" i="31"/>
  <c r="S32" i="31"/>
  <c r="R30" i="31"/>
  <c r="S29" i="31"/>
  <c r="S15" i="31"/>
  <c r="T15" i="31" s="1"/>
  <c r="U15" i="31" s="1"/>
  <c r="R12" i="31"/>
  <c r="R10" i="31"/>
  <c r="S52" i="31"/>
  <c r="R50" i="31"/>
  <c r="R45" i="31"/>
  <c r="S41" i="31"/>
  <c r="R37" i="31"/>
  <c r="T37" i="31" s="1"/>
  <c r="U37" i="31" s="1"/>
  <c r="S33" i="31"/>
  <c r="T33" i="31" s="1"/>
  <c r="U33" i="31" s="1"/>
  <c r="S28" i="31"/>
  <c r="T28" i="31" s="1"/>
  <c r="U28" i="31" s="1"/>
  <c r="S11" i="31"/>
  <c r="T11" i="31" s="1"/>
  <c r="U11" i="31" s="1"/>
  <c r="R8" i="31"/>
  <c r="S51" i="31"/>
  <c r="R48" i="31"/>
  <c r="T48" i="31" s="1"/>
  <c r="U48" i="31" s="1"/>
  <c r="S43" i="31"/>
  <c r="T43" i="31" s="1"/>
  <c r="U43" i="31" s="1"/>
  <c r="R40" i="31"/>
  <c r="S35" i="31"/>
  <c r="R32" i="31"/>
  <c r="T32" i="31" s="1"/>
  <c r="U32" i="31" s="1"/>
  <c r="S27" i="31"/>
  <c r="R14" i="31"/>
  <c r="T14" i="31" s="1"/>
  <c r="U14" i="31" s="1"/>
  <c r="S13" i="31"/>
  <c r="R9" i="31"/>
  <c r="T37" i="29" s="1"/>
  <c r="S8" i="31"/>
  <c r="C37" i="29"/>
  <c r="T44" i="31"/>
  <c r="U44" i="31" s="1"/>
  <c r="T47" i="31" l="1"/>
  <c r="U47" i="31" s="1"/>
  <c r="T49" i="31"/>
  <c r="U49" i="31" s="1"/>
  <c r="T27" i="31"/>
  <c r="U27" i="31" s="1"/>
  <c r="T38" i="31"/>
  <c r="U38" i="31" s="1"/>
  <c r="T31" i="31"/>
  <c r="U31" i="31" s="1"/>
  <c r="T9" i="31"/>
  <c r="U9" i="31" s="1"/>
  <c r="T39" i="31"/>
  <c r="U39" i="31" s="1"/>
  <c r="T40" i="31"/>
  <c r="U40" i="31" s="1"/>
  <c r="V37" i="38"/>
  <c r="T30" i="31"/>
  <c r="U30" i="31" s="1"/>
  <c r="T12" i="31"/>
  <c r="U12" i="31" s="1"/>
  <c r="T51" i="31"/>
  <c r="U51" i="31" s="1"/>
  <c r="T50" i="31"/>
  <c r="U50" i="31" s="1"/>
  <c r="T52" i="31"/>
  <c r="U52" i="31" s="1"/>
  <c r="T35" i="31"/>
  <c r="U35" i="31" s="1"/>
  <c r="T8" i="31"/>
  <c r="T37" i="38"/>
  <c r="X37" i="29"/>
  <c r="T45" i="31"/>
  <c r="U45" i="31" s="1"/>
  <c r="T41" i="31"/>
  <c r="U41" i="31" s="1"/>
  <c r="T10" i="31"/>
  <c r="T13" i="31"/>
  <c r="U13" i="31" s="1"/>
  <c r="T29" i="31"/>
  <c r="U29" i="31" s="1"/>
  <c r="T7" i="31"/>
  <c r="U7" i="31" s="1"/>
  <c r="AH6" i="13"/>
  <c r="AH7" i="13"/>
  <c r="AO7" i="13"/>
  <c r="AN7" i="13"/>
  <c r="AO6" i="13"/>
  <c r="AO4" i="13"/>
  <c r="AN6" i="13"/>
  <c r="AN4" i="13"/>
  <c r="AM7" i="13"/>
  <c r="AM6" i="13"/>
  <c r="AM4" i="13"/>
  <c r="U8" i="31" l="1"/>
  <c r="AA37" i="38" s="1"/>
  <c r="X37" i="38"/>
  <c r="AI6" i="13"/>
  <c r="U10" i="31"/>
  <c r="AA37" i="29" s="1"/>
  <c r="M45" i="18"/>
  <c r="M44" i="18"/>
  <c r="M49" i="18"/>
  <c r="M46" i="18"/>
  <c r="M47" i="18"/>
  <c r="M50" i="18"/>
  <c r="M48" i="18"/>
  <c r="AP6" i="13"/>
  <c r="AP7" i="13"/>
  <c r="AK6" i="13" l="1"/>
  <c r="AI13" i="13"/>
  <c r="AI8" i="13"/>
  <c r="AI12" i="13"/>
  <c r="AI11" i="13"/>
  <c r="AI9" i="13"/>
  <c r="AI10" i="13"/>
  <c r="AI14" i="13"/>
  <c r="AI7" i="13"/>
  <c r="AK7" i="13" s="1"/>
  <c r="P26" i="38"/>
  <c r="H7" i="14"/>
  <c r="G7" i="14"/>
  <c r="F7" i="14"/>
  <c r="E7" i="14"/>
  <c r="D7" i="14"/>
  <c r="C7" i="14"/>
  <c r="J26" i="38" l="1"/>
  <c r="AK10" i="13"/>
  <c r="AK9" i="13"/>
  <c r="AK12" i="13"/>
  <c r="AK11" i="13"/>
  <c r="AK8" i="13"/>
  <c r="AK14" i="13"/>
  <c r="AK13" i="13"/>
  <c r="ET4" i="13"/>
  <c r="ES4" i="13"/>
  <c r="ER4" i="13"/>
  <c r="EQ4" i="13"/>
  <c r="EP4" i="13"/>
  <c r="EW4" i="13" l="1"/>
  <c r="FA4" i="13"/>
  <c r="EZ4" i="13"/>
  <c r="EY4" i="13"/>
  <c r="EX4" i="13"/>
  <c r="DL6" i="13"/>
  <c r="DK6" i="13"/>
  <c r="DI6" i="13"/>
  <c r="DC6" i="13"/>
  <c r="DF6" i="13"/>
  <c r="DE6" i="13"/>
  <c r="CS6" i="13"/>
  <c r="CR6" i="13"/>
  <c r="CP6" i="13"/>
  <c r="CM6" i="13"/>
  <c r="CL6" i="13"/>
  <c r="CJ6" i="13"/>
  <c r="BS6" i="13"/>
  <c r="BZ6" i="13"/>
  <c r="BY6" i="13"/>
  <c r="BW6" i="13"/>
  <c r="BT6" i="13"/>
  <c r="BQ6" i="13"/>
  <c r="BG6" i="13"/>
  <c r="BF6" i="13"/>
  <c r="BD6" i="13"/>
  <c r="BA6" i="13"/>
  <c r="AZ6" i="13"/>
  <c r="AX6" i="13"/>
  <c r="AF7" i="13"/>
  <c r="AF6" i="13"/>
  <c r="AD7" i="13"/>
  <c r="AD6" i="13"/>
  <c r="W6" i="13"/>
  <c r="DC2" i="13"/>
  <c r="CJ2" i="13"/>
  <c r="BQ2" i="13"/>
  <c r="AX2" i="13"/>
  <c r="AD2" i="13"/>
  <c r="L2" i="13"/>
  <c r="AB56" i="13" s="1"/>
  <c r="DJ13" i="13" l="1"/>
  <c r="DJ8" i="13"/>
  <c r="AG12" i="13"/>
  <c r="AG8" i="13"/>
  <c r="DM10" i="13"/>
  <c r="DM14" i="13"/>
  <c r="BV14" i="13"/>
  <c r="CD14" i="13" s="1"/>
  <c r="BV12" i="13"/>
  <c r="AE7" i="13"/>
  <c r="BC8" i="13"/>
  <c r="BC7" i="13"/>
  <c r="CB14" i="13"/>
  <c r="CB7" i="13"/>
  <c r="CA10" i="13"/>
  <c r="CA7" i="13"/>
  <c r="BE12" i="13"/>
  <c r="BE7" i="13"/>
  <c r="DH11" i="13"/>
  <c r="DH7" i="13"/>
  <c r="BH13" i="13"/>
  <c r="BH7" i="13"/>
  <c r="DD11" i="13"/>
  <c r="DD7" i="13"/>
  <c r="EP21" i="13"/>
  <c r="Z21" i="13" s="1"/>
  <c r="N21" i="34"/>
  <c r="N21" i="35"/>
  <c r="H35" i="38"/>
  <c r="X6" i="13"/>
  <c r="Y6" i="13" s="1"/>
  <c r="Z6" i="13" s="1"/>
  <c r="EP24" i="13"/>
  <c r="Z24" i="13" s="1"/>
  <c r="EP23" i="13"/>
  <c r="Z23" i="13" s="1"/>
  <c r="EP22" i="13"/>
  <c r="Z22" i="13" s="1"/>
  <c r="EP20" i="13"/>
  <c r="Z20" i="13" s="1"/>
  <c r="AB6" i="13"/>
  <c r="N6" i="34" s="1"/>
  <c r="S22" i="29"/>
  <c r="AE6" i="13"/>
  <c r="AP56" i="13"/>
  <c r="P2" i="34"/>
  <c r="P2" i="35"/>
  <c r="DO56" i="13"/>
  <c r="X2" i="34"/>
  <c r="X2" i="35"/>
  <c r="BJ56" i="13"/>
  <c r="R2" i="35"/>
  <c r="R2" i="34"/>
  <c r="N2" i="34"/>
  <c r="N2" i="35"/>
  <c r="CV56" i="13"/>
  <c r="V2" i="34"/>
  <c r="V2" i="35"/>
  <c r="CC56" i="13"/>
  <c r="T2" i="35"/>
  <c r="T2" i="34"/>
  <c r="AG6" i="13"/>
  <c r="AG14" i="13" s="1"/>
  <c r="J18" i="36"/>
  <c r="AB18" i="36"/>
  <c r="J24" i="36"/>
  <c r="AB24" i="36"/>
  <c r="N35" i="38"/>
  <c r="J26" i="36"/>
  <c r="AB26" i="36"/>
  <c r="AY6" i="13"/>
  <c r="DN6" i="13"/>
  <c r="DN9" i="13" s="1"/>
  <c r="DM6" i="13"/>
  <c r="DM12" i="13" s="1"/>
  <c r="DD6" i="13"/>
  <c r="DD8" i="13" s="1"/>
  <c r="DH6" i="13"/>
  <c r="DH9" i="13" s="1"/>
  <c r="DG6" i="13"/>
  <c r="DG7" i="13" s="1"/>
  <c r="DJ6" i="13"/>
  <c r="DJ11" i="13" s="1"/>
  <c r="BE6" i="13"/>
  <c r="BE14" i="13" s="1"/>
  <c r="BV6" i="13"/>
  <c r="BV10" i="13" s="1"/>
  <c r="BU6" i="13"/>
  <c r="BU14" i="13" s="1"/>
  <c r="L34" i="38" s="1"/>
  <c r="CQ6" i="13"/>
  <c r="BR6" i="13"/>
  <c r="CB6" i="13"/>
  <c r="CB9" i="13" s="1"/>
  <c r="BB6" i="13"/>
  <c r="BB7" i="13" s="1"/>
  <c r="BI6" i="13"/>
  <c r="BI12" i="13" s="1"/>
  <c r="CA6" i="13"/>
  <c r="CA9" i="13" s="1"/>
  <c r="CN6" i="13"/>
  <c r="CU6" i="13"/>
  <c r="BH6" i="13"/>
  <c r="BH9" i="13" s="1"/>
  <c r="BX6" i="13"/>
  <c r="CK6" i="13"/>
  <c r="CT6" i="13"/>
  <c r="BC6" i="13"/>
  <c r="BC13" i="13" s="1"/>
  <c r="CO6" i="13"/>
  <c r="DP9" i="13" l="1"/>
  <c r="X7" i="13"/>
  <c r="Y7" i="13" s="1"/>
  <c r="N7" i="4" s="1"/>
  <c r="AY9" i="13"/>
  <c r="AY11" i="13"/>
  <c r="AY10" i="13"/>
  <c r="AY14" i="13"/>
  <c r="AY13" i="13"/>
  <c r="AY12" i="13"/>
  <c r="AY8" i="13"/>
  <c r="AY7" i="13"/>
  <c r="DD13" i="13"/>
  <c r="BH8" i="13"/>
  <c r="DH12" i="13"/>
  <c r="BU12" i="13"/>
  <c r="BE8" i="13"/>
  <c r="X13" i="13"/>
  <c r="Y13" i="13" s="1"/>
  <c r="CA12" i="13"/>
  <c r="DG12" i="13"/>
  <c r="CB11" i="13"/>
  <c r="BC10" i="13"/>
  <c r="BB13" i="13"/>
  <c r="DN7" i="13"/>
  <c r="DP7" i="13" s="1"/>
  <c r="BV7" i="13"/>
  <c r="AG7" i="13"/>
  <c r="AS7" i="13" s="1"/>
  <c r="DM8" i="13"/>
  <c r="DJ7" i="13"/>
  <c r="BI7" i="13"/>
  <c r="DN8" i="13"/>
  <c r="DD14" i="13"/>
  <c r="BH12" i="13"/>
  <c r="DH10" i="13"/>
  <c r="BU9" i="13"/>
  <c r="BE11" i="13"/>
  <c r="X10" i="13"/>
  <c r="Y10" i="13" s="1"/>
  <c r="CA13" i="13"/>
  <c r="DG13" i="13"/>
  <c r="CB12" i="13"/>
  <c r="BC12" i="13"/>
  <c r="BK12" i="13" s="1"/>
  <c r="BB10" i="13"/>
  <c r="DN13" i="13"/>
  <c r="BV11" i="13"/>
  <c r="DM7" i="13"/>
  <c r="AG13" i="13"/>
  <c r="DJ9" i="13"/>
  <c r="BI9" i="13"/>
  <c r="BU7" i="13"/>
  <c r="DD9" i="13"/>
  <c r="BH14" i="13"/>
  <c r="P33" i="38" s="1"/>
  <c r="DH8" i="13"/>
  <c r="DP8" i="13" s="1"/>
  <c r="BU11" i="13"/>
  <c r="BE9" i="13"/>
  <c r="X8" i="13"/>
  <c r="Y8" i="13" s="1"/>
  <c r="CA14" i="13"/>
  <c r="P34" i="38" s="1"/>
  <c r="DG10" i="13"/>
  <c r="CB13" i="13"/>
  <c r="BC14" i="13"/>
  <c r="BB9" i="13"/>
  <c r="DN10" i="13"/>
  <c r="BV9" i="13"/>
  <c r="CD9" i="13" s="1"/>
  <c r="DM9" i="13"/>
  <c r="AG11" i="13"/>
  <c r="DJ14" i="13"/>
  <c r="BI11" i="13"/>
  <c r="DG14" i="13"/>
  <c r="L36" i="38" s="1"/>
  <c r="BB14" i="13"/>
  <c r="BI10" i="13"/>
  <c r="DN14" i="13"/>
  <c r="AJ6" i="13"/>
  <c r="AL6" i="13" s="1"/>
  <c r="AE9" i="13"/>
  <c r="AJ9" i="13" s="1"/>
  <c r="AL9" i="13" s="1"/>
  <c r="AQ9" i="13" s="1"/>
  <c r="AE11" i="13"/>
  <c r="AJ11" i="13" s="1"/>
  <c r="AL11" i="13" s="1"/>
  <c r="AQ11" i="13" s="1"/>
  <c r="AE13" i="13"/>
  <c r="AJ13" i="13" s="1"/>
  <c r="AL13" i="13" s="1"/>
  <c r="AQ13" i="13" s="1"/>
  <c r="AE8" i="13"/>
  <c r="AJ8" i="13" s="1"/>
  <c r="AL8" i="13" s="1"/>
  <c r="AQ8" i="13" s="1"/>
  <c r="AE10" i="13"/>
  <c r="AJ10" i="13" s="1"/>
  <c r="AL10" i="13" s="1"/>
  <c r="AQ10" i="13" s="1"/>
  <c r="AE12" i="13"/>
  <c r="AJ12" i="13" s="1"/>
  <c r="AL12" i="13" s="1"/>
  <c r="AQ12" i="13" s="1"/>
  <c r="AE14" i="13"/>
  <c r="AJ14" i="13" s="1"/>
  <c r="AL14" i="13" s="1"/>
  <c r="AQ14" i="13" s="1"/>
  <c r="DD10" i="13"/>
  <c r="BH10" i="13"/>
  <c r="DH13" i="13"/>
  <c r="DP13" i="13" s="1"/>
  <c r="BU10" i="13"/>
  <c r="BE13" i="13"/>
  <c r="X9" i="13"/>
  <c r="Y9" i="13" s="1"/>
  <c r="CA8" i="13"/>
  <c r="DG8" i="13"/>
  <c r="DO8" i="13" s="1"/>
  <c r="CB10" i="13"/>
  <c r="CD10" i="13" s="1"/>
  <c r="BC9" i="13"/>
  <c r="BK9" i="13" s="1"/>
  <c r="BB11" i="13"/>
  <c r="DN12" i="13"/>
  <c r="BV13" i="13"/>
  <c r="DM11" i="13"/>
  <c r="AG9" i="13"/>
  <c r="DJ10" i="13"/>
  <c r="BI13" i="13"/>
  <c r="BK13" i="13" s="1"/>
  <c r="X11" i="13"/>
  <c r="Y11" i="13" s="1"/>
  <c r="BX12" i="13"/>
  <c r="BX10" i="13"/>
  <c r="BX14" i="13"/>
  <c r="J34" i="38" s="1"/>
  <c r="BX11" i="13"/>
  <c r="BX9" i="13"/>
  <c r="BX8" i="13"/>
  <c r="BX13" i="13"/>
  <c r="BX7" i="13"/>
  <c r="BR13" i="13"/>
  <c r="BR11" i="13"/>
  <c r="BR12" i="13"/>
  <c r="CC12" i="13" s="1"/>
  <c r="BR8" i="13"/>
  <c r="BR14" i="13"/>
  <c r="BR10" i="13"/>
  <c r="BR9" i="13"/>
  <c r="CC9" i="13" s="1"/>
  <c r="BR7" i="13"/>
  <c r="DD12" i="13"/>
  <c r="BH11" i="13"/>
  <c r="DH14" i="13"/>
  <c r="BU13" i="13"/>
  <c r="BE10" i="13"/>
  <c r="X12" i="13"/>
  <c r="Y12" i="13" s="1"/>
  <c r="CA11" i="13"/>
  <c r="DG11" i="13"/>
  <c r="DO11" i="13" s="1"/>
  <c r="CB8" i="13"/>
  <c r="BC11" i="13"/>
  <c r="BB12" i="13"/>
  <c r="DN11" i="13"/>
  <c r="DP11" i="13" s="1"/>
  <c r="BV8" i="13"/>
  <c r="DM13" i="13"/>
  <c r="DS52" i="13" s="1"/>
  <c r="AG10" i="13"/>
  <c r="DJ12" i="13"/>
  <c r="BI14" i="13"/>
  <c r="BU8" i="13"/>
  <c r="CD12" i="13"/>
  <c r="X14" i="13"/>
  <c r="Y14" i="13" s="1"/>
  <c r="DG9" i="13"/>
  <c r="BB8" i="13"/>
  <c r="BI8" i="13"/>
  <c r="BK8" i="13" s="1"/>
  <c r="DV20" i="13"/>
  <c r="DV22" i="13"/>
  <c r="N36" i="29"/>
  <c r="J34" i="29"/>
  <c r="J33" i="29"/>
  <c r="L27" i="24"/>
  <c r="P36" i="29"/>
  <c r="R35" i="29"/>
  <c r="EW20" i="13"/>
  <c r="J36" i="29"/>
  <c r="FC22" i="13"/>
  <c r="EW22" i="13"/>
  <c r="EB22" i="13"/>
  <c r="P35" i="29"/>
  <c r="R36" i="29"/>
  <c r="P33" i="29"/>
  <c r="N35" i="29"/>
  <c r="H33" i="29"/>
  <c r="L34" i="29"/>
  <c r="EW23" i="13"/>
  <c r="EB23" i="13"/>
  <c r="J35" i="29"/>
  <c r="FC20" i="13"/>
  <c r="EB20" i="13"/>
  <c r="H36" i="29"/>
  <c r="L35" i="29"/>
  <c r="EW24" i="13"/>
  <c r="EB24" i="13"/>
  <c r="H34" i="29"/>
  <c r="L33" i="29"/>
  <c r="L36" i="29"/>
  <c r="H35" i="29"/>
  <c r="N6" i="35"/>
  <c r="N54" i="35" s="1"/>
  <c r="O54" i="35" s="1"/>
  <c r="L33" i="38"/>
  <c r="P35" i="38"/>
  <c r="H36" i="38"/>
  <c r="J35" i="38"/>
  <c r="EB21" i="13"/>
  <c r="EW21" i="13"/>
  <c r="DV21" i="13"/>
  <c r="FC21" i="13"/>
  <c r="R35" i="38"/>
  <c r="L35" i="38"/>
  <c r="DV23" i="13"/>
  <c r="P36" i="38"/>
  <c r="J36" i="38"/>
  <c r="J33" i="38"/>
  <c r="DV24" i="13"/>
  <c r="FC23" i="13"/>
  <c r="FC24" i="13"/>
  <c r="L27" i="23"/>
  <c r="L27" i="19"/>
  <c r="R33" i="38"/>
  <c r="R33" i="29"/>
  <c r="N33" i="38"/>
  <c r="N33" i="29"/>
  <c r="R34" i="38"/>
  <c r="R34" i="29"/>
  <c r="N34" i="38"/>
  <c r="N34" i="29"/>
  <c r="AJ7" i="13"/>
  <c r="AL7" i="13" s="1"/>
  <c r="H26" i="38"/>
  <c r="AS6" i="13"/>
  <c r="AV6" i="13"/>
  <c r="J23" i="36"/>
  <c r="AB23" i="36"/>
  <c r="N22" i="34"/>
  <c r="N22" i="35"/>
  <c r="N23" i="35"/>
  <c r="N23" i="34"/>
  <c r="N24" i="35"/>
  <c r="N24" i="34"/>
  <c r="N20" i="35"/>
  <c r="N20" i="34"/>
  <c r="N96" i="34"/>
  <c r="N54" i="34"/>
  <c r="O54" i="34" s="1"/>
  <c r="L25" i="36"/>
  <c r="AD25" i="36"/>
  <c r="L44" i="24"/>
  <c r="L23" i="24"/>
  <c r="L14" i="24"/>
  <c r="L22" i="24"/>
  <c r="L12" i="24"/>
  <c r="L21" i="24"/>
  <c r="L24" i="24"/>
  <c r="L41" i="24"/>
  <c r="L26" i="24"/>
  <c r="L13" i="24"/>
  <c r="L46" i="19"/>
  <c r="L32" i="24"/>
  <c r="L42" i="19"/>
  <c r="L31" i="19"/>
  <c r="L20" i="25"/>
  <c r="L37" i="25"/>
  <c r="L37" i="19"/>
  <c r="CZ52" i="13"/>
  <c r="L46" i="25"/>
  <c r="L28" i="25"/>
  <c r="L42" i="25"/>
  <c r="L45" i="25"/>
  <c r="CG52" i="13"/>
  <c r="BJ6" i="13"/>
  <c r="L7" i="19" s="1"/>
  <c r="BN52" i="13"/>
  <c r="L43" i="25"/>
  <c r="L17" i="25"/>
  <c r="L41" i="25"/>
  <c r="L40" i="25"/>
  <c r="L30" i="25"/>
  <c r="L19" i="25"/>
  <c r="L39" i="25"/>
  <c r="L24" i="25"/>
  <c r="L18" i="25"/>
  <c r="L44" i="25"/>
  <c r="L22" i="25"/>
  <c r="L16" i="25"/>
  <c r="L26" i="25"/>
  <c r="L29" i="25"/>
  <c r="L31" i="25"/>
  <c r="L21" i="25"/>
  <c r="L32" i="25"/>
  <c r="L38" i="25"/>
  <c r="L25" i="25"/>
  <c r="L33" i="25"/>
  <c r="L47" i="25"/>
  <c r="L36" i="25"/>
  <c r="L23" i="25"/>
  <c r="L35" i="25"/>
  <c r="BK6" i="13"/>
  <c r="L43" i="19"/>
  <c r="L44" i="19"/>
  <c r="L39" i="19"/>
  <c r="L18" i="19"/>
  <c r="L33" i="19"/>
  <c r="L25" i="24"/>
  <c r="L31" i="23"/>
  <c r="L19" i="23"/>
  <c r="L16" i="23"/>
  <c r="L30" i="24"/>
  <c r="L16" i="24"/>
  <c r="L47" i="24"/>
  <c r="L17" i="24"/>
  <c r="L46" i="24"/>
  <c r="L31" i="24"/>
  <c r="L38" i="24"/>
  <c r="L28" i="24"/>
  <c r="L36" i="24"/>
  <c r="L33" i="23"/>
  <c r="L22" i="23"/>
  <c r="L20" i="23"/>
  <c r="L38" i="23"/>
  <c r="L28" i="23"/>
  <c r="L17" i="23"/>
  <c r="L24" i="23"/>
  <c r="L39" i="23"/>
  <c r="L35" i="23"/>
  <c r="L30" i="23"/>
  <c r="L37" i="23"/>
  <c r="L18" i="23"/>
  <c r="L40" i="23"/>
  <c r="L10" i="23"/>
  <c r="L34" i="23"/>
  <c r="L23" i="23"/>
  <c r="L41" i="23"/>
  <c r="L36" i="23"/>
  <c r="L26" i="23"/>
  <c r="L25" i="23"/>
  <c r="L34" i="19"/>
  <c r="L41" i="19"/>
  <c r="L22" i="19"/>
  <c r="L25" i="19"/>
  <c r="L30" i="19"/>
  <c r="L36" i="19"/>
  <c r="L35" i="19"/>
  <c r="L29" i="19"/>
  <c r="L26" i="19"/>
  <c r="L32" i="19"/>
  <c r="L21" i="19"/>
  <c r="L19" i="19"/>
  <c r="L40" i="19"/>
  <c r="L17" i="19"/>
  <c r="L24" i="19"/>
  <c r="L28" i="19"/>
  <c r="L23" i="19"/>
  <c r="L16" i="19"/>
  <c r="L20" i="19"/>
  <c r="BK7" i="13"/>
  <c r="V35" i="38"/>
  <c r="CD6" i="13"/>
  <c r="DP6" i="13"/>
  <c r="DO6" i="13"/>
  <c r="L7" i="25" s="1"/>
  <c r="CV6" i="13"/>
  <c r="L7" i="24" s="1"/>
  <c r="CC6" i="13"/>
  <c r="L7" i="23" s="1"/>
  <c r="AC6" i="13"/>
  <c r="CC7" i="13"/>
  <c r="CW6" i="13"/>
  <c r="BJ7" i="13"/>
  <c r="CD7" i="13"/>
  <c r="EP6" i="13"/>
  <c r="L26" i="38" l="1"/>
  <c r="S22" i="38"/>
  <c r="R36" i="38"/>
  <c r="DO7" i="13"/>
  <c r="DT7" i="13" s="1"/>
  <c r="DU7" i="13" s="1"/>
  <c r="AS9" i="13"/>
  <c r="AS8" i="13"/>
  <c r="EQ8" i="13" s="1"/>
  <c r="AT8" i="13" s="1"/>
  <c r="AS12" i="13"/>
  <c r="AS10" i="13"/>
  <c r="CD13" i="13"/>
  <c r="CD11" i="13"/>
  <c r="BK11" i="13"/>
  <c r="DQ11" i="13"/>
  <c r="DT11" i="13"/>
  <c r="DU11" i="13" s="1"/>
  <c r="L12" i="25"/>
  <c r="DQ8" i="13"/>
  <c r="DT8" i="13"/>
  <c r="DU8" i="13" s="1"/>
  <c r="DP14" i="13"/>
  <c r="V36" i="38" s="1"/>
  <c r="N36" i="38"/>
  <c r="CE12" i="13"/>
  <c r="CH12" i="13"/>
  <c r="CI12" i="13" s="1"/>
  <c r="AS13" i="13"/>
  <c r="BK10" i="13"/>
  <c r="BJ11" i="13"/>
  <c r="CC11" i="13"/>
  <c r="DO13" i="13"/>
  <c r="DT13" i="13" s="1"/>
  <c r="DU13" i="13" s="1"/>
  <c r="BJ9" i="13"/>
  <c r="DO12" i="13"/>
  <c r="CC13" i="13"/>
  <c r="BK14" i="13"/>
  <c r="BJ8" i="13"/>
  <c r="CH9" i="13"/>
  <c r="CI9" i="13" s="1"/>
  <c r="CE9" i="13"/>
  <c r="DO9" i="13"/>
  <c r="DP10" i="13"/>
  <c r="BJ12" i="13"/>
  <c r="CC10" i="13"/>
  <c r="BJ13" i="13"/>
  <c r="L14" i="19" s="1"/>
  <c r="CD8" i="13"/>
  <c r="CC14" i="13"/>
  <c r="H34" i="38"/>
  <c r="T34" i="38" s="1"/>
  <c r="DO10" i="13"/>
  <c r="AS11" i="13"/>
  <c r="DO14" i="13"/>
  <c r="BJ14" i="13"/>
  <c r="H33" i="38"/>
  <c r="T33" i="38" s="1"/>
  <c r="AS14" i="13"/>
  <c r="CC8" i="13"/>
  <c r="DP12" i="13"/>
  <c r="BJ10" i="13"/>
  <c r="T34" i="29"/>
  <c r="T33" i="29"/>
  <c r="T35" i="29"/>
  <c r="T36" i="29"/>
  <c r="V35" i="29"/>
  <c r="V36" i="29"/>
  <c r="T35" i="38"/>
  <c r="X35" i="38" s="1"/>
  <c r="T36" i="38"/>
  <c r="EQ24" i="13"/>
  <c r="AT24" i="13" s="1"/>
  <c r="O21" i="35"/>
  <c r="O21" i="34"/>
  <c r="L8" i="23"/>
  <c r="L29" i="24"/>
  <c r="L35" i="24"/>
  <c r="L40" i="24"/>
  <c r="L20" i="24"/>
  <c r="L43" i="24"/>
  <c r="L45" i="24"/>
  <c r="L10" i="24"/>
  <c r="L37" i="24"/>
  <c r="L33" i="24"/>
  <c r="L8" i="24"/>
  <c r="L47" i="19"/>
  <c r="L9" i="24"/>
  <c r="L9" i="25"/>
  <c r="L42" i="24"/>
  <c r="L39" i="24"/>
  <c r="L11" i="24"/>
  <c r="L18" i="24"/>
  <c r="L45" i="19"/>
  <c r="L19" i="24"/>
  <c r="L15" i="24"/>
  <c r="L34" i="24"/>
  <c r="L34" i="25"/>
  <c r="L27" i="25"/>
  <c r="L29" i="23"/>
  <c r="L13" i="23"/>
  <c r="L32" i="23"/>
  <c r="L10" i="19"/>
  <c r="L38" i="19"/>
  <c r="L15" i="19"/>
  <c r="L12" i="19"/>
  <c r="L21" i="23"/>
  <c r="L12" i="23"/>
  <c r="L14" i="23"/>
  <c r="L8" i="19"/>
  <c r="V33" i="38"/>
  <c r="V33" i="29"/>
  <c r="V34" i="38"/>
  <c r="V34" i="29"/>
  <c r="X22" i="38"/>
  <c r="N7" i="35"/>
  <c r="N7" i="34"/>
  <c r="EP7" i="13"/>
  <c r="Z7" i="13" s="1"/>
  <c r="O24" i="35"/>
  <c r="O24" i="34"/>
  <c r="O23" i="34"/>
  <c r="O23" i="35"/>
  <c r="O22" i="35"/>
  <c r="O22" i="34"/>
  <c r="O20" i="35"/>
  <c r="O20" i="34"/>
  <c r="O6" i="35"/>
  <c r="O6" i="34"/>
  <c r="O96" i="34" s="1"/>
  <c r="M24" i="18"/>
  <c r="R44" i="35"/>
  <c r="R44" i="34"/>
  <c r="R46" i="34"/>
  <c r="R46" i="35"/>
  <c r="ET23" i="13"/>
  <c r="CY23" i="13" s="1"/>
  <c r="ET21" i="13"/>
  <c r="CY21" i="13" s="1"/>
  <c r="ET22" i="13"/>
  <c r="CY22" i="13" s="1"/>
  <c r="H8" i="14"/>
  <c r="AQ6" i="13"/>
  <c r="CH6" i="13"/>
  <c r="DT6" i="13"/>
  <c r="BO6" i="13"/>
  <c r="ET24" i="13"/>
  <c r="CY24" i="13" s="1"/>
  <c r="EU21" i="13"/>
  <c r="DR21" i="13" s="1"/>
  <c r="F8" i="14"/>
  <c r="EU22" i="13"/>
  <c r="DR22" i="13" s="1"/>
  <c r="G8" i="14"/>
  <c r="BO7" i="13"/>
  <c r="CH7" i="13"/>
  <c r="DA6" i="13"/>
  <c r="E8" i="14"/>
  <c r="EU20" i="13"/>
  <c r="DR20" i="13" s="1"/>
  <c r="EU23" i="13"/>
  <c r="DR23" i="13" s="1"/>
  <c r="EU24" i="13"/>
  <c r="DR24" i="13" s="1"/>
  <c r="EQ22" i="13"/>
  <c r="AT22" i="13" s="1"/>
  <c r="EQ20" i="13"/>
  <c r="AT20" i="13" s="1"/>
  <c r="M21" i="18"/>
  <c r="ES20" i="13"/>
  <c r="CF20" i="13" s="1"/>
  <c r="ES24" i="13"/>
  <c r="CF24" i="13" s="1"/>
  <c r="ES23" i="13"/>
  <c r="CF23" i="13" s="1"/>
  <c r="ES22" i="13"/>
  <c r="CF22" i="13" s="1"/>
  <c r="ES21" i="13"/>
  <c r="CF21" i="13" s="1"/>
  <c r="ER24" i="13"/>
  <c r="BM24" i="13" s="1"/>
  <c r="ER20" i="13"/>
  <c r="BM20" i="13" s="1"/>
  <c r="ER21" i="13"/>
  <c r="BM21" i="13" s="1"/>
  <c r="ER23" i="13"/>
  <c r="BM23" i="13" s="1"/>
  <c r="ER22" i="13"/>
  <c r="BM22" i="13" s="1"/>
  <c r="M43" i="18"/>
  <c r="EQ23" i="13"/>
  <c r="AT23" i="13" s="1"/>
  <c r="DQ6" i="13"/>
  <c r="EU6" i="13"/>
  <c r="CX6" i="13"/>
  <c r="ET7" i="13"/>
  <c r="CY7" i="13" s="1"/>
  <c r="ET6" i="13"/>
  <c r="CE6" i="13"/>
  <c r="ES6" i="13"/>
  <c r="ER6" i="13"/>
  <c r="BL6" i="13"/>
  <c r="BL7" i="13"/>
  <c r="ER7" i="13" s="1"/>
  <c r="BM7" i="13" s="1"/>
  <c r="CE7" i="13"/>
  <c r="ES7" i="13" s="1"/>
  <c r="CF7" i="13" s="1"/>
  <c r="M40" i="18"/>
  <c r="EQ17" i="13"/>
  <c r="AT17" i="13" s="1"/>
  <c r="EQ13" i="13"/>
  <c r="AT13" i="13" s="1"/>
  <c r="EQ15" i="13"/>
  <c r="AT15" i="13" s="1"/>
  <c r="M41" i="18"/>
  <c r="M37" i="18"/>
  <c r="EQ16" i="13"/>
  <c r="AT16" i="13" s="1"/>
  <c r="EQ14" i="13"/>
  <c r="AT14" i="13" s="1"/>
  <c r="M35" i="18"/>
  <c r="EQ12" i="13"/>
  <c r="AT12" i="13" s="1"/>
  <c r="M38" i="18"/>
  <c r="M39" i="18"/>
  <c r="EQ26" i="13"/>
  <c r="AT26" i="13" s="1"/>
  <c r="EQ27" i="13"/>
  <c r="AT27" i="13" s="1"/>
  <c r="M42" i="18"/>
  <c r="EQ28" i="13"/>
  <c r="AT28" i="13" s="1"/>
  <c r="EQ11" i="13"/>
  <c r="M33" i="18"/>
  <c r="M31" i="18"/>
  <c r="M36" i="18"/>
  <c r="M32" i="18"/>
  <c r="EQ29" i="13"/>
  <c r="AT29" i="13" s="1"/>
  <c r="M34" i="18"/>
  <c r="EQ9" i="13"/>
  <c r="AT9" i="13" s="1"/>
  <c r="EQ10" i="13"/>
  <c r="D52" i="25"/>
  <c r="C52" i="25"/>
  <c r="D51" i="25"/>
  <c r="C51" i="25"/>
  <c r="D50" i="25"/>
  <c r="C50" i="25"/>
  <c r="D49" i="25"/>
  <c r="C49" i="25"/>
  <c r="D48" i="25"/>
  <c r="C48" i="25"/>
  <c r="D47" i="25"/>
  <c r="C47" i="25"/>
  <c r="D46" i="25"/>
  <c r="C46" i="25"/>
  <c r="D45" i="25"/>
  <c r="C45" i="25"/>
  <c r="D44" i="25"/>
  <c r="C44" i="25"/>
  <c r="D43" i="25"/>
  <c r="C43" i="25"/>
  <c r="D42" i="25"/>
  <c r="C42" i="25"/>
  <c r="D41" i="25"/>
  <c r="C41" i="25"/>
  <c r="D40" i="25"/>
  <c r="C40" i="25"/>
  <c r="D39" i="25"/>
  <c r="C39" i="25"/>
  <c r="D38" i="25"/>
  <c r="C38" i="25"/>
  <c r="D37" i="25"/>
  <c r="C37" i="25"/>
  <c r="D36" i="25"/>
  <c r="C36" i="25"/>
  <c r="D35" i="25"/>
  <c r="C35" i="25"/>
  <c r="D34" i="25"/>
  <c r="C34" i="25"/>
  <c r="D33" i="25"/>
  <c r="C33" i="25"/>
  <c r="D32" i="25"/>
  <c r="C32" i="25"/>
  <c r="D31" i="25"/>
  <c r="C31" i="25"/>
  <c r="D30" i="25"/>
  <c r="C30" i="25"/>
  <c r="D29" i="25"/>
  <c r="C29" i="25"/>
  <c r="D28" i="25"/>
  <c r="C28" i="25"/>
  <c r="D27" i="25"/>
  <c r="C27" i="25"/>
  <c r="D26" i="25"/>
  <c r="C26" i="25"/>
  <c r="D25" i="25"/>
  <c r="C25" i="25"/>
  <c r="D24" i="25"/>
  <c r="C24" i="25"/>
  <c r="D23" i="25"/>
  <c r="C23" i="25"/>
  <c r="D22" i="25"/>
  <c r="C22" i="25"/>
  <c r="D21" i="25"/>
  <c r="C21" i="25"/>
  <c r="D20" i="25"/>
  <c r="C20" i="25"/>
  <c r="D19" i="25"/>
  <c r="C19" i="25"/>
  <c r="D18" i="25"/>
  <c r="C18" i="25"/>
  <c r="D17" i="25"/>
  <c r="C17" i="25"/>
  <c r="D16" i="25"/>
  <c r="C16" i="25"/>
  <c r="D15" i="25"/>
  <c r="C15" i="25"/>
  <c r="D14" i="25"/>
  <c r="C14" i="25"/>
  <c r="D13" i="25"/>
  <c r="C13" i="25"/>
  <c r="D12" i="25"/>
  <c r="C12" i="25"/>
  <c r="D11" i="25"/>
  <c r="C11" i="25"/>
  <c r="D10" i="25"/>
  <c r="C10" i="25"/>
  <c r="D9" i="25"/>
  <c r="C9" i="25"/>
  <c r="D8" i="25"/>
  <c r="D4" i="25"/>
  <c r="D52" i="24"/>
  <c r="C52" i="24"/>
  <c r="D51" i="24"/>
  <c r="C51" i="24"/>
  <c r="D50" i="24"/>
  <c r="C50" i="24"/>
  <c r="D49" i="24"/>
  <c r="C49" i="24"/>
  <c r="D48" i="24"/>
  <c r="C48" i="24"/>
  <c r="D47" i="24"/>
  <c r="C47" i="24"/>
  <c r="D46" i="24"/>
  <c r="C46" i="24"/>
  <c r="D45" i="24"/>
  <c r="C45" i="24"/>
  <c r="D44" i="24"/>
  <c r="C44" i="24"/>
  <c r="D43" i="24"/>
  <c r="C43" i="24"/>
  <c r="D42" i="24"/>
  <c r="C42" i="24"/>
  <c r="D41" i="24"/>
  <c r="C41" i="24"/>
  <c r="D40" i="24"/>
  <c r="C40" i="24"/>
  <c r="D39" i="24"/>
  <c r="C39" i="24"/>
  <c r="D38" i="24"/>
  <c r="C38" i="24"/>
  <c r="D37" i="24"/>
  <c r="C37" i="24"/>
  <c r="D36" i="24"/>
  <c r="C36" i="24"/>
  <c r="D35" i="24"/>
  <c r="C35" i="24"/>
  <c r="D34" i="24"/>
  <c r="C34" i="24"/>
  <c r="D33" i="24"/>
  <c r="C33" i="24"/>
  <c r="D32" i="24"/>
  <c r="C32" i="24"/>
  <c r="D31" i="24"/>
  <c r="C31" i="24"/>
  <c r="D30" i="24"/>
  <c r="C30" i="24"/>
  <c r="D29" i="24"/>
  <c r="C29" i="24"/>
  <c r="D28" i="24"/>
  <c r="C28" i="24"/>
  <c r="D27" i="24"/>
  <c r="C27" i="24"/>
  <c r="D26" i="24"/>
  <c r="C26" i="24"/>
  <c r="D25" i="24"/>
  <c r="C25" i="24"/>
  <c r="D24" i="24"/>
  <c r="C24" i="24"/>
  <c r="D23" i="24"/>
  <c r="C23" i="24"/>
  <c r="D22" i="24"/>
  <c r="C22" i="24"/>
  <c r="D21" i="24"/>
  <c r="C21" i="24"/>
  <c r="D20" i="24"/>
  <c r="C20" i="24"/>
  <c r="D19" i="24"/>
  <c r="C19" i="24"/>
  <c r="D18" i="24"/>
  <c r="C18" i="24"/>
  <c r="D17" i="24"/>
  <c r="C17" i="24"/>
  <c r="D16" i="24"/>
  <c r="C16" i="24"/>
  <c r="D15" i="24"/>
  <c r="C15" i="24"/>
  <c r="D14" i="24"/>
  <c r="C14" i="24"/>
  <c r="D13" i="24"/>
  <c r="C13" i="24"/>
  <c r="D12" i="24"/>
  <c r="C12" i="24"/>
  <c r="D11" i="24"/>
  <c r="C11" i="24"/>
  <c r="D10" i="24"/>
  <c r="C10" i="24"/>
  <c r="D9" i="24"/>
  <c r="C9" i="24"/>
  <c r="D8" i="24"/>
  <c r="C8" i="24"/>
  <c r="D4" i="24"/>
  <c r="D52" i="23"/>
  <c r="C52" i="23"/>
  <c r="D51" i="23"/>
  <c r="C51" i="23"/>
  <c r="D50" i="23"/>
  <c r="C50" i="23"/>
  <c r="D49" i="23"/>
  <c r="C49" i="23"/>
  <c r="D48" i="23"/>
  <c r="C48" i="23"/>
  <c r="D47" i="23"/>
  <c r="C47" i="23"/>
  <c r="D46" i="23"/>
  <c r="C46" i="23"/>
  <c r="D45" i="23"/>
  <c r="C45" i="23"/>
  <c r="D44" i="23"/>
  <c r="C44" i="23"/>
  <c r="D43" i="23"/>
  <c r="C43" i="23"/>
  <c r="D42" i="23"/>
  <c r="C42" i="23"/>
  <c r="D41" i="23"/>
  <c r="C41" i="23"/>
  <c r="D40" i="23"/>
  <c r="C40" i="23"/>
  <c r="D39" i="23"/>
  <c r="C39" i="23"/>
  <c r="D38" i="23"/>
  <c r="C38" i="23"/>
  <c r="D37" i="23"/>
  <c r="C37" i="23"/>
  <c r="D36" i="23"/>
  <c r="C36" i="23"/>
  <c r="D35" i="23"/>
  <c r="C35" i="23"/>
  <c r="D34" i="23"/>
  <c r="C34" i="23"/>
  <c r="D33" i="23"/>
  <c r="C33" i="23"/>
  <c r="D32" i="23"/>
  <c r="C32" i="23"/>
  <c r="D31" i="23"/>
  <c r="C31" i="23"/>
  <c r="D30" i="23"/>
  <c r="C30" i="23"/>
  <c r="D29" i="23"/>
  <c r="C29" i="23"/>
  <c r="D28" i="23"/>
  <c r="C28" i="23"/>
  <c r="D27" i="23"/>
  <c r="C27" i="23"/>
  <c r="D26" i="23"/>
  <c r="C26" i="23"/>
  <c r="D25" i="23"/>
  <c r="C25" i="23"/>
  <c r="D24" i="23"/>
  <c r="C24" i="23"/>
  <c r="D23" i="23"/>
  <c r="C23" i="23"/>
  <c r="D22" i="23"/>
  <c r="C22" i="23"/>
  <c r="D21" i="23"/>
  <c r="C21" i="23"/>
  <c r="D20" i="23"/>
  <c r="C20" i="23"/>
  <c r="D19" i="23"/>
  <c r="C19" i="23"/>
  <c r="D18" i="23"/>
  <c r="C18" i="23"/>
  <c r="D17" i="23"/>
  <c r="C17" i="23"/>
  <c r="D16" i="23"/>
  <c r="C16" i="23"/>
  <c r="D15" i="23"/>
  <c r="C15" i="23"/>
  <c r="D14" i="23"/>
  <c r="C14" i="23"/>
  <c r="D13" i="23"/>
  <c r="C13" i="23"/>
  <c r="D12" i="23"/>
  <c r="C12" i="23"/>
  <c r="D11" i="23"/>
  <c r="C11" i="23"/>
  <c r="D10" i="23"/>
  <c r="C10" i="23"/>
  <c r="D9" i="23"/>
  <c r="C9" i="23"/>
  <c r="D8" i="23"/>
  <c r="C8" i="23"/>
  <c r="D4" i="23"/>
  <c r="L8" i="25" l="1"/>
  <c r="DQ7" i="13"/>
  <c r="EU7" i="13" s="1"/>
  <c r="DR7" i="13" s="1"/>
  <c r="DQ10" i="13"/>
  <c r="AT10" i="13"/>
  <c r="AT11" i="13"/>
  <c r="DQ13" i="13"/>
  <c r="L14" i="25"/>
  <c r="CH8" i="13"/>
  <c r="CI8" i="13" s="1"/>
  <c r="CE8" i="13"/>
  <c r="CH14" i="13"/>
  <c r="CI14" i="13" s="1"/>
  <c r="CE14" i="13"/>
  <c r="L15" i="23"/>
  <c r="CH11" i="13"/>
  <c r="CI11" i="13" s="1"/>
  <c r="CE11" i="13"/>
  <c r="X34" i="38"/>
  <c r="BO11" i="13"/>
  <c r="BP11" i="13" s="1"/>
  <c r="BL11" i="13"/>
  <c r="BL13" i="13"/>
  <c r="BO13" i="13"/>
  <c r="BP13" i="13" s="1"/>
  <c r="BL8" i="13"/>
  <c r="BO8" i="13"/>
  <c r="BP8" i="13" s="1"/>
  <c r="L9" i="19"/>
  <c r="BL14" i="13"/>
  <c r="BO14" i="13"/>
  <c r="BP14" i="13" s="1"/>
  <c r="CE10" i="13"/>
  <c r="CH10" i="13"/>
  <c r="CI10" i="13" s="1"/>
  <c r="L11" i="23"/>
  <c r="L9" i="23"/>
  <c r="DT14" i="13"/>
  <c r="DU14" i="13" s="1"/>
  <c r="DQ14" i="13"/>
  <c r="L15" i="25"/>
  <c r="BL12" i="13"/>
  <c r="BO12" i="13"/>
  <c r="BP12" i="13" s="1"/>
  <c r="L13" i="19"/>
  <c r="CE13" i="13"/>
  <c r="CH13" i="13"/>
  <c r="CI13" i="13" s="1"/>
  <c r="X36" i="38"/>
  <c r="DQ12" i="13"/>
  <c r="DT12" i="13"/>
  <c r="DU12" i="13" s="1"/>
  <c r="L13" i="25"/>
  <c r="BO10" i="13"/>
  <c r="BP10" i="13" s="1"/>
  <c r="BL10" i="13"/>
  <c r="L11" i="19"/>
  <c r="DT10" i="13"/>
  <c r="DU10" i="13" s="1"/>
  <c r="L11" i="25"/>
  <c r="DT9" i="13"/>
  <c r="DU9" i="13" s="1"/>
  <c r="DQ9" i="13"/>
  <c r="L10" i="25"/>
  <c r="BL9" i="13"/>
  <c r="BO9" i="13"/>
  <c r="BP9" i="13" s="1"/>
  <c r="AT67" i="13"/>
  <c r="X34" i="29"/>
  <c r="X36" i="29"/>
  <c r="X33" i="29"/>
  <c r="X35" i="29"/>
  <c r="AA35" i="29" s="1"/>
  <c r="X33" i="38"/>
  <c r="EQ19" i="13"/>
  <c r="AT19" i="13" s="1"/>
  <c r="EQ21" i="13"/>
  <c r="AT21" i="13" s="1"/>
  <c r="EQ25" i="13"/>
  <c r="AT25" i="13" s="1"/>
  <c r="ET20" i="13"/>
  <c r="CY20" i="13" s="1"/>
  <c r="EQ18" i="13"/>
  <c r="AT18" i="13" s="1"/>
  <c r="DV7" i="13"/>
  <c r="FC7" i="13"/>
  <c r="EW7" i="13"/>
  <c r="R24" i="34"/>
  <c r="AD26" i="36"/>
  <c r="L24" i="36"/>
  <c r="J25" i="36"/>
  <c r="L26" i="36"/>
  <c r="AD24" i="36"/>
  <c r="M9" i="18"/>
  <c r="M27" i="18"/>
  <c r="M12" i="18"/>
  <c r="M17" i="18"/>
  <c r="M30" i="18"/>
  <c r="M10" i="18"/>
  <c r="M29" i="18"/>
  <c r="M16" i="18"/>
  <c r="M13" i="18"/>
  <c r="M8" i="18"/>
  <c r="M22" i="18"/>
  <c r="M19" i="18"/>
  <c r="M28" i="18"/>
  <c r="M15" i="18"/>
  <c r="M18" i="18"/>
  <c r="M20" i="18"/>
  <c r="M25" i="18"/>
  <c r="M26" i="18"/>
  <c r="BP7" i="13"/>
  <c r="P24" i="35"/>
  <c r="P24" i="34"/>
  <c r="DW24" i="13"/>
  <c r="EX24" i="13"/>
  <c r="R24" i="35"/>
  <c r="DB6" i="13"/>
  <c r="V6" i="35"/>
  <c r="V54" i="35" s="1"/>
  <c r="W54" i="35" s="1"/>
  <c r="V6" i="34"/>
  <c r="CI6" i="13"/>
  <c r="T6" i="34"/>
  <c r="T6" i="35"/>
  <c r="T54" i="35" s="1"/>
  <c r="U54" i="35" s="1"/>
  <c r="M14" i="18"/>
  <c r="BP6" i="13"/>
  <c r="R6" i="35"/>
  <c r="R54" i="35" s="1"/>
  <c r="S54" i="35" s="1"/>
  <c r="R6" i="34"/>
  <c r="AW6" i="13"/>
  <c r="P6" i="34"/>
  <c r="P6" i="35"/>
  <c r="P54" i="35" s="1"/>
  <c r="Q54" i="35" s="1"/>
  <c r="S46" i="35"/>
  <c r="S46" i="34"/>
  <c r="R20" i="34"/>
  <c r="R20" i="35"/>
  <c r="R45" i="34"/>
  <c r="R45" i="35"/>
  <c r="S44" i="34"/>
  <c r="S44" i="35"/>
  <c r="DU6" i="13"/>
  <c r="X6" i="35"/>
  <c r="X54" i="35" s="1"/>
  <c r="Y54" i="35" s="1"/>
  <c r="X6" i="34"/>
  <c r="X21" i="35"/>
  <c r="X21" i="34"/>
  <c r="V23" i="34"/>
  <c r="V23" i="35"/>
  <c r="R23" i="35"/>
  <c r="R23" i="34"/>
  <c r="X24" i="35"/>
  <c r="X24" i="34"/>
  <c r="R22" i="35"/>
  <c r="R22" i="34"/>
  <c r="V24" i="35"/>
  <c r="V24" i="34"/>
  <c r="V21" i="34"/>
  <c r="V21" i="35"/>
  <c r="R21" i="34"/>
  <c r="R21" i="35"/>
  <c r="X23" i="34"/>
  <c r="X23" i="35"/>
  <c r="V22" i="34"/>
  <c r="V22" i="35"/>
  <c r="X20" i="35"/>
  <c r="X20" i="34"/>
  <c r="X22" i="34"/>
  <c r="X22" i="35"/>
  <c r="V20" i="35"/>
  <c r="V20" i="34"/>
  <c r="V7" i="35"/>
  <c r="V7" i="34"/>
  <c r="R7" i="34"/>
  <c r="R7" i="35"/>
  <c r="X7" i="35"/>
  <c r="T22" i="34"/>
  <c r="T22" i="35"/>
  <c r="T23" i="34"/>
  <c r="T23" i="35"/>
  <c r="T21" i="34"/>
  <c r="T21" i="35"/>
  <c r="T24" i="34"/>
  <c r="T24" i="35"/>
  <c r="T20" i="34"/>
  <c r="T20" i="35"/>
  <c r="CI7" i="13"/>
  <c r="T7" i="34"/>
  <c r="T7" i="35"/>
  <c r="M6" i="18"/>
  <c r="AT6" i="13"/>
  <c r="M11" i="18"/>
  <c r="BM6" i="13"/>
  <c r="DR6" i="13"/>
  <c r="M23" i="18"/>
  <c r="AQ7" i="13"/>
  <c r="CY6" i="13"/>
  <c r="CF6" i="13"/>
  <c r="EL6" i="13"/>
  <c r="C9" i="11"/>
  <c r="C8" i="22"/>
  <c r="N24" i="18"/>
  <c r="N50" i="18"/>
  <c r="X7" i="34" l="1"/>
  <c r="AT66" i="13"/>
  <c r="M7" i="18"/>
  <c r="DZ20" i="13"/>
  <c r="FA20" i="13"/>
  <c r="AT69" i="13"/>
  <c r="EQ7" i="13"/>
  <c r="AT7" i="13" s="1"/>
  <c r="AT53" i="13"/>
  <c r="AT55" i="13" s="1"/>
  <c r="EV20" i="13"/>
  <c r="AE20" i="39" s="1"/>
  <c r="EV24" i="13"/>
  <c r="AE24" i="39" s="1"/>
  <c r="EV21" i="13"/>
  <c r="AE21" i="39" s="1"/>
  <c r="EV23" i="13"/>
  <c r="AE23" i="39" s="1"/>
  <c r="EV22" i="13"/>
  <c r="AE22" i="39" s="1"/>
  <c r="FB7" i="13"/>
  <c r="AT68" i="13"/>
  <c r="O7" i="34"/>
  <c r="O7" i="35"/>
  <c r="EB7" i="13"/>
  <c r="AB25" i="36"/>
  <c r="Q24" i="34"/>
  <c r="EC24" i="13"/>
  <c r="S24" i="34"/>
  <c r="EY24" i="13"/>
  <c r="S20" i="35"/>
  <c r="EY20" i="13"/>
  <c r="L26" i="29"/>
  <c r="Q24" i="35"/>
  <c r="P26" i="29"/>
  <c r="EZ20" i="13"/>
  <c r="U20" i="34"/>
  <c r="EZ24" i="13"/>
  <c r="U24" i="34"/>
  <c r="FB22" i="13"/>
  <c r="Y22" i="34"/>
  <c r="EY23" i="13"/>
  <c r="S23" i="35"/>
  <c r="EY7" i="13"/>
  <c r="ED7" i="13"/>
  <c r="EZ23" i="13"/>
  <c r="U23" i="35"/>
  <c r="FB23" i="13"/>
  <c r="Y23" i="34"/>
  <c r="FB20" i="13"/>
  <c r="Y20" i="35"/>
  <c r="EZ21" i="13"/>
  <c r="U21" i="35"/>
  <c r="EY21" i="13"/>
  <c r="S21" i="35"/>
  <c r="FB24" i="13"/>
  <c r="Y24" i="34"/>
  <c r="EZ22" i="13"/>
  <c r="U22" i="35"/>
  <c r="EY22" i="13"/>
  <c r="S22" i="34"/>
  <c r="FA24" i="13"/>
  <c r="EF24" i="13"/>
  <c r="FB21" i="13"/>
  <c r="EG21" i="13"/>
  <c r="FA7" i="13"/>
  <c r="EZ7" i="13"/>
  <c r="W6" i="35"/>
  <c r="W6" i="34"/>
  <c r="W96" i="34" s="1"/>
  <c r="V96" i="34"/>
  <c r="V54" i="34"/>
  <c r="W54" i="34" s="1"/>
  <c r="U6" i="34"/>
  <c r="U96" i="34" s="1"/>
  <c r="U6" i="35"/>
  <c r="T54" i="34"/>
  <c r="U54" i="34" s="1"/>
  <c r="T96" i="34"/>
  <c r="P54" i="34"/>
  <c r="Q54" i="34" s="1"/>
  <c r="P96" i="34"/>
  <c r="S45" i="34"/>
  <c r="S45" i="35"/>
  <c r="S20" i="34"/>
  <c r="R96" i="34"/>
  <c r="R54" i="34"/>
  <c r="S54" i="34" s="1"/>
  <c r="S6" i="35"/>
  <c r="S6" i="34"/>
  <c r="S96" i="34" s="1"/>
  <c r="Q6" i="35"/>
  <c r="Q6" i="34"/>
  <c r="Q96" i="34" s="1"/>
  <c r="Y6" i="35"/>
  <c r="Y6" i="34"/>
  <c r="Y96" i="34" s="1"/>
  <c r="X54" i="34"/>
  <c r="Y54" i="34" s="1"/>
  <c r="X96" i="34"/>
  <c r="EA24" i="13"/>
  <c r="W23" i="35"/>
  <c r="W23" i="34"/>
  <c r="W22" i="34"/>
  <c r="W22" i="35"/>
  <c r="W21" i="35"/>
  <c r="W21" i="34"/>
  <c r="EF20" i="13"/>
  <c r="W20" i="34"/>
  <c r="W20" i="35"/>
  <c r="DZ24" i="13"/>
  <c r="EA21" i="13"/>
  <c r="Y7" i="34"/>
  <c r="Y7" i="35"/>
  <c r="FA21" i="13"/>
  <c r="DZ21" i="13"/>
  <c r="FA23" i="13"/>
  <c r="DZ23" i="13"/>
  <c r="EF23" i="13"/>
  <c r="EF21" i="13"/>
  <c r="FA22" i="13"/>
  <c r="DZ22" i="13"/>
  <c r="EF22" i="13"/>
  <c r="EX22" i="13"/>
  <c r="DY23" i="13"/>
  <c r="FD22" i="13"/>
  <c r="EK22" i="13" s="1"/>
  <c r="K22" i="39" s="1"/>
  <c r="M22" i="39" s="1"/>
  <c r="FD24" i="13"/>
  <c r="EK24" i="13" s="1"/>
  <c r="K24" i="39" s="1"/>
  <c r="M24" i="39" s="1"/>
  <c r="DX22" i="13"/>
  <c r="EA22" i="13"/>
  <c r="DY24" i="13"/>
  <c r="N8" i="18"/>
  <c r="N11" i="18"/>
  <c r="EA23" i="13"/>
  <c r="EA20" i="13"/>
  <c r="EC22" i="13"/>
  <c r="N22" i="18"/>
  <c r="EA7" i="13"/>
  <c r="DZ7" i="13"/>
  <c r="N21" i="18"/>
  <c r="N20" i="18"/>
  <c r="H60" i="13"/>
  <c r="H59" i="13"/>
  <c r="I60" i="13"/>
  <c r="I59" i="13"/>
  <c r="DY20" i="13"/>
  <c r="DY22" i="13"/>
  <c r="DY21" i="13"/>
  <c r="DX20" i="13"/>
  <c r="DX21" i="13"/>
  <c r="DX7" i="13"/>
  <c r="ED20" i="13"/>
  <c r="DX23" i="13"/>
  <c r="DX24" i="13"/>
  <c r="DW22" i="13"/>
  <c r="N23" i="18"/>
  <c r="DY7" i="13"/>
  <c r="H26" i="29"/>
  <c r="EG7" i="13"/>
  <c r="N13" i="18"/>
  <c r="ET26" i="13"/>
  <c r="CY26" i="13" s="1"/>
  <c r="EU26" i="13"/>
  <c r="DR26" i="13" s="1"/>
  <c r="ES26" i="13"/>
  <c r="CF26" i="13" s="1"/>
  <c r="ER26" i="13"/>
  <c r="BM26" i="13" s="1"/>
  <c r="ET13" i="13"/>
  <c r="CY13" i="13" s="1"/>
  <c r="EU13" i="13"/>
  <c r="DR13" i="13" s="1"/>
  <c r="ES13" i="13"/>
  <c r="CF13" i="13" s="1"/>
  <c r="ER13" i="13"/>
  <c r="BM13" i="13" s="1"/>
  <c r="EU27" i="13"/>
  <c r="DR27" i="13" s="1"/>
  <c r="ET27" i="13"/>
  <c r="CY27" i="13" s="1"/>
  <c r="ES27" i="13"/>
  <c r="CF27" i="13" s="1"/>
  <c r="ER27" i="13"/>
  <c r="BM27" i="13" s="1"/>
  <c r="EU14" i="13"/>
  <c r="DR14" i="13" s="1"/>
  <c r="ET14" i="13"/>
  <c r="CY14" i="13" s="1"/>
  <c r="ES14" i="13"/>
  <c r="CF14" i="13" s="1"/>
  <c r="ER14" i="13"/>
  <c r="BM14" i="13" s="1"/>
  <c r="ES28" i="13"/>
  <c r="CF28" i="13" s="1"/>
  <c r="ER28" i="13"/>
  <c r="BM28" i="13" s="1"/>
  <c r="EU28" i="13"/>
  <c r="DR28" i="13" s="1"/>
  <c r="ET28" i="13"/>
  <c r="CY28" i="13" s="1"/>
  <c r="EU19" i="13"/>
  <c r="DR19" i="13" s="1"/>
  <c r="ET19" i="13"/>
  <c r="CY19" i="13" s="1"/>
  <c r="ES19" i="13"/>
  <c r="CF19" i="13" s="1"/>
  <c r="ER19" i="13"/>
  <c r="BM19" i="13" s="1"/>
  <c r="EU15" i="13"/>
  <c r="DR15" i="13" s="1"/>
  <c r="ET15" i="13"/>
  <c r="CY15" i="13" s="1"/>
  <c r="ES15" i="13"/>
  <c r="CF15" i="13" s="1"/>
  <c r="ER15" i="13"/>
  <c r="BM15" i="13" s="1"/>
  <c r="EU11" i="13"/>
  <c r="DR11" i="13" s="1"/>
  <c r="ET11" i="13"/>
  <c r="CY11" i="13" s="1"/>
  <c r="ES11" i="13"/>
  <c r="CF11" i="13" s="1"/>
  <c r="ER11" i="13"/>
  <c r="BM11" i="13" s="1"/>
  <c r="ET17" i="13"/>
  <c r="CY17" i="13" s="1"/>
  <c r="EU17" i="13"/>
  <c r="DR17" i="13" s="1"/>
  <c r="ER17" i="13"/>
  <c r="BM17" i="13" s="1"/>
  <c r="ES17" i="13"/>
  <c r="CF17" i="13" s="1"/>
  <c r="EU9" i="13"/>
  <c r="DR9" i="13" s="1"/>
  <c r="ER9" i="13"/>
  <c r="BM9" i="13" s="1"/>
  <c r="ES9" i="13"/>
  <c r="CF9" i="13" s="1"/>
  <c r="ET9" i="13"/>
  <c r="CY9" i="13" s="1"/>
  <c r="EU18" i="13"/>
  <c r="DR18" i="13" s="1"/>
  <c r="ES18" i="13"/>
  <c r="CF18" i="13" s="1"/>
  <c r="ER18" i="13"/>
  <c r="BM18" i="13" s="1"/>
  <c r="ET18" i="13"/>
  <c r="CY18" i="13" s="1"/>
  <c r="ET10" i="13"/>
  <c r="CY10" i="13" s="1"/>
  <c r="ER10" i="13"/>
  <c r="BM10" i="13" s="1"/>
  <c r="EU10" i="13"/>
  <c r="DR10" i="13" s="1"/>
  <c r="ES10" i="13"/>
  <c r="CF10" i="13" s="1"/>
  <c r="ET29" i="13"/>
  <c r="CY29" i="13" s="1"/>
  <c r="EU29" i="13"/>
  <c r="DR29" i="13" s="1"/>
  <c r="ES29" i="13"/>
  <c r="CF29" i="13" s="1"/>
  <c r="ER29" i="13"/>
  <c r="BM29" i="13" s="1"/>
  <c r="EU25" i="13"/>
  <c r="DR25" i="13" s="1"/>
  <c r="ES25" i="13"/>
  <c r="CF25" i="13" s="1"/>
  <c r="ET25" i="13"/>
  <c r="CY25" i="13" s="1"/>
  <c r="ER25" i="13"/>
  <c r="BM25" i="13" s="1"/>
  <c r="ER16" i="13"/>
  <c r="BM16" i="13" s="1"/>
  <c r="ES16" i="13"/>
  <c r="CF16" i="13" s="1"/>
  <c r="EU16" i="13"/>
  <c r="DR16" i="13" s="1"/>
  <c r="ET16" i="13"/>
  <c r="CY16" i="13" s="1"/>
  <c r="ES12" i="13"/>
  <c r="CF12" i="13" s="1"/>
  <c r="ER12" i="13"/>
  <c r="BM12" i="13" s="1"/>
  <c r="ET12" i="13"/>
  <c r="CY12" i="13" s="1"/>
  <c r="EU12" i="13"/>
  <c r="DR12" i="13" s="1"/>
  <c r="ER8" i="13"/>
  <c r="BM8" i="13" s="1"/>
  <c r="ES8" i="13"/>
  <c r="CF8" i="13" s="1"/>
  <c r="ET8" i="13"/>
  <c r="CY8" i="13" s="1"/>
  <c r="EU8" i="13"/>
  <c r="DR8" i="13" s="1"/>
  <c r="EP26" i="13"/>
  <c r="Z26" i="13" s="1"/>
  <c r="EP9" i="13"/>
  <c r="Z9" i="13" s="1"/>
  <c r="EP27" i="13"/>
  <c r="Z27" i="13" s="1"/>
  <c r="EP14" i="13"/>
  <c r="Z14" i="13" s="1"/>
  <c r="EP10" i="13"/>
  <c r="Z10" i="13" s="1"/>
  <c r="EP19" i="13"/>
  <c r="Z19" i="13" s="1"/>
  <c r="EP11" i="13"/>
  <c r="Z11" i="13" s="1"/>
  <c r="EP25" i="13"/>
  <c r="Z25" i="13" s="1"/>
  <c r="EP16" i="13"/>
  <c r="Z16" i="13" s="1"/>
  <c r="EP12" i="13"/>
  <c r="Z12" i="13" s="1"/>
  <c r="EQ6" i="13"/>
  <c r="EK6" i="13" s="1"/>
  <c r="K6" i="39" s="1"/>
  <c r="AT57" i="13" l="1"/>
  <c r="AE57" i="13"/>
  <c r="EV7" i="13"/>
  <c r="AE7" i="39" s="1"/>
  <c r="FK24" i="13"/>
  <c r="FK22" i="13"/>
  <c r="CG57" i="13"/>
  <c r="BN57" i="13"/>
  <c r="DS57" i="13"/>
  <c r="W24" i="34"/>
  <c r="EE24" i="13"/>
  <c r="EE20" i="13"/>
  <c r="EG22" i="13"/>
  <c r="EV26" i="13"/>
  <c r="AE26" i="39" s="1"/>
  <c r="EE22" i="13"/>
  <c r="ED24" i="13"/>
  <c r="FF24" i="13"/>
  <c r="ED22" i="13"/>
  <c r="FF22" i="13"/>
  <c r="S7" i="34"/>
  <c r="ED23" i="13"/>
  <c r="ED21" i="13"/>
  <c r="AA34" i="29"/>
  <c r="EE7" i="13"/>
  <c r="EE21" i="13"/>
  <c r="S7" i="35"/>
  <c r="U7" i="34"/>
  <c r="S23" i="34"/>
  <c r="W24" i="35"/>
  <c r="U21" i="34"/>
  <c r="S22" i="35"/>
  <c r="S24" i="35"/>
  <c r="U20" i="35"/>
  <c r="U24" i="35"/>
  <c r="EG20" i="13"/>
  <c r="Y20" i="34"/>
  <c r="U23" i="34"/>
  <c r="FC26" i="13"/>
  <c r="EW26" i="13"/>
  <c r="EG23" i="13"/>
  <c r="Y23" i="35"/>
  <c r="Y22" i="35"/>
  <c r="EG24" i="13"/>
  <c r="Y24" i="35"/>
  <c r="U22" i="34"/>
  <c r="EE23" i="13"/>
  <c r="R14" i="34"/>
  <c r="R14" i="35"/>
  <c r="S21" i="34"/>
  <c r="R37" i="34"/>
  <c r="R37" i="35"/>
  <c r="EX11" i="13"/>
  <c r="EC11" i="13"/>
  <c r="EX8" i="13"/>
  <c r="U7" i="35"/>
  <c r="Y21" i="34"/>
  <c r="Y21" i="35"/>
  <c r="EB26" i="13"/>
  <c r="FB26" i="13"/>
  <c r="FA26" i="13"/>
  <c r="EZ26" i="13"/>
  <c r="EY26" i="13"/>
  <c r="V12" i="34"/>
  <c r="V12" i="35"/>
  <c r="V25" i="34"/>
  <c r="V25" i="35"/>
  <c r="X10" i="35"/>
  <c r="X10" i="34"/>
  <c r="V31" i="35"/>
  <c r="V31" i="34"/>
  <c r="R17" i="35"/>
  <c r="R17" i="34"/>
  <c r="X42" i="34"/>
  <c r="X42" i="35"/>
  <c r="V32" i="34"/>
  <c r="V32" i="35"/>
  <c r="X36" i="35"/>
  <c r="X36" i="34"/>
  <c r="X44" i="34"/>
  <c r="X44" i="35"/>
  <c r="P30" i="35"/>
  <c r="P30" i="34"/>
  <c r="P11" i="34"/>
  <c r="P11" i="35"/>
  <c r="X12" i="34"/>
  <c r="X12" i="35"/>
  <c r="R25" i="34"/>
  <c r="R25" i="35"/>
  <c r="R33" i="34"/>
  <c r="R33" i="35"/>
  <c r="R41" i="34"/>
  <c r="R41" i="35"/>
  <c r="V18" i="35"/>
  <c r="V18" i="34"/>
  <c r="V9" i="34"/>
  <c r="V9" i="35"/>
  <c r="V42" i="34"/>
  <c r="V42" i="35"/>
  <c r="R15" i="35"/>
  <c r="R15" i="34"/>
  <c r="V28" i="34"/>
  <c r="V28" i="35"/>
  <c r="V36" i="34"/>
  <c r="V36" i="35"/>
  <c r="V44" i="34"/>
  <c r="V44" i="35"/>
  <c r="R35" i="34"/>
  <c r="R35" i="35"/>
  <c r="R13" i="35"/>
  <c r="R13" i="34"/>
  <c r="R30" i="34"/>
  <c r="R30" i="35"/>
  <c r="P20" i="34"/>
  <c r="P20" i="35"/>
  <c r="P23" i="34"/>
  <c r="P23" i="35"/>
  <c r="R8" i="34"/>
  <c r="R8" i="35"/>
  <c r="R16" i="35"/>
  <c r="R16" i="34"/>
  <c r="X25" i="34"/>
  <c r="X25" i="35"/>
  <c r="V29" i="34"/>
  <c r="V29" i="35"/>
  <c r="V33" i="34"/>
  <c r="V33" i="35"/>
  <c r="X37" i="34"/>
  <c r="X37" i="35"/>
  <c r="V41" i="34"/>
  <c r="V41" i="35"/>
  <c r="X45" i="34"/>
  <c r="X45" i="35"/>
  <c r="V10" i="34"/>
  <c r="V10" i="35"/>
  <c r="X18" i="35"/>
  <c r="X18" i="34"/>
  <c r="X31" i="35"/>
  <c r="X31" i="34"/>
  <c r="X39" i="35"/>
  <c r="X39" i="34"/>
  <c r="X9" i="34"/>
  <c r="X9" i="35"/>
  <c r="V17" i="34"/>
  <c r="V17" i="35"/>
  <c r="V34" i="34"/>
  <c r="V34" i="35"/>
  <c r="X11" i="35"/>
  <c r="X11" i="34"/>
  <c r="X15" i="35"/>
  <c r="X15" i="34"/>
  <c r="X19" i="34"/>
  <c r="X19" i="35"/>
  <c r="R32" i="34"/>
  <c r="R32" i="35"/>
  <c r="R36" i="35"/>
  <c r="R36" i="34"/>
  <c r="X14" i="34"/>
  <c r="X14" i="35"/>
  <c r="X27" i="34"/>
  <c r="X27" i="35"/>
  <c r="X35" i="34"/>
  <c r="X35" i="35"/>
  <c r="X43" i="35"/>
  <c r="X43" i="34"/>
  <c r="V13" i="34"/>
  <c r="V13" i="35"/>
  <c r="V26" i="34"/>
  <c r="V26" i="35"/>
  <c r="X30" i="35"/>
  <c r="X30" i="34"/>
  <c r="X38" i="35"/>
  <c r="X38" i="34"/>
  <c r="X46" i="35"/>
  <c r="X46" i="34"/>
  <c r="P8" i="35"/>
  <c r="P8" i="34"/>
  <c r="V8" i="34"/>
  <c r="V8" i="35"/>
  <c r="X16" i="35"/>
  <c r="X16" i="34"/>
  <c r="X41" i="34"/>
  <c r="X41" i="35"/>
  <c r="R18" i="35"/>
  <c r="R18" i="34"/>
  <c r="R39" i="35"/>
  <c r="R39" i="34"/>
  <c r="R34" i="34"/>
  <c r="R34" i="35"/>
  <c r="X28" i="34"/>
  <c r="X28" i="35"/>
  <c r="X40" i="34"/>
  <c r="X40" i="35"/>
  <c r="P19" i="35"/>
  <c r="P19" i="34"/>
  <c r="P34" i="34"/>
  <c r="P34" i="35"/>
  <c r="X8" i="34"/>
  <c r="X8" i="35"/>
  <c r="DZ16" i="13"/>
  <c r="V16" i="34"/>
  <c r="V16" i="35"/>
  <c r="R29" i="35"/>
  <c r="R29" i="34"/>
  <c r="R31" i="34"/>
  <c r="R31" i="35"/>
  <c r="R11" i="35"/>
  <c r="R11" i="34"/>
  <c r="R19" i="34"/>
  <c r="R19" i="35"/>
  <c r="X32" i="35"/>
  <c r="X32" i="34"/>
  <c r="V40" i="34"/>
  <c r="V40" i="35"/>
  <c r="R27" i="34"/>
  <c r="R27" i="35"/>
  <c r="R43" i="34"/>
  <c r="R43" i="35"/>
  <c r="R26" i="35"/>
  <c r="R26" i="34"/>
  <c r="R38" i="35"/>
  <c r="R38" i="34"/>
  <c r="R12" i="35"/>
  <c r="R12" i="34"/>
  <c r="X29" i="34"/>
  <c r="X29" i="35"/>
  <c r="X33" i="34"/>
  <c r="X33" i="35"/>
  <c r="V37" i="34"/>
  <c r="V37" i="35"/>
  <c r="V45" i="34"/>
  <c r="V45" i="35"/>
  <c r="R10" i="35"/>
  <c r="R10" i="34"/>
  <c r="V39" i="35"/>
  <c r="V39" i="34"/>
  <c r="R9" i="34"/>
  <c r="R9" i="35"/>
  <c r="X17" i="35"/>
  <c r="X17" i="34"/>
  <c r="X34" i="35"/>
  <c r="X34" i="34"/>
  <c r="R42" i="34"/>
  <c r="R42" i="35"/>
  <c r="V11" i="35"/>
  <c r="V11" i="34"/>
  <c r="V15" i="35"/>
  <c r="V15" i="34"/>
  <c r="V19" i="34"/>
  <c r="V19" i="35"/>
  <c r="R28" i="34"/>
  <c r="R28" i="35"/>
  <c r="R40" i="34"/>
  <c r="R40" i="35"/>
  <c r="V14" i="34"/>
  <c r="V14" i="35"/>
  <c r="V27" i="35"/>
  <c r="V27" i="34"/>
  <c r="V35" i="34"/>
  <c r="V35" i="35"/>
  <c r="V43" i="35"/>
  <c r="V43" i="34"/>
  <c r="X13" i="34"/>
  <c r="X13" i="35"/>
  <c r="X26" i="35"/>
  <c r="X26" i="34"/>
  <c r="V30" i="34"/>
  <c r="V30" i="35"/>
  <c r="V38" i="34"/>
  <c r="V38" i="35"/>
  <c r="V46" i="34"/>
  <c r="V46" i="35"/>
  <c r="P25" i="34"/>
  <c r="P25" i="35"/>
  <c r="P41" i="34"/>
  <c r="P41" i="35"/>
  <c r="P38" i="34"/>
  <c r="P38" i="35"/>
  <c r="P28" i="34"/>
  <c r="P28" i="35"/>
  <c r="P44" i="34"/>
  <c r="P44" i="35"/>
  <c r="P31" i="34"/>
  <c r="P31" i="35"/>
  <c r="P42" i="35"/>
  <c r="P42" i="34"/>
  <c r="P21" i="34"/>
  <c r="P21" i="35"/>
  <c r="P22" i="34"/>
  <c r="P22" i="35"/>
  <c r="T29" i="35"/>
  <c r="T29" i="34"/>
  <c r="T37" i="34"/>
  <c r="T37" i="35"/>
  <c r="T11" i="34"/>
  <c r="T11" i="35"/>
  <c r="T15" i="35"/>
  <c r="T15" i="34"/>
  <c r="T27" i="35"/>
  <c r="T27" i="34"/>
  <c r="T43" i="35"/>
  <c r="T43" i="34"/>
  <c r="T26" i="34"/>
  <c r="T26" i="35"/>
  <c r="T38" i="34"/>
  <c r="T38" i="35"/>
  <c r="T10" i="35"/>
  <c r="T10" i="34"/>
  <c r="T34" i="34"/>
  <c r="T34" i="35"/>
  <c r="T12" i="34"/>
  <c r="T12" i="35"/>
  <c r="T42" i="34"/>
  <c r="T42" i="35"/>
  <c r="T28" i="34"/>
  <c r="T28" i="35"/>
  <c r="T8" i="35"/>
  <c r="T8" i="34"/>
  <c r="T16" i="35"/>
  <c r="T16" i="34"/>
  <c r="T25" i="35"/>
  <c r="T25" i="34"/>
  <c r="T41" i="35"/>
  <c r="T41" i="34"/>
  <c r="T18" i="35"/>
  <c r="T18" i="34"/>
  <c r="T31" i="35"/>
  <c r="T31" i="34"/>
  <c r="T32" i="35"/>
  <c r="T32" i="34"/>
  <c r="T36" i="34"/>
  <c r="T36" i="35"/>
  <c r="T44" i="34"/>
  <c r="T44" i="35"/>
  <c r="T33" i="35"/>
  <c r="T33" i="34"/>
  <c r="T45" i="34"/>
  <c r="T45" i="35"/>
  <c r="T9" i="35"/>
  <c r="T9" i="34"/>
  <c r="T19" i="35"/>
  <c r="T19" i="34"/>
  <c r="T14" i="35"/>
  <c r="T14" i="34"/>
  <c r="T35" i="34"/>
  <c r="T35" i="35"/>
  <c r="T13" i="35"/>
  <c r="T13" i="34"/>
  <c r="T30" i="34"/>
  <c r="T30" i="35"/>
  <c r="T39" i="35"/>
  <c r="T39" i="34"/>
  <c r="T17" i="35"/>
  <c r="T17" i="34"/>
  <c r="T46" i="35"/>
  <c r="T46" i="34"/>
  <c r="T40" i="34"/>
  <c r="T40" i="35"/>
  <c r="FE22" i="13"/>
  <c r="AC68" i="13"/>
  <c r="C25" i="14" s="1"/>
  <c r="AC67" i="13"/>
  <c r="C24" i="14" s="1"/>
  <c r="AC66" i="13"/>
  <c r="C23" i="14" s="1"/>
  <c r="CZ68" i="13"/>
  <c r="CZ67" i="13"/>
  <c r="CG67" i="13"/>
  <c r="CG68" i="13"/>
  <c r="DS68" i="13"/>
  <c r="DS67" i="13"/>
  <c r="BN68" i="13"/>
  <c r="BN67" i="13"/>
  <c r="EW25" i="13"/>
  <c r="EW14" i="13"/>
  <c r="EW9" i="13"/>
  <c r="EW12" i="13"/>
  <c r="EW27" i="13"/>
  <c r="EX21" i="13"/>
  <c r="FE24" i="13"/>
  <c r="EW19" i="13"/>
  <c r="EW16" i="13"/>
  <c r="EW11" i="13"/>
  <c r="EW10" i="13"/>
  <c r="EX26" i="13"/>
  <c r="EX23" i="13"/>
  <c r="EX20" i="13"/>
  <c r="FC12" i="13"/>
  <c r="FC27" i="13"/>
  <c r="FD21" i="13"/>
  <c r="EK21" i="13" s="1"/>
  <c r="K21" i="39" s="1"/>
  <c r="M21" i="39" s="1"/>
  <c r="FC25" i="13"/>
  <c r="FC19" i="13"/>
  <c r="FC14" i="13"/>
  <c r="FC9" i="13"/>
  <c r="FC16" i="13"/>
  <c r="FC11" i="13"/>
  <c r="FC10" i="13"/>
  <c r="FD23" i="13"/>
  <c r="EK23" i="13" s="1"/>
  <c r="K23" i="39" s="1"/>
  <c r="M23" i="39" s="1"/>
  <c r="FD20" i="13"/>
  <c r="EK20" i="13" s="1"/>
  <c r="K20" i="39" s="1"/>
  <c r="M20" i="39" s="1"/>
  <c r="FD26" i="13"/>
  <c r="DW11" i="13"/>
  <c r="N12" i="18"/>
  <c r="N10" i="18"/>
  <c r="N9" i="18"/>
  <c r="DW20" i="13"/>
  <c r="EC21" i="13"/>
  <c r="EP17" i="13"/>
  <c r="Z17" i="13" s="1"/>
  <c r="EP28" i="13"/>
  <c r="Z28" i="13" s="1"/>
  <c r="EP29" i="13"/>
  <c r="Z29" i="13" s="1"/>
  <c r="EP15" i="13"/>
  <c r="Z15" i="13" s="1"/>
  <c r="BN66" i="13"/>
  <c r="BN53" i="13"/>
  <c r="BN55" i="13" s="1"/>
  <c r="CZ53" i="13"/>
  <c r="CZ55" i="13" s="1"/>
  <c r="CZ66" i="13"/>
  <c r="EP8" i="13"/>
  <c r="Z8" i="13" s="1"/>
  <c r="EP18" i="13"/>
  <c r="Z18" i="13" s="1"/>
  <c r="CG53" i="13"/>
  <c r="CG55" i="13" s="1"/>
  <c r="CG66" i="13"/>
  <c r="J59" i="13"/>
  <c r="DS66" i="13"/>
  <c r="DS53" i="13"/>
  <c r="DS55" i="13" s="1"/>
  <c r="EP13" i="13"/>
  <c r="Z13" i="13" s="1"/>
  <c r="EC26" i="13"/>
  <c r="DW21" i="13"/>
  <c r="EC20" i="13"/>
  <c r="AC54" i="13"/>
  <c r="C10" i="14" s="1"/>
  <c r="AC53" i="13"/>
  <c r="EA26" i="13"/>
  <c r="L50" i="23"/>
  <c r="L49" i="23"/>
  <c r="L48" i="23"/>
  <c r="EH24" i="13"/>
  <c r="EC23" i="13"/>
  <c r="DW23" i="13"/>
  <c r="EH22" i="13"/>
  <c r="L46" i="23"/>
  <c r="DX26" i="13"/>
  <c r="DW26" i="13"/>
  <c r="DZ17" i="13"/>
  <c r="DV26" i="13"/>
  <c r="EV11" i="13"/>
  <c r="AE11" i="39" s="1"/>
  <c r="EV27" i="13"/>
  <c r="AE27" i="39" s="1"/>
  <c r="L44" i="23"/>
  <c r="DY26" i="13"/>
  <c r="L42" i="23"/>
  <c r="L45" i="23"/>
  <c r="L47" i="23"/>
  <c r="DZ26" i="13"/>
  <c r="DZ29" i="13"/>
  <c r="L43" i="23"/>
  <c r="EC8" i="13"/>
  <c r="DW8" i="13"/>
  <c r="N41" i="18"/>
  <c r="N39" i="18"/>
  <c r="N28" i="18"/>
  <c r="N33" i="18"/>
  <c r="N31" i="18"/>
  <c r="N25" i="18"/>
  <c r="N27" i="18"/>
  <c r="N38" i="18"/>
  <c r="N44" i="18"/>
  <c r="N42" i="18"/>
  <c r="N49" i="18"/>
  <c r="N26" i="18"/>
  <c r="N36" i="18"/>
  <c r="N14" i="18"/>
  <c r="N17" i="18"/>
  <c r="N29" i="18"/>
  <c r="N37" i="18"/>
  <c r="N45" i="18"/>
  <c r="N19" i="18"/>
  <c r="N35" i="18"/>
  <c r="N47" i="18"/>
  <c r="N18" i="18"/>
  <c r="N30" i="18"/>
  <c r="N46" i="18"/>
  <c r="N16" i="18"/>
  <c r="N32" i="18"/>
  <c r="N40" i="18"/>
  <c r="N48" i="18"/>
  <c r="N15" i="18"/>
  <c r="N43" i="18"/>
  <c r="N34" i="18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7" i="4"/>
  <c r="EM24" i="13" l="1"/>
  <c r="H24" i="39"/>
  <c r="EM22" i="13"/>
  <c r="H22" i="39"/>
  <c r="EV29" i="13"/>
  <c r="AE29" i="39" s="1"/>
  <c r="FG22" i="13"/>
  <c r="AC69" i="13"/>
  <c r="C26" i="14" s="1"/>
  <c r="AC55" i="13"/>
  <c r="C11" i="14" s="1"/>
  <c r="FJ54" i="13" s="1"/>
  <c r="AA22" i="38"/>
  <c r="AC57" i="13"/>
  <c r="C13" i="14" s="1"/>
  <c r="FF21" i="13"/>
  <c r="FK21" i="13"/>
  <c r="FF20" i="13"/>
  <c r="FK20" i="13"/>
  <c r="FK26" i="13"/>
  <c r="FF23" i="13"/>
  <c r="FK23" i="13"/>
  <c r="EV13" i="13"/>
  <c r="AE13" i="39" s="1"/>
  <c r="FF26" i="13"/>
  <c r="EV25" i="13"/>
  <c r="AE25" i="39" s="1"/>
  <c r="EV16" i="13"/>
  <c r="AE16" i="39" s="1"/>
  <c r="EV12" i="13"/>
  <c r="AE12" i="39" s="1"/>
  <c r="EV14" i="13"/>
  <c r="AE14" i="39" s="1"/>
  <c r="EV28" i="13"/>
  <c r="AE28" i="39" s="1"/>
  <c r="EV9" i="13"/>
  <c r="AE9" i="39" s="1"/>
  <c r="EV8" i="13"/>
  <c r="AE8" i="39" s="1"/>
  <c r="EV10" i="13"/>
  <c r="AE10" i="39" s="1"/>
  <c r="EV18" i="13"/>
  <c r="AE18" i="39" s="1"/>
  <c r="EV19" i="13"/>
  <c r="AE19" i="39" s="1"/>
  <c r="EV15" i="13"/>
  <c r="AE15" i="39" s="1"/>
  <c r="EV17" i="13"/>
  <c r="AE17" i="39" s="1"/>
  <c r="AD23" i="36"/>
  <c r="N26" i="34"/>
  <c r="S14" i="35"/>
  <c r="EY14" i="13"/>
  <c r="FE26" i="13"/>
  <c r="EK26" i="13"/>
  <c r="S37" i="35"/>
  <c r="S37" i="34"/>
  <c r="EX10" i="13"/>
  <c r="EC10" i="13"/>
  <c r="EX17" i="13"/>
  <c r="EC17" i="13"/>
  <c r="EX28" i="13"/>
  <c r="Q28" i="34"/>
  <c r="EX25" i="13"/>
  <c r="Q25" i="34"/>
  <c r="EX19" i="13"/>
  <c r="Q19" i="34"/>
  <c r="Q30" i="35"/>
  <c r="EX27" i="13"/>
  <c r="EX12" i="13"/>
  <c r="AH58" i="13"/>
  <c r="EX13" i="13"/>
  <c r="EC13" i="13"/>
  <c r="EX16" i="13"/>
  <c r="EC16" i="13"/>
  <c r="EX14" i="13"/>
  <c r="EX9" i="13"/>
  <c r="EX15" i="13"/>
  <c r="EC15" i="13"/>
  <c r="EX29" i="13"/>
  <c r="EX18" i="13"/>
  <c r="AG55" i="13"/>
  <c r="FA8" i="13"/>
  <c r="W8" i="35"/>
  <c r="FB11" i="13"/>
  <c r="Y11" i="35"/>
  <c r="FA19" i="13"/>
  <c r="FA11" i="13"/>
  <c r="CQ54" i="13"/>
  <c r="EY10" i="13"/>
  <c r="S10" i="34"/>
  <c r="EZ16" i="13"/>
  <c r="EE16" i="13"/>
  <c r="EZ27" i="13"/>
  <c r="U27" i="35"/>
  <c r="EZ11" i="13"/>
  <c r="U11" i="35"/>
  <c r="EZ9" i="13"/>
  <c r="FA25" i="13"/>
  <c r="W25" i="34"/>
  <c r="EZ29" i="13"/>
  <c r="EY27" i="13"/>
  <c r="S27" i="34"/>
  <c r="EZ25" i="13"/>
  <c r="U25" i="35"/>
  <c r="FB15" i="13"/>
  <c r="Y15" i="34"/>
  <c r="FA27" i="13"/>
  <c r="W27" i="34"/>
  <c r="FA28" i="13"/>
  <c r="EF28" i="13"/>
  <c r="FA9" i="13"/>
  <c r="W9" i="34"/>
  <c r="FA12" i="13"/>
  <c r="W12" i="35"/>
  <c r="FA10" i="13"/>
  <c r="W10" i="34"/>
  <c r="EY11" i="13"/>
  <c r="S11" i="35"/>
  <c r="FA14" i="13"/>
  <c r="W14" i="35"/>
  <c r="EY9" i="13"/>
  <c r="S9" i="34"/>
  <c r="EY12" i="13"/>
  <c r="BB54" i="13"/>
  <c r="EZ14" i="13"/>
  <c r="U14" i="35"/>
  <c r="FB10" i="13"/>
  <c r="Y10" i="34"/>
  <c r="FB28" i="13"/>
  <c r="Y28" i="35"/>
  <c r="FB14" i="13"/>
  <c r="Y14" i="35"/>
  <c r="FB29" i="13"/>
  <c r="Y29" i="35"/>
  <c r="FB19" i="13"/>
  <c r="Y19" i="34"/>
  <c r="FB25" i="13"/>
  <c r="Y25" i="34"/>
  <c r="FA16" i="13"/>
  <c r="CL61" i="13"/>
  <c r="FA13" i="13"/>
  <c r="W13" i="35"/>
  <c r="FA17" i="13"/>
  <c r="W17" i="34"/>
  <c r="FA18" i="13"/>
  <c r="EF18" i="13"/>
  <c r="EZ8" i="13"/>
  <c r="U8" i="34"/>
  <c r="FB12" i="13"/>
  <c r="DG60" i="13"/>
  <c r="Z26" i="36"/>
  <c r="AF26" i="36" s="1"/>
  <c r="EY28" i="13"/>
  <c r="S28" i="34"/>
  <c r="FA15" i="13"/>
  <c r="EF15" i="13"/>
  <c r="FB17" i="13"/>
  <c r="Y17" i="34"/>
  <c r="EZ18" i="13"/>
  <c r="U18" i="34"/>
  <c r="W37" i="34"/>
  <c r="EZ19" i="13"/>
  <c r="U19" i="35"/>
  <c r="FB16" i="13"/>
  <c r="Y16" i="34"/>
  <c r="EY13" i="13"/>
  <c r="S13" i="34"/>
  <c r="EZ17" i="13"/>
  <c r="U17" i="35"/>
  <c r="EY25" i="13"/>
  <c r="S25" i="34"/>
  <c r="EZ28" i="13"/>
  <c r="U28" i="35"/>
  <c r="FB27" i="13"/>
  <c r="Y27" i="34"/>
  <c r="FA29" i="13"/>
  <c r="AA35" i="38"/>
  <c r="EZ12" i="13"/>
  <c r="BU55" i="13"/>
  <c r="EY8" i="13"/>
  <c r="FB8" i="13"/>
  <c r="EG8" i="13"/>
  <c r="EZ10" i="13"/>
  <c r="EE10" i="13"/>
  <c r="EY16" i="13"/>
  <c r="ED16" i="13"/>
  <c r="EY15" i="13"/>
  <c r="S15" i="35"/>
  <c r="FB13" i="13"/>
  <c r="Y13" i="35"/>
  <c r="EZ13" i="13"/>
  <c r="U13" i="35"/>
  <c r="EY18" i="13"/>
  <c r="S18" i="34"/>
  <c r="AA34" i="38"/>
  <c r="Y36" i="34"/>
  <c r="EZ15" i="13"/>
  <c r="U15" i="35"/>
  <c r="EY17" i="13"/>
  <c r="S17" i="34"/>
  <c r="EY19" i="13"/>
  <c r="S19" i="35"/>
  <c r="EY29" i="13"/>
  <c r="ED29" i="13"/>
  <c r="S32" i="35"/>
  <c r="FB9" i="13"/>
  <c r="Y9" i="35"/>
  <c r="FB18" i="13"/>
  <c r="Y18" i="34"/>
  <c r="FI24" i="13"/>
  <c r="W40" i="34"/>
  <c r="W40" i="35"/>
  <c r="EG26" i="13"/>
  <c r="Y26" i="34"/>
  <c r="Y26" i="35"/>
  <c r="Y34" i="35"/>
  <c r="Y34" i="34"/>
  <c r="N40" i="34"/>
  <c r="N40" i="35"/>
  <c r="S39" i="35"/>
  <c r="S39" i="34"/>
  <c r="W12" i="34"/>
  <c r="N45" i="34"/>
  <c r="N45" i="35"/>
  <c r="N34" i="34"/>
  <c r="N34" i="35"/>
  <c r="P9" i="34"/>
  <c r="P9" i="35"/>
  <c r="P12" i="34"/>
  <c r="P12" i="35"/>
  <c r="Q34" i="34"/>
  <c r="Q34" i="35"/>
  <c r="Q8" i="34"/>
  <c r="Q8" i="35"/>
  <c r="Y39" i="35"/>
  <c r="Y39" i="34"/>
  <c r="Y45" i="34"/>
  <c r="Y45" i="35"/>
  <c r="W42" i="35"/>
  <c r="W42" i="34"/>
  <c r="W37" i="35"/>
  <c r="W31" i="35"/>
  <c r="W31" i="34"/>
  <c r="Y44" i="35"/>
  <c r="Y44" i="34"/>
  <c r="Y42" i="34"/>
  <c r="Y42" i="35"/>
  <c r="N31" i="34"/>
  <c r="N31" i="35"/>
  <c r="N27" i="34"/>
  <c r="N27" i="35"/>
  <c r="P45" i="34"/>
  <c r="P45" i="35"/>
  <c r="P26" i="34"/>
  <c r="P26" i="35"/>
  <c r="P16" i="34"/>
  <c r="P16" i="35"/>
  <c r="P32" i="34"/>
  <c r="P32" i="35"/>
  <c r="P39" i="34"/>
  <c r="P39" i="35"/>
  <c r="P27" i="35"/>
  <c r="P27" i="34"/>
  <c r="N29" i="34"/>
  <c r="N29" i="35"/>
  <c r="Q23" i="34"/>
  <c r="Q23" i="35"/>
  <c r="N8" i="35"/>
  <c r="N8" i="34"/>
  <c r="EF26" i="13"/>
  <c r="W26" i="34"/>
  <c r="W26" i="35"/>
  <c r="S38" i="34"/>
  <c r="S38" i="35"/>
  <c r="S43" i="34"/>
  <c r="S43" i="35"/>
  <c r="W44" i="34"/>
  <c r="W44" i="35"/>
  <c r="W36" i="34"/>
  <c r="W43" i="34"/>
  <c r="W43" i="35"/>
  <c r="W11" i="34"/>
  <c r="Y33" i="34"/>
  <c r="Y33" i="35"/>
  <c r="N30" i="34"/>
  <c r="N30" i="35"/>
  <c r="N25" i="35"/>
  <c r="N25" i="34"/>
  <c r="Y40" i="35"/>
  <c r="Y40" i="34"/>
  <c r="S34" i="35"/>
  <c r="S34" i="34"/>
  <c r="N11" i="34"/>
  <c r="N11" i="35"/>
  <c r="Y36" i="35"/>
  <c r="N42" i="34"/>
  <c r="N42" i="35"/>
  <c r="N38" i="35"/>
  <c r="N38" i="34"/>
  <c r="N19" i="35"/>
  <c r="N19" i="34"/>
  <c r="N13" i="34"/>
  <c r="N13" i="35"/>
  <c r="N41" i="34"/>
  <c r="N41" i="35"/>
  <c r="N18" i="34"/>
  <c r="N18" i="35"/>
  <c r="P10" i="34"/>
  <c r="P10" i="35"/>
  <c r="Q31" i="34"/>
  <c r="Q31" i="35"/>
  <c r="Q41" i="34"/>
  <c r="Q41" i="35"/>
  <c r="Q20" i="35"/>
  <c r="Q20" i="34"/>
  <c r="Q11" i="34"/>
  <c r="Q11" i="35"/>
  <c r="DZ28" i="13"/>
  <c r="Y46" i="35"/>
  <c r="Y46" i="34"/>
  <c r="Y35" i="35"/>
  <c r="Y35" i="34"/>
  <c r="S32" i="34"/>
  <c r="S35" i="34"/>
  <c r="S35" i="35"/>
  <c r="Y32" i="34"/>
  <c r="Y32" i="35"/>
  <c r="W38" i="34"/>
  <c r="W38" i="35"/>
  <c r="S40" i="34"/>
  <c r="S40" i="35"/>
  <c r="W19" i="34"/>
  <c r="Y29" i="34"/>
  <c r="N35" i="35"/>
  <c r="N35" i="34"/>
  <c r="Y41" i="34"/>
  <c r="Y41" i="35"/>
  <c r="N10" i="34"/>
  <c r="N10" i="35"/>
  <c r="Q21" i="34"/>
  <c r="Q21" i="35"/>
  <c r="Y37" i="34"/>
  <c r="Y37" i="35"/>
  <c r="N9" i="34"/>
  <c r="N9" i="35"/>
  <c r="X22" i="29"/>
  <c r="AA22" i="29" s="1"/>
  <c r="N16" i="35"/>
  <c r="N16" i="34"/>
  <c r="P14" i="34"/>
  <c r="P14" i="35"/>
  <c r="P15" i="34"/>
  <c r="P15" i="35"/>
  <c r="P35" i="35"/>
  <c r="P35" i="34"/>
  <c r="P37" i="34"/>
  <c r="P37" i="35"/>
  <c r="N39" i="35"/>
  <c r="N39" i="34"/>
  <c r="N17" i="34"/>
  <c r="N17" i="35"/>
  <c r="N44" i="35"/>
  <c r="N44" i="34"/>
  <c r="Q42" i="35"/>
  <c r="Q42" i="34"/>
  <c r="Q38" i="34"/>
  <c r="Q38" i="35"/>
  <c r="Y38" i="34"/>
  <c r="Y38" i="35"/>
  <c r="Y43" i="34"/>
  <c r="Y43" i="35"/>
  <c r="S36" i="35"/>
  <c r="S36" i="34"/>
  <c r="ED26" i="13"/>
  <c r="S26" i="34"/>
  <c r="S26" i="35"/>
  <c r="N12" i="35"/>
  <c r="N12" i="34"/>
  <c r="W34" i="35"/>
  <c r="W34" i="34"/>
  <c r="Y31" i="35"/>
  <c r="Y31" i="34"/>
  <c r="W41" i="34"/>
  <c r="W41" i="35"/>
  <c r="W33" i="34"/>
  <c r="W33" i="35"/>
  <c r="Y25" i="35"/>
  <c r="S31" i="34"/>
  <c r="S31" i="35"/>
  <c r="S41" i="34"/>
  <c r="S41" i="35"/>
  <c r="S33" i="34"/>
  <c r="S33" i="35"/>
  <c r="W46" i="35"/>
  <c r="W46" i="34"/>
  <c r="W35" i="34"/>
  <c r="W35" i="35"/>
  <c r="S42" i="35"/>
  <c r="S42" i="34"/>
  <c r="W39" i="34"/>
  <c r="W39" i="35"/>
  <c r="W45" i="35"/>
  <c r="W45" i="34"/>
  <c r="N46" i="34"/>
  <c r="N46" i="35"/>
  <c r="N14" i="34"/>
  <c r="N14" i="35"/>
  <c r="W32" i="34"/>
  <c r="W32" i="35"/>
  <c r="N32" i="34"/>
  <c r="N32" i="35"/>
  <c r="N37" i="34"/>
  <c r="N37" i="35"/>
  <c r="P46" i="35"/>
  <c r="P46" i="34"/>
  <c r="P36" i="35"/>
  <c r="P36" i="34"/>
  <c r="P33" i="34"/>
  <c r="P33" i="35"/>
  <c r="P40" i="34"/>
  <c r="P40" i="35"/>
  <c r="P43" i="35"/>
  <c r="P43" i="34"/>
  <c r="P18" i="35"/>
  <c r="P18" i="34"/>
  <c r="P29" i="34"/>
  <c r="P29" i="35"/>
  <c r="P13" i="35"/>
  <c r="P13" i="34"/>
  <c r="P17" i="34"/>
  <c r="P17" i="35"/>
  <c r="N33" i="34"/>
  <c r="N33" i="35"/>
  <c r="N15" i="34"/>
  <c r="N15" i="35"/>
  <c r="N36" i="34"/>
  <c r="N36" i="35"/>
  <c r="N28" i="34"/>
  <c r="N28" i="35"/>
  <c r="N43" i="34"/>
  <c r="N43" i="35"/>
  <c r="Q22" i="34"/>
  <c r="Q22" i="35"/>
  <c r="Q44" i="35"/>
  <c r="Q44" i="34"/>
  <c r="Q25" i="35"/>
  <c r="DZ13" i="13"/>
  <c r="DZ18" i="13"/>
  <c r="DZ9" i="13"/>
  <c r="EE26" i="13"/>
  <c r="U26" i="35"/>
  <c r="U26" i="34"/>
  <c r="U35" i="34"/>
  <c r="U35" i="35"/>
  <c r="U34" i="35"/>
  <c r="U34" i="34"/>
  <c r="U44" i="34"/>
  <c r="U44" i="35"/>
  <c r="U46" i="34"/>
  <c r="U46" i="35"/>
  <c r="U42" i="34"/>
  <c r="U42" i="35"/>
  <c r="U39" i="34"/>
  <c r="U39" i="35"/>
  <c r="U36" i="35"/>
  <c r="U36" i="34"/>
  <c r="U38" i="35"/>
  <c r="U38" i="34"/>
  <c r="U33" i="35"/>
  <c r="U33" i="34"/>
  <c r="U37" i="34"/>
  <c r="U37" i="35"/>
  <c r="U32" i="34"/>
  <c r="U32" i="35"/>
  <c r="U40" i="34"/>
  <c r="U40" i="35"/>
  <c r="U31" i="34"/>
  <c r="U31" i="35"/>
  <c r="U41" i="35"/>
  <c r="U41" i="34"/>
  <c r="U43" i="34"/>
  <c r="U43" i="35"/>
  <c r="U45" i="35"/>
  <c r="U45" i="34"/>
  <c r="Z22" i="35"/>
  <c r="AA22" i="35" s="1"/>
  <c r="AB22" i="35" s="1"/>
  <c r="Z22" i="34"/>
  <c r="AA22" i="34" s="1"/>
  <c r="AB22" i="34" s="1"/>
  <c r="H23" i="14"/>
  <c r="BN69" i="13"/>
  <c r="E24" i="14"/>
  <c r="CG69" i="13"/>
  <c r="H24" i="14"/>
  <c r="G24" i="14"/>
  <c r="F23" i="14"/>
  <c r="G23" i="14"/>
  <c r="E25" i="14"/>
  <c r="F24" i="14"/>
  <c r="F25" i="14"/>
  <c r="H25" i="14"/>
  <c r="G25" i="14"/>
  <c r="E23" i="14"/>
  <c r="EW18" i="13"/>
  <c r="EW29" i="13"/>
  <c r="EW17" i="13"/>
  <c r="EW15" i="13"/>
  <c r="EW28" i="13"/>
  <c r="EW13" i="13"/>
  <c r="EW8" i="13"/>
  <c r="H9" i="14"/>
  <c r="EA18" i="13"/>
  <c r="FC18" i="13"/>
  <c r="FE23" i="13"/>
  <c r="DY25" i="13"/>
  <c r="FC15" i="13"/>
  <c r="DZ27" i="13"/>
  <c r="FC29" i="13"/>
  <c r="FC17" i="13"/>
  <c r="FD9" i="13"/>
  <c r="FD11" i="13"/>
  <c r="FC28" i="13"/>
  <c r="FC13" i="13"/>
  <c r="FC8" i="13"/>
  <c r="FE20" i="13"/>
  <c r="FE21" i="13"/>
  <c r="FD13" i="13"/>
  <c r="FD8" i="13"/>
  <c r="FD12" i="13"/>
  <c r="EK12" i="13" s="1"/>
  <c r="K12" i="39" s="1"/>
  <c r="M12" i="39" s="1"/>
  <c r="FD17" i="13"/>
  <c r="FD29" i="13"/>
  <c r="FD18" i="13"/>
  <c r="FD15" i="13"/>
  <c r="FD16" i="13"/>
  <c r="FD28" i="13"/>
  <c r="FD27" i="13"/>
  <c r="FD25" i="13"/>
  <c r="FD10" i="13"/>
  <c r="FD19" i="13"/>
  <c r="FD14" i="13"/>
  <c r="DX14" i="13"/>
  <c r="EA25" i="13"/>
  <c r="BR67" i="13"/>
  <c r="EA15" i="13"/>
  <c r="DV13" i="13"/>
  <c r="EA19" i="13"/>
  <c r="EA27" i="13"/>
  <c r="DX27" i="13"/>
  <c r="DW14" i="13"/>
  <c r="EA29" i="13"/>
  <c r="AE64" i="13"/>
  <c r="AL64" i="13"/>
  <c r="AY67" i="13"/>
  <c r="BE65" i="13"/>
  <c r="BX65" i="13"/>
  <c r="AM65" i="13"/>
  <c r="CS67" i="13"/>
  <c r="DV18" i="13"/>
  <c r="BS66" i="13"/>
  <c r="BA65" i="13"/>
  <c r="BT64" i="13"/>
  <c r="CK64" i="13"/>
  <c r="BR64" i="13"/>
  <c r="DY12" i="13"/>
  <c r="DX25" i="13"/>
  <c r="DW29" i="13"/>
  <c r="DX29" i="13"/>
  <c r="AG65" i="13"/>
  <c r="DF67" i="13"/>
  <c r="CQ66" i="13"/>
  <c r="BD66" i="13"/>
  <c r="DL65" i="13"/>
  <c r="DE65" i="13"/>
  <c r="CP67" i="13"/>
  <c r="BF64" i="13"/>
  <c r="BZ67" i="13"/>
  <c r="CL66" i="13"/>
  <c r="BG66" i="13"/>
  <c r="AJ66" i="13"/>
  <c r="DD66" i="13"/>
  <c r="DK64" i="13"/>
  <c r="DJ64" i="13"/>
  <c r="DI66" i="13"/>
  <c r="CR67" i="13"/>
  <c r="CM64" i="13"/>
  <c r="BY64" i="13"/>
  <c r="BW67" i="13"/>
  <c r="AZ66" i="13"/>
  <c r="EL22" i="13"/>
  <c r="EI22" i="13"/>
  <c r="C9" i="14"/>
  <c r="BD61" i="13"/>
  <c r="BD60" i="13"/>
  <c r="BD59" i="13"/>
  <c r="BD58" i="13"/>
  <c r="BD56" i="13"/>
  <c r="BD55" i="13"/>
  <c r="BD54" i="13"/>
  <c r="BD57" i="13"/>
  <c r="CS59" i="13"/>
  <c r="CS57" i="13"/>
  <c r="CS58" i="13"/>
  <c r="CS60" i="13"/>
  <c r="CS56" i="13"/>
  <c r="CS55" i="13"/>
  <c r="CS54" i="13"/>
  <c r="CS61" i="13"/>
  <c r="CP58" i="13"/>
  <c r="CP56" i="13"/>
  <c r="CP55" i="13"/>
  <c r="CP54" i="13"/>
  <c r="CP61" i="13"/>
  <c r="CP57" i="13"/>
  <c r="CP59" i="13"/>
  <c r="CP60" i="13"/>
  <c r="EH20" i="13"/>
  <c r="E9" i="14"/>
  <c r="BN54" i="13"/>
  <c r="AJ64" i="13"/>
  <c r="DK66" i="13"/>
  <c r="DJ67" i="13"/>
  <c r="CR64" i="13"/>
  <c r="CQ67" i="13"/>
  <c r="CP64" i="13"/>
  <c r="BS65" i="13"/>
  <c r="BF65" i="13"/>
  <c r="BA67" i="13"/>
  <c r="BZ64" i="13"/>
  <c r="BT67" i="13"/>
  <c r="CK66" i="13"/>
  <c r="BD65" i="13"/>
  <c r="BR66" i="13"/>
  <c r="DV17" i="13"/>
  <c r="DX13" i="13"/>
  <c r="DY28" i="13"/>
  <c r="DY17" i="13"/>
  <c r="AE65" i="13"/>
  <c r="AJ65" i="13"/>
  <c r="AL67" i="13"/>
  <c r="AM66" i="13"/>
  <c r="AG66" i="13"/>
  <c r="DD67" i="13"/>
  <c r="DK67" i="13"/>
  <c r="DL66" i="13"/>
  <c r="DJ66" i="13"/>
  <c r="DF65" i="13"/>
  <c r="DI64" i="13"/>
  <c r="DE66" i="13"/>
  <c r="CR65" i="13"/>
  <c r="CS65" i="13"/>
  <c r="CQ64" i="13"/>
  <c r="CM65" i="13"/>
  <c r="CP65" i="13"/>
  <c r="AY64" i="13"/>
  <c r="BS64" i="13"/>
  <c r="BF66" i="13"/>
  <c r="BE67" i="13"/>
  <c r="BA64" i="13"/>
  <c r="BY65" i="13"/>
  <c r="BZ65" i="13"/>
  <c r="BX66" i="13"/>
  <c r="BT65" i="13"/>
  <c r="BW64" i="13"/>
  <c r="CL67" i="13"/>
  <c r="CK67" i="13"/>
  <c r="AZ67" i="13"/>
  <c r="BG67" i="13"/>
  <c r="BD67" i="13"/>
  <c r="BF61" i="13"/>
  <c r="BF59" i="13"/>
  <c r="BF57" i="13"/>
  <c r="BF56" i="13"/>
  <c r="BF55" i="13"/>
  <c r="BF54" i="13"/>
  <c r="BF60" i="13"/>
  <c r="BF58" i="13"/>
  <c r="BE57" i="13"/>
  <c r="BZ59" i="13"/>
  <c r="BZ55" i="13"/>
  <c r="BZ54" i="13"/>
  <c r="BZ57" i="13"/>
  <c r="BZ60" i="13"/>
  <c r="BZ56" i="13"/>
  <c r="BZ61" i="13"/>
  <c r="BZ58" i="13"/>
  <c r="EL24" i="13"/>
  <c r="EI24" i="13"/>
  <c r="DG66" i="13"/>
  <c r="DD54" i="13"/>
  <c r="DG64" i="13"/>
  <c r="CN66" i="13"/>
  <c r="CN65" i="13"/>
  <c r="BU66" i="13"/>
  <c r="BU65" i="13"/>
  <c r="DG65" i="13"/>
  <c r="CN67" i="13"/>
  <c r="DG67" i="13"/>
  <c r="CN64" i="13"/>
  <c r="BU64" i="13"/>
  <c r="CK54" i="13"/>
  <c r="DG59" i="13"/>
  <c r="BU67" i="13"/>
  <c r="BB67" i="13"/>
  <c r="BB66" i="13"/>
  <c r="BB65" i="13"/>
  <c r="BB64" i="13"/>
  <c r="AY54" i="13"/>
  <c r="AH66" i="13"/>
  <c r="AH60" i="13"/>
  <c r="AH65" i="13"/>
  <c r="AH59" i="13"/>
  <c r="AH67" i="13"/>
  <c r="AH57" i="13"/>
  <c r="AH64" i="13"/>
  <c r="BR54" i="13"/>
  <c r="CR60" i="13"/>
  <c r="CR56" i="13"/>
  <c r="CR55" i="13"/>
  <c r="CR54" i="13"/>
  <c r="CR59" i="13"/>
  <c r="CR61" i="13"/>
  <c r="CR57" i="13"/>
  <c r="CR58" i="13"/>
  <c r="BG57" i="13"/>
  <c r="BG56" i="13"/>
  <c r="BG55" i="13"/>
  <c r="BG54" i="13"/>
  <c r="BG61" i="13"/>
  <c r="BG60" i="13"/>
  <c r="BG59" i="13"/>
  <c r="BG58" i="13"/>
  <c r="CQ57" i="13"/>
  <c r="BY60" i="13"/>
  <c r="BY56" i="13"/>
  <c r="BY55" i="13"/>
  <c r="BY54" i="13"/>
  <c r="BY61" i="13"/>
  <c r="BY57" i="13"/>
  <c r="BY58" i="13"/>
  <c r="BY59" i="13"/>
  <c r="BW58" i="13"/>
  <c r="BW56" i="13"/>
  <c r="BW55" i="13"/>
  <c r="BW54" i="13"/>
  <c r="BW59" i="13"/>
  <c r="BW60" i="13"/>
  <c r="BW61" i="13"/>
  <c r="BW57" i="13"/>
  <c r="EH21" i="13"/>
  <c r="F9" i="14"/>
  <c r="CG54" i="13"/>
  <c r="G9" i="14"/>
  <c r="CZ54" i="13"/>
  <c r="CZ69" i="13"/>
  <c r="AE66" i="13"/>
  <c r="AL66" i="13"/>
  <c r="AM64" i="13"/>
  <c r="AG67" i="13"/>
  <c r="DD65" i="13"/>
  <c r="DL64" i="13"/>
  <c r="DF64" i="13"/>
  <c r="DI65" i="13"/>
  <c r="DE67" i="13"/>
  <c r="CS64" i="13"/>
  <c r="CM67" i="13"/>
  <c r="AY66" i="13"/>
  <c r="BE64" i="13"/>
  <c r="BY67" i="13"/>
  <c r="BX67" i="13"/>
  <c r="BW66" i="13"/>
  <c r="CL65" i="13"/>
  <c r="AZ65" i="13"/>
  <c r="BG65" i="13"/>
  <c r="EB28" i="13"/>
  <c r="AE67" i="13"/>
  <c r="AJ67" i="13"/>
  <c r="AL65" i="13"/>
  <c r="AM67" i="13"/>
  <c r="AG64" i="13"/>
  <c r="DD64" i="13"/>
  <c r="DK65" i="13"/>
  <c r="DL67" i="13"/>
  <c r="DJ65" i="13"/>
  <c r="DF66" i="13"/>
  <c r="DI67" i="13"/>
  <c r="DE64" i="13"/>
  <c r="CR66" i="13"/>
  <c r="CS66" i="13"/>
  <c r="CQ65" i="13"/>
  <c r="CM66" i="13"/>
  <c r="CP66" i="13"/>
  <c r="AY65" i="13"/>
  <c r="BS67" i="13"/>
  <c r="BF67" i="13"/>
  <c r="BE66" i="13"/>
  <c r="BA66" i="13"/>
  <c r="BY66" i="13"/>
  <c r="BZ66" i="13"/>
  <c r="BX64" i="13"/>
  <c r="BT66" i="13"/>
  <c r="BW65" i="13"/>
  <c r="CL64" i="13"/>
  <c r="CK65" i="13"/>
  <c r="AZ64" i="13"/>
  <c r="BG64" i="13"/>
  <c r="BD64" i="13"/>
  <c r="BR65" i="13"/>
  <c r="DI60" i="13"/>
  <c r="DI56" i="13"/>
  <c r="DI55" i="13"/>
  <c r="DI54" i="13"/>
  <c r="DI59" i="13"/>
  <c r="DI61" i="13"/>
  <c r="DI57" i="13"/>
  <c r="DI58" i="13"/>
  <c r="DE56" i="13"/>
  <c r="DF56" i="13"/>
  <c r="DD60" i="13"/>
  <c r="DD56" i="13"/>
  <c r="DD55" i="13"/>
  <c r="DD58" i="13"/>
  <c r="DD61" i="13"/>
  <c r="DD57" i="13"/>
  <c r="DD59" i="13"/>
  <c r="EA9" i="13"/>
  <c r="DS69" i="13"/>
  <c r="DS54" i="13"/>
  <c r="DL61" i="13"/>
  <c r="DL57" i="13"/>
  <c r="DL60" i="13"/>
  <c r="DL58" i="13"/>
  <c r="DL59" i="13"/>
  <c r="DL56" i="13"/>
  <c r="DL55" i="13"/>
  <c r="DL54" i="13"/>
  <c r="DK58" i="13"/>
  <c r="DK55" i="13"/>
  <c r="DK61" i="13"/>
  <c r="DK57" i="13"/>
  <c r="DK59" i="13"/>
  <c r="DK60" i="13"/>
  <c r="DK56" i="13"/>
  <c r="DK54" i="13"/>
  <c r="DJ55" i="13"/>
  <c r="DJ58" i="13"/>
  <c r="EA14" i="13"/>
  <c r="DX19" i="13"/>
  <c r="EC27" i="13"/>
  <c r="EC18" i="13"/>
  <c r="EB13" i="13"/>
  <c r="AJ60" i="13"/>
  <c r="AJ59" i="13"/>
  <c r="AJ58" i="13"/>
  <c r="AJ56" i="13"/>
  <c r="AJ55" i="13"/>
  <c r="AJ57" i="13"/>
  <c r="AJ61" i="13"/>
  <c r="AJ54" i="13"/>
  <c r="AL61" i="13"/>
  <c r="AL57" i="13"/>
  <c r="AL55" i="13"/>
  <c r="AL60" i="13"/>
  <c r="AL56" i="13"/>
  <c r="AL59" i="13"/>
  <c r="AL58" i="13"/>
  <c r="AL54" i="13"/>
  <c r="EC29" i="13"/>
  <c r="AM58" i="13"/>
  <c r="AM54" i="13"/>
  <c r="AM59" i="13"/>
  <c r="AM55" i="13"/>
  <c r="AM61" i="13"/>
  <c r="AM57" i="13"/>
  <c r="AM60" i="13"/>
  <c r="AM56" i="13"/>
  <c r="AE60" i="13"/>
  <c r="DW18" i="13"/>
  <c r="AC64" i="13"/>
  <c r="C20" i="14" s="1"/>
  <c r="AC60" i="13"/>
  <c r="C16" i="14" s="1"/>
  <c r="AC59" i="13"/>
  <c r="C15" i="14" s="1"/>
  <c r="AC61" i="13"/>
  <c r="C17" i="14" s="1"/>
  <c r="AC62" i="13"/>
  <c r="C18" i="14" s="1"/>
  <c r="AC58" i="13"/>
  <c r="C14" i="14" s="1"/>
  <c r="AC63" i="13"/>
  <c r="C19" i="14" s="1"/>
  <c r="DV12" i="13"/>
  <c r="I57" i="13"/>
  <c r="H57" i="13"/>
  <c r="H54" i="13"/>
  <c r="S64" i="13"/>
  <c r="S66" i="13"/>
  <c r="S60" i="13"/>
  <c r="S58" i="13"/>
  <c r="S56" i="13"/>
  <c r="I56" i="13"/>
  <c r="I54" i="13"/>
  <c r="H55" i="13"/>
  <c r="I55" i="13"/>
  <c r="S65" i="13"/>
  <c r="S67" i="13"/>
  <c r="S61" i="13"/>
  <c r="S59" i="13"/>
  <c r="S57" i="13"/>
  <c r="S55" i="13"/>
  <c r="S54" i="13"/>
  <c r="H56" i="13"/>
  <c r="V58" i="13"/>
  <c r="V54" i="13"/>
  <c r="V57" i="13"/>
  <c r="V59" i="13"/>
  <c r="V55" i="13"/>
  <c r="V60" i="13"/>
  <c r="V56" i="13"/>
  <c r="V61" i="13"/>
  <c r="R55" i="13"/>
  <c r="R54" i="13"/>
  <c r="R61" i="13"/>
  <c r="R60" i="13"/>
  <c r="R59" i="13"/>
  <c r="R58" i="13"/>
  <c r="R57" i="13"/>
  <c r="R56" i="13"/>
  <c r="U61" i="13"/>
  <c r="U60" i="13"/>
  <c r="U59" i="13"/>
  <c r="U58" i="13"/>
  <c r="U57" i="13"/>
  <c r="U56" i="13"/>
  <c r="U55" i="13"/>
  <c r="U54" i="13"/>
  <c r="N61" i="13"/>
  <c r="N60" i="13"/>
  <c r="N59" i="13"/>
  <c r="N58" i="13"/>
  <c r="N57" i="13"/>
  <c r="N56" i="13"/>
  <c r="N55" i="13"/>
  <c r="N54" i="13"/>
  <c r="W61" i="13"/>
  <c r="W60" i="13"/>
  <c r="W59" i="13"/>
  <c r="W58" i="13"/>
  <c r="W57" i="13"/>
  <c r="W56" i="13"/>
  <c r="W55" i="13"/>
  <c r="W54" i="13"/>
  <c r="Y60" i="13"/>
  <c r="Y58" i="13"/>
  <c r="Y56" i="13"/>
  <c r="Y54" i="13"/>
  <c r="Y61" i="13"/>
  <c r="Y59" i="13"/>
  <c r="Y57" i="13"/>
  <c r="Y55" i="13"/>
  <c r="V65" i="13"/>
  <c r="Y65" i="13"/>
  <c r="U64" i="13"/>
  <c r="N66" i="13"/>
  <c r="Y64" i="13"/>
  <c r="R65" i="13"/>
  <c r="DW27" i="13"/>
  <c r="W65" i="13"/>
  <c r="V67" i="13"/>
  <c r="N65" i="13"/>
  <c r="Y66" i="13"/>
  <c r="P66" i="13"/>
  <c r="U66" i="13"/>
  <c r="R64" i="13"/>
  <c r="P61" i="13"/>
  <c r="P60" i="13"/>
  <c r="P59" i="13"/>
  <c r="P58" i="13"/>
  <c r="P57" i="13"/>
  <c r="P56" i="13"/>
  <c r="P55" i="13"/>
  <c r="P54" i="13"/>
  <c r="W67" i="13"/>
  <c r="N67" i="13"/>
  <c r="P64" i="13"/>
  <c r="R66" i="13"/>
  <c r="W66" i="13"/>
  <c r="V66" i="13"/>
  <c r="P67" i="13"/>
  <c r="U67" i="13"/>
  <c r="EA12" i="13"/>
  <c r="W64" i="13"/>
  <c r="V64" i="13"/>
  <c r="N64" i="13"/>
  <c r="Y67" i="13"/>
  <c r="P65" i="13"/>
  <c r="U65" i="13"/>
  <c r="R67" i="13"/>
  <c r="DV28" i="13"/>
  <c r="EB17" i="13"/>
  <c r="EH23" i="13"/>
  <c r="EC14" i="13"/>
  <c r="EB18" i="13"/>
  <c r="EA11" i="13"/>
  <c r="DY16" i="13"/>
  <c r="DY9" i="13"/>
  <c r="DV14" i="13"/>
  <c r="EB14" i="13"/>
  <c r="DY13" i="13"/>
  <c r="DV10" i="13"/>
  <c r="EB10" i="13"/>
  <c r="DZ10" i="13"/>
  <c r="DX16" i="13"/>
  <c r="EB27" i="13"/>
  <c r="DV27" i="13"/>
  <c r="DW17" i="13"/>
  <c r="DW28" i="13"/>
  <c r="EC28" i="13"/>
  <c r="DW9" i="13"/>
  <c r="DW25" i="13"/>
  <c r="EA13" i="13"/>
  <c r="DZ15" i="13"/>
  <c r="EA17" i="13"/>
  <c r="DY18" i="13"/>
  <c r="DY27" i="13"/>
  <c r="DY11" i="13"/>
  <c r="DX18" i="13"/>
  <c r="EA28" i="13"/>
  <c r="DW12" i="13"/>
  <c r="EC12" i="13"/>
  <c r="DX15" i="13"/>
  <c r="DX28" i="13"/>
  <c r="DW19" i="13"/>
  <c r="EA16" i="13"/>
  <c r="DY10" i="13"/>
  <c r="DV15" i="13"/>
  <c r="EB15" i="13"/>
  <c r="DX11" i="13"/>
  <c r="DY14" i="13"/>
  <c r="EF19" i="13"/>
  <c r="DZ19" i="13"/>
  <c r="DV9" i="13"/>
  <c r="EB9" i="13"/>
  <c r="DY19" i="13"/>
  <c r="DV11" i="13"/>
  <c r="EB11" i="13"/>
  <c r="DV19" i="13"/>
  <c r="EB19" i="13"/>
  <c r="DX17" i="13"/>
  <c r="DY29" i="13"/>
  <c r="DV29" i="13"/>
  <c r="EB29" i="13"/>
  <c r="DW13" i="13"/>
  <c r="DW10" i="13"/>
  <c r="DW16" i="13"/>
  <c r="DZ14" i="13"/>
  <c r="DZ11" i="13"/>
  <c r="DX9" i="13"/>
  <c r="DX10" i="13"/>
  <c r="EB25" i="13"/>
  <c r="DV25" i="13"/>
  <c r="EA10" i="13"/>
  <c r="DZ25" i="13"/>
  <c r="DV16" i="13"/>
  <c r="EB16" i="13"/>
  <c r="DW15" i="13"/>
  <c r="DY15" i="13"/>
  <c r="EB12" i="13"/>
  <c r="DZ12" i="13"/>
  <c r="DX12" i="13"/>
  <c r="DZ8" i="13"/>
  <c r="DY8" i="13"/>
  <c r="EA8" i="13"/>
  <c r="ED8" i="13"/>
  <c r="DX8" i="13"/>
  <c r="EB8" i="13"/>
  <c r="DV8" i="13"/>
  <c r="EM23" i="13" l="1"/>
  <c r="FL23" i="13" s="1"/>
  <c r="H23" i="39"/>
  <c r="EJ22" i="13"/>
  <c r="J22" i="39" s="1"/>
  <c r="I22" i="39"/>
  <c r="FL24" i="13"/>
  <c r="AH24" i="39"/>
  <c r="EM21" i="13"/>
  <c r="H21" i="39"/>
  <c r="EM20" i="13"/>
  <c r="H20" i="39"/>
  <c r="FH22" i="13"/>
  <c r="AF22" i="39"/>
  <c r="EJ24" i="13"/>
  <c r="J24" i="39" s="1"/>
  <c r="I24" i="39"/>
  <c r="EH26" i="13"/>
  <c r="K26" i="39"/>
  <c r="M26" i="39" s="1"/>
  <c r="FK13" i="13"/>
  <c r="FK19" i="13"/>
  <c r="FK10" i="13"/>
  <c r="FK14" i="13"/>
  <c r="FK12" i="13"/>
  <c r="FK11" i="13"/>
  <c r="FK25" i="13"/>
  <c r="FK27" i="13"/>
  <c r="FK16" i="13"/>
  <c r="FK9" i="13"/>
  <c r="FK8" i="13"/>
  <c r="FK17" i="13"/>
  <c r="FK29" i="13"/>
  <c r="FK28" i="13"/>
  <c r="FK18" i="13"/>
  <c r="FK15" i="13"/>
  <c r="FF10" i="13"/>
  <c r="FE25" i="13"/>
  <c r="AA33" i="38"/>
  <c r="Y28" i="34"/>
  <c r="EG29" i="13"/>
  <c r="EG25" i="13"/>
  <c r="Y11" i="34"/>
  <c r="Y10" i="35"/>
  <c r="EG10" i="13"/>
  <c r="EG27" i="13"/>
  <c r="DS61" i="13"/>
  <c r="H17" i="14" s="1"/>
  <c r="EG9" i="13"/>
  <c r="EG28" i="13"/>
  <c r="EG18" i="13"/>
  <c r="EG15" i="13"/>
  <c r="Y15" i="35"/>
  <c r="EG17" i="13"/>
  <c r="EF25" i="13"/>
  <c r="W9" i="35"/>
  <c r="W10" i="35"/>
  <c r="W25" i="35"/>
  <c r="EF13" i="13"/>
  <c r="W15" i="35"/>
  <c r="EE27" i="13"/>
  <c r="EE25" i="13"/>
  <c r="EE14" i="13"/>
  <c r="EE8" i="13"/>
  <c r="EE11" i="13"/>
  <c r="EE18" i="13"/>
  <c r="U10" i="35"/>
  <c r="EE19" i="13"/>
  <c r="ED11" i="13"/>
  <c r="ED18" i="13"/>
  <c r="ED13" i="13"/>
  <c r="S25" i="35"/>
  <c r="Y9" i="34"/>
  <c r="W16" i="34"/>
  <c r="FF28" i="13"/>
  <c r="Y8" i="35"/>
  <c r="AA36" i="29"/>
  <c r="ED14" i="13"/>
  <c r="S8" i="35"/>
  <c r="AA33" i="29"/>
  <c r="Y30" i="35"/>
  <c r="AA36" i="38"/>
  <c r="EG11" i="13"/>
  <c r="DJ57" i="13"/>
  <c r="DM57" i="13" s="1"/>
  <c r="DF55" i="13"/>
  <c r="DE57" i="13"/>
  <c r="FF14" i="13"/>
  <c r="EG13" i="13"/>
  <c r="DJ56" i="13"/>
  <c r="DM56" i="13" s="1"/>
  <c r="DS60" i="13"/>
  <c r="H16" i="14" s="1"/>
  <c r="CN60" i="13"/>
  <c r="W28" i="35"/>
  <c r="CN59" i="13"/>
  <c r="FF9" i="13"/>
  <c r="CN54" i="13"/>
  <c r="CM59" i="13"/>
  <c r="CM58" i="13"/>
  <c r="FF13" i="13"/>
  <c r="BE56" i="13"/>
  <c r="BH56" i="13" s="1"/>
  <c r="FF17" i="13"/>
  <c r="FF15" i="13"/>
  <c r="ED12" i="13"/>
  <c r="S9" i="35"/>
  <c r="ED28" i="13"/>
  <c r="ED27" i="13"/>
  <c r="ED10" i="13"/>
  <c r="ED25" i="13"/>
  <c r="ED19" i="13"/>
  <c r="BE60" i="13"/>
  <c r="BH60" i="13" s="1"/>
  <c r="BE61" i="13"/>
  <c r="BH61" i="13" s="1"/>
  <c r="ED9" i="13"/>
  <c r="ED15" i="13"/>
  <c r="BE58" i="13"/>
  <c r="BH58" i="13" s="1"/>
  <c r="BE54" i="13"/>
  <c r="BH54" i="13" s="1"/>
  <c r="S11" i="34"/>
  <c r="S17" i="35"/>
  <c r="ED17" i="13"/>
  <c r="S10" i="35"/>
  <c r="FF29" i="13"/>
  <c r="FF16" i="13"/>
  <c r="BE55" i="13"/>
  <c r="BH55" i="13" s="1"/>
  <c r="BE59" i="13"/>
  <c r="BH59" i="13" s="1"/>
  <c r="S18" i="35"/>
  <c r="FF19" i="13"/>
  <c r="FF18" i="13"/>
  <c r="FF8" i="13"/>
  <c r="FF25" i="13"/>
  <c r="FF11" i="13"/>
  <c r="FF27" i="13"/>
  <c r="U27" i="34"/>
  <c r="U18" i="35"/>
  <c r="U10" i="34"/>
  <c r="U25" i="34"/>
  <c r="U14" i="34"/>
  <c r="FE12" i="13"/>
  <c r="FF12" i="13"/>
  <c r="Y18" i="35"/>
  <c r="Y27" i="35"/>
  <c r="Y8" i="34"/>
  <c r="EC25" i="13"/>
  <c r="AH55" i="13"/>
  <c r="AH61" i="13"/>
  <c r="AH54" i="13"/>
  <c r="AH56" i="13"/>
  <c r="EF8" i="13"/>
  <c r="EF10" i="13"/>
  <c r="CL56" i="13"/>
  <c r="W15" i="34"/>
  <c r="W19" i="35"/>
  <c r="W14" i="34"/>
  <c r="W30" i="34"/>
  <c r="W13" i="34"/>
  <c r="EF14" i="13"/>
  <c r="EF9" i="13"/>
  <c r="W30" i="35"/>
  <c r="W8" i="34"/>
  <c r="N62" i="13"/>
  <c r="Z23" i="36"/>
  <c r="AF23" i="36" s="1"/>
  <c r="EF29" i="13"/>
  <c r="H26" i="36"/>
  <c r="N26" i="36" s="1"/>
  <c r="S29" i="34"/>
  <c r="H24" i="36"/>
  <c r="N24" i="36" s="1"/>
  <c r="U30" i="34"/>
  <c r="Z25" i="36"/>
  <c r="AF25" i="36" s="1"/>
  <c r="S30" i="34"/>
  <c r="Z24" i="36"/>
  <c r="AF24" i="36" s="1"/>
  <c r="U29" i="34"/>
  <c r="H25" i="36"/>
  <c r="N25" i="36" s="1"/>
  <c r="CL58" i="13"/>
  <c r="AE59" i="13"/>
  <c r="H23" i="36"/>
  <c r="L23" i="36"/>
  <c r="H18" i="36"/>
  <c r="L18" i="36"/>
  <c r="EF12" i="13"/>
  <c r="EF11" i="13"/>
  <c r="EC19" i="13"/>
  <c r="EC9" i="13"/>
  <c r="EG12" i="13"/>
  <c r="DJ60" i="13"/>
  <c r="DM60" i="13" s="1"/>
  <c r="DJ59" i="13"/>
  <c r="DM59" i="13" s="1"/>
  <c r="DF61" i="13"/>
  <c r="DS58" i="13"/>
  <c r="H14" i="14" s="1"/>
  <c r="DE58" i="13"/>
  <c r="CQ55" i="13"/>
  <c r="CT55" i="13" s="1"/>
  <c r="DG61" i="13"/>
  <c r="CL57" i="13"/>
  <c r="CM60" i="13"/>
  <c r="Y12" i="35"/>
  <c r="W11" i="35"/>
  <c r="W28" i="34"/>
  <c r="EG16" i="13"/>
  <c r="AG58" i="13"/>
  <c r="DJ54" i="13"/>
  <c r="DM54" i="13" s="1"/>
  <c r="DJ61" i="13"/>
  <c r="DM61" i="13" s="1"/>
  <c r="DF60" i="13"/>
  <c r="DS62" i="13"/>
  <c r="H18" i="14" s="1"/>
  <c r="DE60" i="13"/>
  <c r="CQ60" i="13"/>
  <c r="CT60" i="13" s="1"/>
  <c r="CL60" i="13"/>
  <c r="CM54" i="13"/>
  <c r="Y16" i="35"/>
  <c r="EF16" i="13"/>
  <c r="W17" i="35"/>
  <c r="W27" i="35"/>
  <c r="Y30" i="34"/>
  <c r="FE28" i="13"/>
  <c r="EG14" i="13"/>
  <c r="DF57" i="13"/>
  <c r="DF54" i="13"/>
  <c r="EG19" i="13"/>
  <c r="DS63" i="13"/>
  <c r="H19" i="14" s="1"/>
  <c r="DS59" i="13"/>
  <c r="H15" i="14" s="1"/>
  <c r="DE55" i="13"/>
  <c r="DE59" i="13"/>
  <c r="CQ59" i="13"/>
  <c r="CT59" i="13" s="1"/>
  <c r="CQ58" i="13"/>
  <c r="CT58" i="13" s="1"/>
  <c r="CN58" i="13"/>
  <c r="DG58" i="13"/>
  <c r="CN56" i="13"/>
  <c r="DG57" i="13"/>
  <c r="DG56" i="13"/>
  <c r="DH56" i="13" s="1"/>
  <c r="CN61" i="13"/>
  <c r="CL55" i="13"/>
  <c r="CL59" i="13"/>
  <c r="CM61" i="13"/>
  <c r="CM56" i="13"/>
  <c r="U17" i="34"/>
  <c r="Y12" i="34"/>
  <c r="W16" i="35"/>
  <c r="EF17" i="13"/>
  <c r="W18" i="35"/>
  <c r="FE11" i="13"/>
  <c r="O26" i="35"/>
  <c r="DF59" i="13"/>
  <c r="DF58" i="13"/>
  <c r="DS64" i="13"/>
  <c r="H20" i="14" s="1"/>
  <c r="H13" i="14"/>
  <c r="DE54" i="13"/>
  <c r="DE61" i="13"/>
  <c r="CQ61" i="13"/>
  <c r="CT61" i="13" s="1"/>
  <c r="CQ56" i="13"/>
  <c r="CT56" i="13" s="1"/>
  <c r="EF27" i="13"/>
  <c r="CN57" i="13"/>
  <c r="CN55" i="13"/>
  <c r="DG54" i="13"/>
  <c r="DG55" i="13"/>
  <c r="CL54" i="13"/>
  <c r="CM57" i="13"/>
  <c r="CM55" i="13"/>
  <c r="FE16" i="13"/>
  <c r="S27" i="35"/>
  <c r="Y19" i="35"/>
  <c r="W18" i="34"/>
  <c r="W29" i="35"/>
  <c r="S13" i="35"/>
  <c r="S14" i="34"/>
  <c r="AE61" i="13"/>
  <c r="N26" i="35"/>
  <c r="Y14" i="34"/>
  <c r="AG61" i="13"/>
  <c r="AG54" i="13"/>
  <c r="AE55" i="13"/>
  <c r="AE56" i="13"/>
  <c r="Q28" i="35"/>
  <c r="AG57" i="13"/>
  <c r="AG60" i="13"/>
  <c r="AE58" i="13"/>
  <c r="AE54" i="13"/>
  <c r="Q30" i="34"/>
  <c r="Q19" i="35"/>
  <c r="AG56" i="13"/>
  <c r="AG59" i="13"/>
  <c r="Y17" i="35"/>
  <c r="AF64" i="13"/>
  <c r="AI64" i="13" s="1"/>
  <c r="U8" i="35"/>
  <c r="U19" i="34"/>
  <c r="U11" i="34"/>
  <c r="BT60" i="13"/>
  <c r="FE14" i="13"/>
  <c r="U30" i="35"/>
  <c r="U29" i="35"/>
  <c r="BT56" i="13"/>
  <c r="BT59" i="13"/>
  <c r="BX60" i="13"/>
  <c r="CA60" i="13" s="1"/>
  <c r="BX61" i="13"/>
  <c r="CA61" i="13" s="1"/>
  <c r="BS57" i="13"/>
  <c r="BS55" i="13"/>
  <c r="U13" i="34"/>
  <c r="CG58" i="13"/>
  <c r="F14" i="14" s="1"/>
  <c r="BR57" i="13"/>
  <c r="CG63" i="13"/>
  <c r="F19" i="14" s="1"/>
  <c r="CG64" i="13"/>
  <c r="F20" i="14" s="1"/>
  <c r="EE29" i="13"/>
  <c r="EE13" i="13"/>
  <c r="EE9" i="13"/>
  <c r="BX56" i="13"/>
  <c r="CA56" i="13" s="1"/>
  <c r="BX54" i="13"/>
  <c r="CA54" i="13" s="1"/>
  <c r="BR59" i="13"/>
  <c r="BR58" i="13"/>
  <c r="BU60" i="13"/>
  <c r="BU59" i="13"/>
  <c r="F13" i="14"/>
  <c r="CG60" i="13"/>
  <c r="F16" i="14" s="1"/>
  <c r="BS54" i="13"/>
  <c r="BS59" i="13"/>
  <c r="BT61" i="13"/>
  <c r="BT55" i="13"/>
  <c r="U15" i="34"/>
  <c r="U9" i="34"/>
  <c r="U12" i="34"/>
  <c r="U16" i="35"/>
  <c r="U28" i="34"/>
  <c r="EE12" i="13"/>
  <c r="EE15" i="13"/>
  <c r="EE28" i="13"/>
  <c r="BX59" i="13"/>
  <c r="CA59" i="13" s="1"/>
  <c r="BX57" i="13"/>
  <c r="CA57" i="13" s="1"/>
  <c r="BR56" i="13"/>
  <c r="BR60" i="13"/>
  <c r="BU56" i="13"/>
  <c r="BU58" i="13"/>
  <c r="BU61" i="13"/>
  <c r="BU54" i="13"/>
  <c r="EE17" i="13"/>
  <c r="CG59" i="13"/>
  <c r="F15" i="14" s="1"/>
  <c r="CG62" i="13"/>
  <c r="F18" i="14" s="1"/>
  <c r="BS58" i="13"/>
  <c r="BS60" i="13"/>
  <c r="BT57" i="13"/>
  <c r="BT54" i="13"/>
  <c r="U9" i="35"/>
  <c r="U12" i="35"/>
  <c r="U16" i="34"/>
  <c r="BX55" i="13"/>
  <c r="CA55" i="13" s="1"/>
  <c r="BX58" i="13"/>
  <c r="CA58" i="13" s="1"/>
  <c r="BR55" i="13"/>
  <c r="BR61" i="13"/>
  <c r="BU57" i="13"/>
  <c r="CG61" i="13"/>
  <c r="BS56" i="13"/>
  <c r="BS61" i="13"/>
  <c r="BT58" i="13"/>
  <c r="S30" i="35"/>
  <c r="FE27" i="13"/>
  <c r="BB61" i="13"/>
  <c r="AY59" i="13"/>
  <c r="BA58" i="13"/>
  <c r="AY55" i="13"/>
  <c r="BA54" i="13"/>
  <c r="S28" i="35"/>
  <c r="S15" i="34"/>
  <c r="BB58" i="13"/>
  <c r="AZ59" i="13"/>
  <c r="S16" i="34"/>
  <c r="S16" i="35"/>
  <c r="BB60" i="13"/>
  <c r="BB57" i="13"/>
  <c r="S12" i="34"/>
  <c r="BB59" i="13"/>
  <c r="BB56" i="13"/>
  <c r="S12" i="35"/>
  <c r="BB55" i="13"/>
  <c r="AY58" i="13"/>
  <c r="AY57" i="13"/>
  <c r="AY61" i="13"/>
  <c r="S8" i="34"/>
  <c r="AY56" i="13"/>
  <c r="AY60" i="13"/>
  <c r="S29" i="35"/>
  <c r="BA61" i="13"/>
  <c r="BA57" i="13"/>
  <c r="BA59" i="13"/>
  <c r="BA56" i="13"/>
  <c r="BN64" i="13"/>
  <c r="E20" i="14" s="1"/>
  <c r="BA55" i="13"/>
  <c r="BA60" i="13"/>
  <c r="BN62" i="13"/>
  <c r="E18" i="14" s="1"/>
  <c r="AZ58" i="13"/>
  <c r="BN61" i="13"/>
  <c r="E17" i="14" s="1"/>
  <c r="AZ55" i="13"/>
  <c r="BN59" i="13"/>
  <c r="E15" i="14" s="1"/>
  <c r="AZ54" i="13"/>
  <c r="FE19" i="13"/>
  <c r="BN60" i="13"/>
  <c r="E16" i="14" s="1"/>
  <c r="BN58" i="13"/>
  <c r="AZ61" i="13"/>
  <c r="AZ57" i="13"/>
  <c r="BN63" i="13"/>
  <c r="E19" i="14" s="1"/>
  <c r="E13" i="14"/>
  <c r="AZ60" i="13"/>
  <c r="AZ56" i="13"/>
  <c r="EL26" i="13"/>
  <c r="Z26" i="35"/>
  <c r="AA26" i="35" s="1"/>
  <c r="AB26" i="35" s="1"/>
  <c r="EM26" i="13"/>
  <c r="EI26" i="13"/>
  <c r="S19" i="34"/>
  <c r="Y13" i="34"/>
  <c r="FE9" i="13"/>
  <c r="FE10" i="13"/>
  <c r="AF67" i="13"/>
  <c r="AI67" i="13" s="1"/>
  <c r="AF66" i="13"/>
  <c r="AI66" i="13" s="1"/>
  <c r="AF65" i="13"/>
  <c r="AI65" i="13" s="1"/>
  <c r="W36" i="35"/>
  <c r="W29" i="34"/>
  <c r="Z24" i="35"/>
  <c r="AA24" i="35" s="1"/>
  <c r="AB24" i="35" s="1"/>
  <c r="Z24" i="34"/>
  <c r="AA24" i="34" s="1"/>
  <c r="AB24" i="34" s="1"/>
  <c r="AF24" i="34" s="1"/>
  <c r="FJ24" i="13"/>
  <c r="FI21" i="13"/>
  <c r="FI20" i="13"/>
  <c r="T58" i="13"/>
  <c r="Z58" i="13"/>
  <c r="T57" i="13"/>
  <c r="Z57" i="13"/>
  <c r="T56" i="13"/>
  <c r="T60" i="13"/>
  <c r="Z56" i="13"/>
  <c r="Z60" i="13"/>
  <c r="T61" i="13"/>
  <c r="Z61" i="13"/>
  <c r="T55" i="13"/>
  <c r="T59" i="13"/>
  <c r="Z55" i="13"/>
  <c r="Z59" i="13"/>
  <c r="O46" i="34"/>
  <c r="O46" i="35"/>
  <c r="Q29" i="35"/>
  <c r="Q29" i="34"/>
  <c r="Q33" i="35"/>
  <c r="Q33" i="34"/>
  <c r="Q15" i="34"/>
  <c r="Q15" i="35"/>
  <c r="O36" i="35"/>
  <c r="O36" i="34"/>
  <c r="O32" i="34"/>
  <c r="O32" i="35"/>
  <c r="Q18" i="34"/>
  <c r="Q18" i="35"/>
  <c r="Q14" i="34"/>
  <c r="Q14" i="35"/>
  <c r="Q39" i="34"/>
  <c r="Q39" i="35"/>
  <c r="Q45" i="35"/>
  <c r="Q45" i="34"/>
  <c r="Q12" i="34"/>
  <c r="Q12" i="35"/>
  <c r="Q9" i="35"/>
  <c r="Q9" i="34"/>
  <c r="O13" i="34"/>
  <c r="O13" i="35"/>
  <c r="O33" i="35"/>
  <c r="O33" i="34"/>
  <c r="O17" i="34"/>
  <c r="O17" i="35"/>
  <c r="O39" i="34"/>
  <c r="O39" i="35"/>
  <c r="O18" i="35"/>
  <c r="O18" i="34"/>
  <c r="O16" i="34"/>
  <c r="O16" i="35"/>
  <c r="Q17" i="34"/>
  <c r="Q17" i="35"/>
  <c r="Q43" i="34"/>
  <c r="Q43" i="35"/>
  <c r="Q46" i="34"/>
  <c r="Q46" i="35"/>
  <c r="Q37" i="34"/>
  <c r="Q37" i="35"/>
  <c r="Q32" i="34"/>
  <c r="Q32" i="35"/>
  <c r="O44" i="34"/>
  <c r="O44" i="35"/>
  <c r="O14" i="35"/>
  <c r="O14" i="34"/>
  <c r="O43" i="34"/>
  <c r="O43" i="35"/>
  <c r="Q27" i="35"/>
  <c r="Q27" i="34"/>
  <c r="Q26" i="35"/>
  <c r="Q26" i="34"/>
  <c r="O41" i="35"/>
  <c r="O41" i="34"/>
  <c r="O31" i="34"/>
  <c r="O31" i="35"/>
  <c r="O25" i="34"/>
  <c r="O25" i="35"/>
  <c r="O34" i="34"/>
  <c r="O34" i="35"/>
  <c r="Q36" i="34"/>
  <c r="Q36" i="35"/>
  <c r="O35" i="34"/>
  <c r="O35" i="35"/>
  <c r="O15" i="34"/>
  <c r="O15" i="35"/>
  <c r="O45" i="35"/>
  <c r="O45" i="34"/>
  <c r="O28" i="35"/>
  <c r="O28" i="34"/>
  <c r="O29" i="34"/>
  <c r="O29" i="35"/>
  <c r="Q13" i="34"/>
  <c r="Q13" i="35"/>
  <c r="Q40" i="34"/>
  <c r="Q40" i="35"/>
  <c r="Q35" i="35"/>
  <c r="Q35" i="34"/>
  <c r="Q10" i="35"/>
  <c r="Q10" i="34"/>
  <c r="Q16" i="34"/>
  <c r="Q16" i="35"/>
  <c r="FJ23" i="13"/>
  <c r="AI23" i="39" s="1"/>
  <c r="Z23" i="35"/>
  <c r="AA23" i="35" s="1"/>
  <c r="AB23" i="35" s="1"/>
  <c r="Z23" i="34"/>
  <c r="AA23" i="34" s="1"/>
  <c r="AB23" i="34" s="1"/>
  <c r="AF23" i="34" s="1"/>
  <c r="E26" i="14"/>
  <c r="E27" i="14" s="1"/>
  <c r="G26" i="14"/>
  <c r="G27" i="14" s="1"/>
  <c r="N7" i="18"/>
  <c r="D23" i="14"/>
  <c r="D24" i="14"/>
  <c r="D25" i="14"/>
  <c r="H26" i="14"/>
  <c r="H27" i="14" s="1"/>
  <c r="F26" i="14"/>
  <c r="F27" i="14" s="1"/>
  <c r="E11" i="14"/>
  <c r="FJ58" i="13" s="1"/>
  <c r="DS70" i="13"/>
  <c r="G10" i="14"/>
  <c r="H10" i="14"/>
  <c r="CZ70" i="13"/>
  <c r="CG70" i="13"/>
  <c r="G11" i="14"/>
  <c r="FJ62" i="13" s="1"/>
  <c r="F10" i="14"/>
  <c r="H11" i="14"/>
  <c r="FJ64" i="13" s="1"/>
  <c r="F11" i="14"/>
  <c r="FJ60" i="13" s="1"/>
  <c r="E10" i="14"/>
  <c r="FE8" i="13"/>
  <c r="FE29" i="13"/>
  <c r="FE18" i="13"/>
  <c r="FE13" i="13"/>
  <c r="FE17" i="13"/>
  <c r="FE15" i="13"/>
  <c r="DH64" i="13"/>
  <c r="AZ69" i="13"/>
  <c r="DH67" i="13"/>
  <c r="DM67" i="13"/>
  <c r="CT67" i="13"/>
  <c r="AJ69" i="13"/>
  <c r="BT69" i="13"/>
  <c r="BC65" i="13"/>
  <c r="BV64" i="13"/>
  <c r="AE69" i="13"/>
  <c r="DI69" i="13"/>
  <c r="AL69" i="13"/>
  <c r="AH69" i="13"/>
  <c r="BB69" i="13"/>
  <c r="DJ69" i="13"/>
  <c r="DM66" i="13"/>
  <c r="J55" i="13"/>
  <c r="CM69" i="13"/>
  <c r="DH66" i="13"/>
  <c r="BG69" i="13"/>
  <c r="BY69" i="13"/>
  <c r="DK69" i="13"/>
  <c r="BH67" i="13"/>
  <c r="BV65" i="13"/>
  <c r="BH66" i="13"/>
  <c r="CT66" i="13"/>
  <c r="BC66" i="13"/>
  <c r="DM65" i="13"/>
  <c r="AG69" i="13"/>
  <c r="BC67" i="13"/>
  <c r="DM64" i="13"/>
  <c r="CA65" i="13"/>
  <c r="BV67" i="13"/>
  <c r="EK17" i="13"/>
  <c r="K17" i="39" s="1"/>
  <c r="M17" i="39" s="1"/>
  <c r="CO64" i="13"/>
  <c r="DE69" i="13"/>
  <c r="CA67" i="13"/>
  <c r="DF69" i="13"/>
  <c r="AM69" i="13"/>
  <c r="DD69" i="13"/>
  <c r="CO66" i="13"/>
  <c r="BF69" i="13"/>
  <c r="CR69" i="13"/>
  <c r="EL21" i="13"/>
  <c r="EI21" i="13"/>
  <c r="BH64" i="13"/>
  <c r="BD69" i="13"/>
  <c r="EL23" i="13"/>
  <c r="EI23" i="13"/>
  <c r="CP69" i="13"/>
  <c r="CT64" i="13"/>
  <c r="CP62" i="13"/>
  <c r="CT54" i="13"/>
  <c r="CT57" i="13"/>
  <c r="BG62" i="13"/>
  <c r="CR62" i="13"/>
  <c r="BZ62" i="13"/>
  <c r="BF62" i="13"/>
  <c r="CQ69" i="13"/>
  <c r="BH65" i="13"/>
  <c r="CS62" i="13"/>
  <c r="CK69" i="13"/>
  <c r="DK62" i="13"/>
  <c r="DL62" i="13"/>
  <c r="CO65" i="13"/>
  <c r="BX69" i="13"/>
  <c r="BE69" i="13"/>
  <c r="DH65" i="13"/>
  <c r="BU69" i="13"/>
  <c r="BR69" i="13"/>
  <c r="BA69" i="13"/>
  <c r="BS69" i="13"/>
  <c r="BV66" i="13"/>
  <c r="BZ69" i="13"/>
  <c r="BH57" i="13"/>
  <c r="AY69" i="13"/>
  <c r="BC64" i="13"/>
  <c r="EL20" i="13"/>
  <c r="EI20" i="13"/>
  <c r="BD62" i="13"/>
  <c r="X26" i="38"/>
  <c r="BW62" i="13"/>
  <c r="BW69" i="13"/>
  <c r="CA64" i="13"/>
  <c r="I58" i="13"/>
  <c r="I61" i="13" s="1"/>
  <c r="J57" i="13"/>
  <c r="CL69" i="13"/>
  <c r="CA66" i="13"/>
  <c r="CN69" i="13"/>
  <c r="DG69" i="13"/>
  <c r="CO67" i="13"/>
  <c r="J56" i="13"/>
  <c r="CS69" i="13"/>
  <c r="DL69" i="13"/>
  <c r="BY62" i="13"/>
  <c r="CT65" i="13"/>
  <c r="DM55" i="13"/>
  <c r="DD62" i="13"/>
  <c r="DI62" i="13"/>
  <c r="DM58" i="13"/>
  <c r="EK15" i="13"/>
  <c r="K15" i="39" s="1"/>
  <c r="M15" i="39" s="1"/>
  <c r="EK27" i="13"/>
  <c r="K27" i="39" s="1"/>
  <c r="M27" i="39" s="1"/>
  <c r="EK13" i="13"/>
  <c r="K13" i="39" s="1"/>
  <c r="M13" i="39" s="1"/>
  <c r="EK28" i="13"/>
  <c r="Z65" i="13"/>
  <c r="P69" i="13"/>
  <c r="W62" i="13"/>
  <c r="W69" i="13"/>
  <c r="EK18" i="13"/>
  <c r="K18" i="39" s="1"/>
  <c r="M18" i="39" s="1"/>
  <c r="AM62" i="13"/>
  <c r="AL62" i="13"/>
  <c r="AJ62" i="13"/>
  <c r="AK67" i="13"/>
  <c r="AN67" i="13" s="1"/>
  <c r="AK66" i="13"/>
  <c r="AN66" i="13" s="1"/>
  <c r="AK65" i="13"/>
  <c r="AN65" i="13" s="1"/>
  <c r="AK64" i="13"/>
  <c r="AC65" i="13"/>
  <c r="C21" i="14" s="1"/>
  <c r="BN70" i="13"/>
  <c r="T54" i="13"/>
  <c r="H58" i="13"/>
  <c r="J54" i="13"/>
  <c r="N69" i="13"/>
  <c r="T64" i="13"/>
  <c r="U62" i="13"/>
  <c r="Z54" i="13"/>
  <c r="Z66" i="13"/>
  <c r="Y69" i="13"/>
  <c r="P62" i="13"/>
  <c r="R69" i="13"/>
  <c r="Y62" i="13"/>
  <c r="T67" i="13"/>
  <c r="T66" i="13"/>
  <c r="Z64" i="13"/>
  <c r="U69" i="13"/>
  <c r="R62" i="13"/>
  <c r="V62" i="13"/>
  <c r="T65" i="13"/>
  <c r="S62" i="13"/>
  <c r="V69" i="13"/>
  <c r="Z67" i="13"/>
  <c r="S69" i="13"/>
  <c r="EK19" i="13"/>
  <c r="K19" i="39" s="1"/>
  <c r="M19" i="39" s="1"/>
  <c r="EK14" i="13"/>
  <c r="K14" i="39" s="1"/>
  <c r="M14" i="39" s="1"/>
  <c r="EK10" i="13"/>
  <c r="K10" i="39" s="1"/>
  <c r="M10" i="39" s="1"/>
  <c r="EK9" i="13"/>
  <c r="EK29" i="13"/>
  <c r="K29" i="39" s="1"/>
  <c r="M29" i="39" s="1"/>
  <c r="EK11" i="13"/>
  <c r="K11" i="39" s="1"/>
  <c r="M11" i="39" s="1"/>
  <c r="EK25" i="13"/>
  <c r="K25" i="39" s="1"/>
  <c r="M25" i="39" s="1"/>
  <c r="EK16" i="13"/>
  <c r="K16" i="39" s="1"/>
  <c r="M16" i="39" s="1"/>
  <c r="EH12" i="13"/>
  <c r="AT61" i="13"/>
  <c r="EK8" i="13"/>
  <c r="K8" i="39" s="1"/>
  <c r="M8" i="39" s="1"/>
  <c r="D51" i="22"/>
  <c r="C51" i="22"/>
  <c r="D50" i="22"/>
  <c r="C50" i="22"/>
  <c r="D49" i="22"/>
  <c r="C49" i="22"/>
  <c r="D48" i="22"/>
  <c r="C48" i="22"/>
  <c r="D47" i="22"/>
  <c r="C47" i="22"/>
  <c r="D46" i="22"/>
  <c r="C46" i="22"/>
  <c r="D45" i="22"/>
  <c r="C45" i="22"/>
  <c r="D44" i="22"/>
  <c r="C44" i="22"/>
  <c r="D43" i="22"/>
  <c r="C43" i="22"/>
  <c r="D42" i="22"/>
  <c r="C42" i="22"/>
  <c r="D41" i="22"/>
  <c r="C41" i="22"/>
  <c r="D40" i="22"/>
  <c r="C40" i="22"/>
  <c r="D39" i="22"/>
  <c r="C39" i="22"/>
  <c r="D38" i="22"/>
  <c r="C38" i="22"/>
  <c r="D37" i="22"/>
  <c r="C37" i="22"/>
  <c r="D36" i="22"/>
  <c r="C36" i="22"/>
  <c r="D35" i="22"/>
  <c r="C35" i="22"/>
  <c r="D34" i="22"/>
  <c r="C34" i="22"/>
  <c r="D33" i="22"/>
  <c r="C33" i="22"/>
  <c r="D32" i="22"/>
  <c r="C32" i="22"/>
  <c r="D31" i="22"/>
  <c r="C31" i="22"/>
  <c r="D30" i="22"/>
  <c r="C30" i="22"/>
  <c r="D29" i="22"/>
  <c r="C29" i="22"/>
  <c r="D28" i="22"/>
  <c r="C28" i="22"/>
  <c r="D27" i="22"/>
  <c r="C27" i="22"/>
  <c r="D26" i="22"/>
  <c r="C26" i="22"/>
  <c r="D25" i="22"/>
  <c r="C25" i="22"/>
  <c r="D24" i="22"/>
  <c r="C24" i="22"/>
  <c r="D23" i="22"/>
  <c r="C23" i="22"/>
  <c r="D22" i="22"/>
  <c r="C22" i="22"/>
  <c r="D21" i="22"/>
  <c r="C21" i="22"/>
  <c r="D20" i="22"/>
  <c r="C20" i="22"/>
  <c r="D19" i="22"/>
  <c r="C19" i="22"/>
  <c r="D18" i="22"/>
  <c r="C18" i="22"/>
  <c r="D17" i="22"/>
  <c r="C17" i="22"/>
  <c r="D16" i="22"/>
  <c r="C16" i="22"/>
  <c r="D15" i="22"/>
  <c r="C15" i="22"/>
  <c r="D14" i="22"/>
  <c r="C14" i="22"/>
  <c r="D13" i="22"/>
  <c r="C13" i="22"/>
  <c r="D12" i="22"/>
  <c r="C12" i="22"/>
  <c r="D11" i="22"/>
  <c r="C11" i="22"/>
  <c r="D10" i="22"/>
  <c r="C10" i="22"/>
  <c r="D9" i="22"/>
  <c r="C9" i="22"/>
  <c r="D8" i="22"/>
  <c r="D7" i="22"/>
  <c r="C7" i="22"/>
  <c r="D4" i="22"/>
  <c r="D51" i="19"/>
  <c r="C51" i="19"/>
  <c r="D50" i="19"/>
  <c r="C50" i="19"/>
  <c r="D49" i="19"/>
  <c r="C49" i="19"/>
  <c r="D48" i="19"/>
  <c r="C48" i="19"/>
  <c r="D47" i="19"/>
  <c r="C47" i="19"/>
  <c r="D46" i="19"/>
  <c r="C46" i="19"/>
  <c r="D45" i="19"/>
  <c r="C45" i="19"/>
  <c r="D44" i="19"/>
  <c r="C44" i="19"/>
  <c r="D43" i="19"/>
  <c r="C43" i="19"/>
  <c r="D42" i="19"/>
  <c r="C42" i="19"/>
  <c r="D41" i="19"/>
  <c r="C41" i="19"/>
  <c r="D40" i="19"/>
  <c r="C40" i="19"/>
  <c r="D39" i="19"/>
  <c r="C39" i="19"/>
  <c r="D38" i="19"/>
  <c r="C38" i="19"/>
  <c r="D37" i="19"/>
  <c r="C37" i="19"/>
  <c r="D36" i="19"/>
  <c r="C36" i="19"/>
  <c r="D35" i="19"/>
  <c r="C35" i="19"/>
  <c r="D34" i="19"/>
  <c r="C34" i="19"/>
  <c r="D33" i="19"/>
  <c r="C33" i="19"/>
  <c r="D32" i="19"/>
  <c r="C32" i="19"/>
  <c r="D31" i="19"/>
  <c r="C31" i="19"/>
  <c r="D30" i="19"/>
  <c r="C30" i="19"/>
  <c r="D29" i="19"/>
  <c r="C29" i="19"/>
  <c r="D28" i="19"/>
  <c r="C28" i="19"/>
  <c r="D27" i="19"/>
  <c r="C27" i="19"/>
  <c r="D26" i="19"/>
  <c r="C26" i="19"/>
  <c r="D25" i="19"/>
  <c r="C25" i="19"/>
  <c r="D24" i="19"/>
  <c r="C24" i="19"/>
  <c r="D23" i="19"/>
  <c r="C23" i="19"/>
  <c r="D22" i="19"/>
  <c r="C22" i="19"/>
  <c r="D21" i="19"/>
  <c r="C21" i="19"/>
  <c r="D20" i="19"/>
  <c r="C20" i="19"/>
  <c r="D19" i="19"/>
  <c r="C19" i="19"/>
  <c r="D18" i="19"/>
  <c r="C18" i="19"/>
  <c r="D17" i="19"/>
  <c r="C17" i="19"/>
  <c r="D16" i="19"/>
  <c r="C16" i="19"/>
  <c r="D15" i="19"/>
  <c r="C15" i="19"/>
  <c r="D14" i="19"/>
  <c r="C14" i="19"/>
  <c r="D13" i="19"/>
  <c r="C13" i="19"/>
  <c r="D12" i="19"/>
  <c r="C12" i="19"/>
  <c r="D11" i="19"/>
  <c r="C11" i="19"/>
  <c r="D10" i="19"/>
  <c r="C10" i="19"/>
  <c r="D9" i="19"/>
  <c r="C9" i="19"/>
  <c r="D8" i="19"/>
  <c r="C8" i="19"/>
  <c r="D4" i="19"/>
  <c r="D51" i="18"/>
  <c r="C51" i="18"/>
  <c r="D50" i="18"/>
  <c r="C50" i="18"/>
  <c r="D49" i="18"/>
  <c r="C49" i="18"/>
  <c r="D48" i="18"/>
  <c r="C48" i="18"/>
  <c r="D47" i="18"/>
  <c r="C47" i="18"/>
  <c r="D46" i="18"/>
  <c r="C46" i="18"/>
  <c r="D45" i="18"/>
  <c r="C45" i="18"/>
  <c r="D44" i="18"/>
  <c r="C44" i="18"/>
  <c r="D43" i="18"/>
  <c r="C43" i="18"/>
  <c r="D42" i="18"/>
  <c r="C42" i="18"/>
  <c r="D41" i="18"/>
  <c r="C41" i="18"/>
  <c r="D40" i="18"/>
  <c r="C40" i="18"/>
  <c r="D39" i="18"/>
  <c r="C39" i="18"/>
  <c r="D38" i="18"/>
  <c r="C38" i="18"/>
  <c r="D37" i="18"/>
  <c r="C37" i="18"/>
  <c r="D36" i="18"/>
  <c r="C36" i="18"/>
  <c r="D35" i="18"/>
  <c r="C35" i="18"/>
  <c r="D34" i="18"/>
  <c r="C34" i="18"/>
  <c r="D33" i="18"/>
  <c r="C33" i="18"/>
  <c r="D32" i="18"/>
  <c r="C32" i="18"/>
  <c r="D31" i="18"/>
  <c r="C31" i="18"/>
  <c r="D30" i="18"/>
  <c r="C30" i="18"/>
  <c r="D29" i="18"/>
  <c r="C29" i="18"/>
  <c r="D28" i="18"/>
  <c r="C28" i="18"/>
  <c r="D27" i="18"/>
  <c r="C27" i="18"/>
  <c r="D26" i="18"/>
  <c r="C26" i="18"/>
  <c r="D25" i="18"/>
  <c r="C25" i="18"/>
  <c r="D24" i="18"/>
  <c r="C24" i="18"/>
  <c r="D23" i="18"/>
  <c r="C23" i="18"/>
  <c r="D22" i="18"/>
  <c r="C22" i="18"/>
  <c r="D21" i="18"/>
  <c r="C21" i="18"/>
  <c r="D20" i="18"/>
  <c r="C20" i="18"/>
  <c r="D19" i="18"/>
  <c r="C19" i="18"/>
  <c r="D18" i="18"/>
  <c r="C18" i="18"/>
  <c r="D17" i="18"/>
  <c r="C17" i="18"/>
  <c r="D16" i="18"/>
  <c r="C16" i="18"/>
  <c r="D15" i="18"/>
  <c r="C15" i="18"/>
  <c r="D14" i="18"/>
  <c r="C14" i="18"/>
  <c r="D13" i="18"/>
  <c r="C13" i="18"/>
  <c r="D12" i="18"/>
  <c r="C12" i="18"/>
  <c r="D11" i="18"/>
  <c r="C11" i="18"/>
  <c r="D10" i="18"/>
  <c r="C10" i="18"/>
  <c r="D9" i="18"/>
  <c r="C9" i="18"/>
  <c r="D8" i="18"/>
  <c r="C8" i="18"/>
  <c r="D7" i="18"/>
  <c r="C7" i="18"/>
  <c r="D4" i="18"/>
  <c r="D4" i="11"/>
  <c r="D9" i="11"/>
  <c r="Q9" i="11" s="1"/>
  <c r="G8" i="39" s="1"/>
  <c r="C10" i="11"/>
  <c r="D10" i="11"/>
  <c r="Q10" i="11" s="1"/>
  <c r="G9" i="39" s="1"/>
  <c r="C11" i="11"/>
  <c r="D11" i="11"/>
  <c r="Q11" i="11" s="1"/>
  <c r="G10" i="39" s="1"/>
  <c r="C12" i="11"/>
  <c r="D12" i="11"/>
  <c r="Q12" i="11" s="1"/>
  <c r="G11" i="39" s="1"/>
  <c r="C13" i="11"/>
  <c r="D13" i="11"/>
  <c r="Q13" i="11" s="1"/>
  <c r="G12" i="39" s="1"/>
  <c r="C14" i="11"/>
  <c r="D14" i="11"/>
  <c r="Q14" i="11" s="1"/>
  <c r="G13" i="39" s="1"/>
  <c r="C15" i="11"/>
  <c r="D15" i="11"/>
  <c r="Q15" i="11" s="1"/>
  <c r="G14" i="39" s="1"/>
  <c r="C16" i="11"/>
  <c r="D16" i="11"/>
  <c r="Q16" i="11" s="1"/>
  <c r="G15" i="39" s="1"/>
  <c r="C17" i="11"/>
  <c r="D17" i="11"/>
  <c r="Q17" i="11" s="1"/>
  <c r="G16" i="39" s="1"/>
  <c r="C18" i="11"/>
  <c r="D18" i="11"/>
  <c r="Q18" i="11" s="1"/>
  <c r="G17" i="39" s="1"/>
  <c r="C19" i="11"/>
  <c r="D19" i="11"/>
  <c r="Q19" i="11" s="1"/>
  <c r="G18" i="39" s="1"/>
  <c r="C20" i="11"/>
  <c r="D20" i="11"/>
  <c r="Q20" i="11" s="1"/>
  <c r="G19" i="39" s="1"/>
  <c r="C21" i="11"/>
  <c r="D21" i="11"/>
  <c r="Q21" i="11" s="1"/>
  <c r="G20" i="39" s="1"/>
  <c r="C22" i="11"/>
  <c r="D22" i="11"/>
  <c r="Q22" i="11" s="1"/>
  <c r="G21" i="39" s="1"/>
  <c r="C23" i="11"/>
  <c r="D23" i="11"/>
  <c r="Q23" i="11" s="1"/>
  <c r="G22" i="39" s="1"/>
  <c r="C24" i="11"/>
  <c r="D24" i="11"/>
  <c r="Q24" i="11" s="1"/>
  <c r="G23" i="39" s="1"/>
  <c r="C25" i="11"/>
  <c r="D25" i="11"/>
  <c r="Q25" i="11" s="1"/>
  <c r="G24" i="39" s="1"/>
  <c r="C26" i="11"/>
  <c r="D26" i="11"/>
  <c r="Q26" i="11" s="1"/>
  <c r="G25" i="39" s="1"/>
  <c r="C27" i="11"/>
  <c r="D27" i="11"/>
  <c r="Q27" i="11" s="1"/>
  <c r="G26" i="39" s="1"/>
  <c r="C28" i="11"/>
  <c r="D28" i="11"/>
  <c r="Q28" i="11" s="1"/>
  <c r="G27" i="39" s="1"/>
  <c r="C29" i="11"/>
  <c r="D29" i="11"/>
  <c r="Q29" i="11" s="1"/>
  <c r="G28" i="39" s="1"/>
  <c r="C30" i="11"/>
  <c r="D30" i="11"/>
  <c r="Q30" i="11" s="1"/>
  <c r="G29" i="39" s="1"/>
  <c r="C31" i="11"/>
  <c r="D31" i="11"/>
  <c r="Q31" i="11" s="1"/>
  <c r="G30" i="39" s="1"/>
  <c r="C32" i="11"/>
  <c r="D32" i="11"/>
  <c r="Q32" i="11" s="1"/>
  <c r="G31" i="39" s="1"/>
  <c r="C33" i="11"/>
  <c r="D33" i="11"/>
  <c r="Q33" i="11" s="1"/>
  <c r="G32" i="39" s="1"/>
  <c r="C34" i="11"/>
  <c r="D34" i="11"/>
  <c r="Q34" i="11" s="1"/>
  <c r="G33" i="39" s="1"/>
  <c r="C35" i="11"/>
  <c r="D35" i="11"/>
  <c r="Q35" i="11" s="1"/>
  <c r="G34" i="39" s="1"/>
  <c r="C36" i="11"/>
  <c r="D36" i="11"/>
  <c r="Q36" i="11" s="1"/>
  <c r="G35" i="39" s="1"/>
  <c r="C37" i="11"/>
  <c r="D37" i="11"/>
  <c r="Q37" i="11" s="1"/>
  <c r="G36" i="39" s="1"/>
  <c r="C38" i="11"/>
  <c r="D38" i="11"/>
  <c r="Q38" i="11" s="1"/>
  <c r="G37" i="39" s="1"/>
  <c r="C39" i="11"/>
  <c r="D39" i="11"/>
  <c r="Q39" i="11" s="1"/>
  <c r="G38" i="39" s="1"/>
  <c r="C40" i="11"/>
  <c r="D40" i="11"/>
  <c r="Q40" i="11" s="1"/>
  <c r="G39" i="39" s="1"/>
  <c r="C41" i="11"/>
  <c r="D41" i="11"/>
  <c r="Q41" i="11" s="1"/>
  <c r="G40" i="39" s="1"/>
  <c r="C42" i="11"/>
  <c r="D42" i="11"/>
  <c r="Q42" i="11" s="1"/>
  <c r="G41" i="39" s="1"/>
  <c r="C43" i="11"/>
  <c r="D43" i="11"/>
  <c r="Q43" i="11" s="1"/>
  <c r="G42" i="39" s="1"/>
  <c r="C44" i="11"/>
  <c r="D44" i="11"/>
  <c r="Q44" i="11" s="1"/>
  <c r="G43" i="39" s="1"/>
  <c r="C45" i="11"/>
  <c r="D45" i="11"/>
  <c r="Q45" i="11" s="1"/>
  <c r="G44" i="39" s="1"/>
  <c r="C46" i="11"/>
  <c r="D46" i="11"/>
  <c r="Q46" i="11" s="1"/>
  <c r="G45" i="39" s="1"/>
  <c r="C47" i="11"/>
  <c r="D47" i="11"/>
  <c r="Q47" i="11" s="1"/>
  <c r="G46" i="39" s="1"/>
  <c r="C48" i="11"/>
  <c r="D48" i="11"/>
  <c r="Q48" i="11" s="1"/>
  <c r="G47" i="39" s="1"/>
  <c r="C49" i="11"/>
  <c r="D49" i="11"/>
  <c r="Q49" i="11" s="1"/>
  <c r="G48" i="39" s="1"/>
  <c r="C50" i="11"/>
  <c r="D50" i="11"/>
  <c r="Q50" i="11" s="1"/>
  <c r="G49" i="39" s="1"/>
  <c r="C51" i="11"/>
  <c r="D51" i="11"/>
  <c r="Q51" i="11" s="1"/>
  <c r="G50" i="39" s="1"/>
  <c r="C52" i="11"/>
  <c r="D52" i="11"/>
  <c r="Q52" i="11" s="1"/>
  <c r="G51" i="39" s="1"/>
  <c r="C8" i="11"/>
  <c r="D8" i="11"/>
  <c r="Q8" i="11" s="1"/>
  <c r="G7" i="39" s="1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5" i="13"/>
  <c r="B26" i="13"/>
  <c r="B27" i="13"/>
  <c r="B28" i="13"/>
  <c r="B29" i="13"/>
  <c r="FG28" i="13" l="1"/>
  <c r="K28" i="39"/>
  <c r="M28" i="39" s="1"/>
  <c r="EJ23" i="13"/>
  <c r="J23" i="39" s="1"/>
  <c r="I23" i="39"/>
  <c r="EJ21" i="13"/>
  <c r="J21" i="39" s="1"/>
  <c r="I21" i="39"/>
  <c r="FL20" i="13"/>
  <c r="AH20" i="39"/>
  <c r="Z26" i="34"/>
  <c r="AA26" i="34" s="1"/>
  <c r="AB26" i="34" s="1"/>
  <c r="AF26" i="34" s="1"/>
  <c r="H26" i="39"/>
  <c r="FI22" i="13"/>
  <c r="AG22" i="39"/>
  <c r="EJ20" i="13"/>
  <c r="J20" i="39" s="1"/>
  <c r="I20" i="39"/>
  <c r="FL21" i="13"/>
  <c r="AH21" i="39"/>
  <c r="FM24" i="13"/>
  <c r="AI24" i="39"/>
  <c r="EJ26" i="13"/>
  <c r="J26" i="39" s="1"/>
  <c r="I26" i="39"/>
  <c r="EM12" i="13"/>
  <c r="FL12" i="13" s="1"/>
  <c r="H12" i="39"/>
  <c r="FG9" i="13"/>
  <c r="K9" i="39"/>
  <c r="M9" i="39" s="1"/>
  <c r="FG8" i="13"/>
  <c r="FG29" i="13"/>
  <c r="FM23" i="13"/>
  <c r="FJ26" i="13"/>
  <c r="FL26" i="13"/>
  <c r="O26" i="34"/>
  <c r="V44" i="29"/>
  <c r="V45" i="29"/>
  <c r="V43" i="29"/>
  <c r="V42" i="29"/>
  <c r="DH57" i="13"/>
  <c r="DN57" i="13" s="1"/>
  <c r="V43" i="38"/>
  <c r="V42" i="38"/>
  <c r="V44" i="38"/>
  <c r="V45" i="38"/>
  <c r="DH54" i="13"/>
  <c r="DN54" i="13" s="1"/>
  <c r="DH61" i="13"/>
  <c r="DN61" i="13" s="1"/>
  <c r="BE62" i="13"/>
  <c r="BH62" i="13" s="1"/>
  <c r="AH62" i="13"/>
  <c r="AT59" i="13"/>
  <c r="D15" i="14" s="1"/>
  <c r="AA26" i="38"/>
  <c r="AT62" i="13"/>
  <c r="D18" i="14" s="1"/>
  <c r="AT63" i="13"/>
  <c r="D19" i="14" s="1"/>
  <c r="AT58" i="13"/>
  <c r="AT60" i="13"/>
  <c r="D16" i="14" s="1"/>
  <c r="AT64" i="13"/>
  <c r="D20" i="14" s="1"/>
  <c r="DH60" i="13"/>
  <c r="DN60" i="13" s="1"/>
  <c r="CM62" i="13"/>
  <c r="DG62" i="13"/>
  <c r="N23" i="36"/>
  <c r="DH59" i="13"/>
  <c r="DN59" i="13" s="1"/>
  <c r="Z18" i="36"/>
  <c r="AD18" i="36"/>
  <c r="N18" i="36"/>
  <c r="DH55" i="13"/>
  <c r="DN55" i="13" s="1"/>
  <c r="DH58" i="13"/>
  <c r="DN58" i="13" s="1"/>
  <c r="DJ62" i="13"/>
  <c r="DM62" i="13" s="1"/>
  <c r="CL62" i="13"/>
  <c r="CN62" i="13"/>
  <c r="CQ62" i="13"/>
  <c r="CT62" i="13" s="1"/>
  <c r="DS65" i="13"/>
  <c r="H21" i="14" s="1"/>
  <c r="DF62" i="13"/>
  <c r="DE62" i="13"/>
  <c r="CO54" i="13"/>
  <c r="CU54" i="13" s="1"/>
  <c r="S26" i="29"/>
  <c r="AE62" i="13"/>
  <c r="AG62" i="13"/>
  <c r="D26" i="14"/>
  <c r="AT54" i="13"/>
  <c r="D10" i="14" s="1"/>
  <c r="D9" i="14"/>
  <c r="D11" i="14"/>
  <c r="FJ56" i="13" s="1"/>
  <c r="BV56" i="13"/>
  <c r="CB56" i="13" s="1"/>
  <c r="BV55" i="13"/>
  <c r="CB55" i="13" s="1"/>
  <c r="BT62" i="13"/>
  <c r="BV57" i="13"/>
  <c r="CB57" i="13" s="1"/>
  <c r="BV61" i="13"/>
  <c r="CB61" i="13" s="1"/>
  <c r="CG65" i="13"/>
  <c r="F21" i="14" s="1"/>
  <c r="BS62" i="13"/>
  <c r="BU62" i="13"/>
  <c r="BV60" i="13"/>
  <c r="CB60" i="13" s="1"/>
  <c r="BV59" i="13"/>
  <c r="CB59" i="13" s="1"/>
  <c r="BX62" i="13"/>
  <c r="CA62" i="13" s="1"/>
  <c r="F17" i="14"/>
  <c r="BR62" i="13"/>
  <c r="BV54" i="13"/>
  <c r="CB54" i="13" s="1"/>
  <c r="BV58" i="13"/>
  <c r="CB58" i="13" s="1"/>
  <c r="BC54" i="13"/>
  <c r="BI54" i="13" s="1"/>
  <c r="BC60" i="13"/>
  <c r="BI60" i="13" s="1"/>
  <c r="BC55" i="13"/>
  <c r="BI55" i="13" s="1"/>
  <c r="AY62" i="13"/>
  <c r="BB62" i="13"/>
  <c r="BC59" i="13"/>
  <c r="BI59" i="13" s="1"/>
  <c r="BC57" i="13"/>
  <c r="BI57" i="13" s="1"/>
  <c r="BC58" i="13"/>
  <c r="BI58" i="13" s="1"/>
  <c r="BA62" i="13"/>
  <c r="BC56" i="13"/>
  <c r="BI56" i="13" s="1"/>
  <c r="BC61" i="13"/>
  <c r="BI61" i="13" s="1"/>
  <c r="AZ62" i="13"/>
  <c r="BN65" i="13"/>
  <c r="E21" i="14" s="1"/>
  <c r="E14" i="14"/>
  <c r="AF69" i="13"/>
  <c r="AI69" i="13" s="1"/>
  <c r="AF54" i="13"/>
  <c r="AF55" i="13"/>
  <c r="AI55" i="13" s="1"/>
  <c r="AF60" i="13"/>
  <c r="AI60" i="13" s="1"/>
  <c r="AF59" i="13"/>
  <c r="AI59" i="13" s="1"/>
  <c r="AF57" i="13"/>
  <c r="AI57" i="13" s="1"/>
  <c r="AF56" i="13"/>
  <c r="AI56" i="13" s="1"/>
  <c r="AF58" i="13"/>
  <c r="AI58" i="13" s="1"/>
  <c r="AF61" i="13"/>
  <c r="AI61" i="13" s="1"/>
  <c r="Z20" i="35"/>
  <c r="AA20" i="35" s="1"/>
  <c r="AB20" i="35" s="1"/>
  <c r="AF20" i="35" s="1"/>
  <c r="FJ20" i="13"/>
  <c r="FJ21" i="13"/>
  <c r="Z21" i="35"/>
  <c r="AA21" i="35" s="1"/>
  <c r="AB21" i="35" s="1"/>
  <c r="Z21" i="34"/>
  <c r="AA21" i="34" s="1"/>
  <c r="AB21" i="34" s="1"/>
  <c r="AF21" i="34" s="1"/>
  <c r="FI14" i="13"/>
  <c r="AH14" i="39" s="1"/>
  <c r="Z20" i="34"/>
  <c r="AA20" i="34" s="1"/>
  <c r="AB20" i="34" s="1"/>
  <c r="AF20" i="34" s="1"/>
  <c r="FI19" i="13"/>
  <c r="AH19" i="39" s="1"/>
  <c r="FI13" i="13"/>
  <c r="AH13" i="39" s="1"/>
  <c r="CU66" i="13"/>
  <c r="Z62" i="13"/>
  <c r="O19" i="35"/>
  <c r="O19" i="34"/>
  <c r="O11" i="35"/>
  <c r="O11" i="34"/>
  <c r="O38" i="34"/>
  <c r="O38" i="35"/>
  <c r="O40" i="34"/>
  <c r="O40" i="35"/>
  <c r="O42" i="35"/>
  <c r="O42" i="34"/>
  <c r="O27" i="35"/>
  <c r="O27" i="34"/>
  <c r="O30" i="34"/>
  <c r="O30" i="35"/>
  <c r="O9" i="34"/>
  <c r="O9" i="35"/>
  <c r="O12" i="35"/>
  <c r="O12" i="34"/>
  <c r="O37" i="34"/>
  <c r="O37" i="35"/>
  <c r="O10" i="35"/>
  <c r="O10" i="34"/>
  <c r="O8" i="34"/>
  <c r="O8" i="35"/>
  <c r="P7" i="34"/>
  <c r="P7" i="35"/>
  <c r="AW7" i="13"/>
  <c r="EI12" i="13"/>
  <c r="Z12" i="35"/>
  <c r="AA12" i="35" s="1"/>
  <c r="AB12" i="35" s="1"/>
  <c r="Z12" i="34"/>
  <c r="AA12" i="34" s="1"/>
  <c r="AB12" i="34" s="1"/>
  <c r="FJ12" i="13"/>
  <c r="AI12" i="39" s="1"/>
  <c r="EX7" i="13"/>
  <c r="FF7" i="13" s="1"/>
  <c r="DN64" i="13"/>
  <c r="FD7" i="13"/>
  <c r="EK7" i="13" s="1"/>
  <c r="K7" i="39" s="1"/>
  <c r="M7" i="39" s="1"/>
  <c r="CB65" i="13"/>
  <c r="DN66" i="13"/>
  <c r="DN67" i="13"/>
  <c r="EH17" i="13"/>
  <c r="AO67" i="13"/>
  <c r="CU67" i="13"/>
  <c r="DN65" i="13"/>
  <c r="BI65" i="13"/>
  <c r="BI66" i="13"/>
  <c r="BI64" i="13"/>
  <c r="CU64" i="13"/>
  <c r="BI67" i="13"/>
  <c r="DM69" i="13"/>
  <c r="AO66" i="13"/>
  <c r="AO65" i="13"/>
  <c r="DN56" i="13"/>
  <c r="CB64" i="13"/>
  <c r="DH69" i="13"/>
  <c r="EH28" i="13"/>
  <c r="CB67" i="13"/>
  <c r="D17" i="14"/>
  <c r="EH14" i="13"/>
  <c r="EH19" i="13"/>
  <c r="BV69" i="13"/>
  <c r="BH69" i="13"/>
  <c r="CU65" i="13"/>
  <c r="CO69" i="13"/>
  <c r="CT69" i="13"/>
  <c r="EH27" i="13"/>
  <c r="EH18" i="13"/>
  <c r="EH13" i="13"/>
  <c r="EH8" i="13"/>
  <c r="EH15" i="13"/>
  <c r="CA69" i="13"/>
  <c r="BC69" i="13"/>
  <c r="CB66" i="13"/>
  <c r="AA57" i="13"/>
  <c r="AA58" i="13"/>
  <c r="AA61" i="13"/>
  <c r="AA65" i="13"/>
  <c r="AA60" i="13"/>
  <c r="AA59" i="13"/>
  <c r="AA56" i="13"/>
  <c r="D13" i="14"/>
  <c r="AK61" i="13"/>
  <c r="AN61" i="13" s="1"/>
  <c r="AK60" i="13"/>
  <c r="AN60" i="13" s="1"/>
  <c r="AK59" i="13"/>
  <c r="AN59" i="13" s="1"/>
  <c r="AK58" i="13"/>
  <c r="AN58" i="13" s="1"/>
  <c r="AK57" i="13"/>
  <c r="AN57" i="13" s="1"/>
  <c r="AK56" i="13"/>
  <c r="AN56" i="13" s="1"/>
  <c r="AK55" i="13"/>
  <c r="AN55" i="13" s="1"/>
  <c r="AK54" i="13"/>
  <c r="AK69" i="13"/>
  <c r="AN69" i="13" s="1"/>
  <c r="AN64" i="13"/>
  <c r="AO64" i="13" s="1"/>
  <c r="Z69" i="13"/>
  <c r="AA55" i="13"/>
  <c r="AA67" i="13"/>
  <c r="AA64" i="13"/>
  <c r="AA54" i="13"/>
  <c r="AA66" i="13"/>
  <c r="T69" i="13"/>
  <c r="T62" i="13"/>
  <c r="H61" i="13"/>
  <c r="J58" i="13"/>
  <c r="J61" i="13" s="1"/>
  <c r="EH10" i="13"/>
  <c r="EH11" i="13"/>
  <c r="EH25" i="13"/>
  <c r="EH16" i="13"/>
  <c r="EH29" i="13"/>
  <c r="EH9" i="13"/>
  <c r="EL12" i="13"/>
  <c r="EC7" i="13"/>
  <c r="DW7" i="13"/>
  <c r="EM11" i="13" l="1"/>
  <c r="FL11" i="13" s="1"/>
  <c r="H11" i="39"/>
  <c r="EM29" i="13"/>
  <c r="H29" i="39"/>
  <c r="EM15" i="13"/>
  <c r="FL15" i="13" s="1"/>
  <c r="H15" i="39"/>
  <c r="EM27" i="13"/>
  <c r="FL27" i="13" s="1"/>
  <c r="H27" i="39"/>
  <c r="FM20" i="13"/>
  <c r="AI20" i="39"/>
  <c r="FM26" i="13"/>
  <c r="AI26" i="39"/>
  <c r="EM17" i="13"/>
  <c r="FL17" i="13" s="1"/>
  <c r="H17" i="39"/>
  <c r="AH22" i="39"/>
  <c r="FL22" i="13"/>
  <c r="FJ22" i="13"/>
  <c r="EM16" i="13"/>
  <c r="FL16" i="13" s="1"/>
  <c r="H16" i="39"/>
  <c r="EM25" i="13"/>
  <c r="FL25" i="13" s="1"/>
  <c r="H25" i="39"/>
  <c r="EI19" i="13"/>
  <c r="H19" i="39"/>
  <c r="EM28" i="13"/>
  <c r="H28" i="39"/>
  <c r="FH29" i="13"/>
  <c r="AF29" i="39"/>
  <c r="EM18" i="13"/>
  <c r="FL18" i="13" s="1"/>
  <c r="H18" i="39"/>
  <c r="FM21" i="13"/>
  <c r="AI21" i="39"/>
  <c r="FH28" i="13"/>
  <c r="AF28" i="39"/>
  <c r="EI13" i="13"/>
  <c r="H13" i="39"/>
  <c r="EJ12" i="13"/>
  <c r="J12" i="39" s="1"/>
  <c r="I12" i="39"/>
  <c r="EM10" i="13"/>
  <c r="FL10" i="13" s="1"/>
  <c r="H10" i="39"/>
  <c r="EM9" i="13"/>
  <c r="H9" i="39"/>
  <c r="FH9" i="13"/>
  <c r="Z9" i="35" s="1"/>
  <c r="AA9" i="35" s="1"/>
  <c r="AB9" i="35" s="1"/>
  <c r="AF9" i="39"/>
  <c r="EM8" i="13"/>
  <c r="H8" i="39"/>
  <c r="FH8" i="13"/>
  <c r="Z8" i="34" s="1"/>
  <c r="AA8" i="34" s="1"/>
  <c r="AB8" i="34" s="1"/>
  <c r="AF8" i="34" s="1"/>
  <c r="AF8" i="39"/>
  <c r="EI14" i="13"/>
  <c r="H14" i="39"/>
  <c r="FK7" i="13"/>
  <c r="AO56" i="13"/>
  <c r="AF18" i="36"/>
  <c r="DH62" i="13"/>
  <c r="DN62" i="13" s="1"/>
  <c r="AO57" i="13"/>
  <c r="X26" i="29"/>
  <c r="AA26" i="29" s="1"/>
  <c r="AO55" i="13"/>
  <c r="AT70" i="13"/>
  <c r="BV62" i="13"/>
  <c r="CB62" i="13" s="1"/>
  <c r="BC62" i="13"/>
  <c r="BI62" i="13" s="1"/>
  <c r="AO58" i="13"/>
  <c r="AO60" i="13"/>
  <c r="AO61" i="13"/>
  <c r="AO59" i="13"/>
  <c r="EM14" i="13"/>
  <c r="FJ14" i="13" s="1"/>
  <c r="EM13" i="13"/>
  <c r="FL13" i="13" s="1"/>
  <c r="EM19" i="13"/>
  <c r="FJ19" i="13" s="1"/>
  <c r="AI54" i="13"/>
  <c r="AF62" i="13"/>
  <c r="AI62" i="13" s="1"/>
  <c r="Q7" i="34"/>
  <c r="Q7" i="35"/>
  <c r="EI25" i="13"/>
  <c r="Z25" i="35"/>
  <c r="AA25" i="35" s="1"/>
  <c r="AB25" i="35" s="1"/>
  <c r="Z25" i="34"/>
  <c r="AA25" i="34" s="1"/>
  <c r="AB25" i="34" s="1"/>
  <c r="AF25" i="34" s="1"/>
  <c r="Z32" i="35"/>
  <c r="AA32" i="35" s="1"/>
  <c r="AB32" i="35" s="1"/>
  <c r="AF32" i="35" s="1"/>
  <c r="Z32" i="34"/>
  <c r="AA32" i="34" s="1"/>
  <c r="AB32" i="34" s="1"/>
  <c r="AF32" i="34" s="1"/>
  <c r="EI15" i="13"/>
  <c r="Z15" i="34"/>
  <c r="AA15" i="34" s="1"/>
  <c r="AB15" i="34" s="1"/>
  <c r="Z15" i="35"/>
  <c r="AA15" i="35" s="1"/>
  <c r="AB15" i="35" s="1"/>
  <c r="Z38" i="35"/>
  <c r="AA38" i="35" s="1"/>
  <c r="AB38" i="35" s="1"/>
  <c r="AF38" i="35" s="1"/>
  <c r="Z38" i="34"/>
  <c r="AA38" i="34" s="1"/>
  <c r="AB38" i="34" s="1"/>
  <c r="AF38" i="34" s="1"/>
  <c r="Z39" i="35"/>
  <c r="AA39" i="35" s="1"/>
  <c r="AB39" i="35" s="1"/>
  <c r="AF39" i="35" s="1"/>
  <c r="Z39" i="34"/>
  <c r="AA39" i="34" s="1"/>
  <c r="AB39" i="34" s="1"/>
  <c r="AF39" i="34" s="1"/>
  <c r="EI8" i="13"/>
  <c r="Z8" i="35"/>
  <c r="AA8" i="35" s="1"/>
  <c r="AB8" i="35" s="1"/>
  <c r="AF8" i="35" s="1"/>
  <c r="Z31" i="35"/>
  <c r="AA31" i="35" s="1"/>
  <c r="AB31" i="35" s="1"/>
  <c r="Z31" i="34"/>
  <c r="AA31" i="34" s="1"/>
  <c r="AB31" i="34" s="1"/>
  <c r="Z41" i="34"/>
  <c r="AA41" i="34" s="1"/>
  <c r="AB41" i="34" s="1"/>
  <c r="AF41" i="34" s="1"/>
  <c r="Z41" i="35"/>
  <c r="AA41" i="35" s="1"/>
  <c r="AB41" i="35" s="1"/>
  <c r="AF41" i="35" s="1"/>
  <c r="EI16" i="13"/>
  <c r="Z16" i="35"/>
  <c r="AA16" i="35" s="1"/>
  <c r="AB16" i="35" s="1"/>
  <c r="Z16" i="34"/>
  <c r="AA16" i="34" s="1"/>
  <c r="AB16" i="34" s="1"/>
  <c r="FJ10" i="13"/>
  <c r="AI10" i="39" s="1"/>
  <c r="Z10" i="35"/>
  <c r="AA10" i="35" s="1"/>
  <c r="AB10" i="35" s="1"/>
  <c r="Z10" i="34"/>
  <c r="AA10" i="34" s="1"/>
  <c r="AB10" i="34" s="1"/>
  <c r="Z40" i="35"/>
  <c r="AA40" i="35" s="1"/>
  <c r="AB40" i="35" s="1"/>
  <c r="AF40" i="35" s="1"/>
  <c r="Z40" i="34"/>
  <c r="AA40" i="34" s="1"/>
  <c r="AB40" i="34" s="1"/>
  <c r="Z34" i="35"/>
  <c r="AA34" i="35" s="1"/>
  <c r="AB34" i="35" s="1"/>
  <c r="AF34" i="35" s="1"/>
  <c r="Z34" i="34"/>
  <c r="AA34" i="34" s="1"/>
  <c r="AB34" i="34" s="1"/>
  <c r="FJ18" i="13"/>
  <c r="AI18" i="39" s="1"/>
  <c r="Z18" i="35"/>
  <c r="AA18" i="35" s="1"/>
  <c r="AB18" i="35" s="1"/>
  <c r="Z18" i="34"/>
  <c r="AA18" i="34" s="1"/>
  <c r="AB18" i="34" s="1"/>
  <c r="Z35" i="35"/>
  <c r="AA35" i="35" s="1"/>
  <c r="AB35" i="35" s="1"/>
  <c r="AF35" i="35" s="1"/>
  <c r="Z35" i="34"/>
  <c r="AA35" i="34" s="1"/>
  <c r="AB35" i="34" s="1"/>
  <c r="AF35" i="34" s="1"/>
  <c r="Z37" i="34"/>
  <c r="AA37" i="34" s="1"/>
  <c r="AB37" i="34" s="1"/>
  <c r="AF37" i="34" s="1"/>
  <c r="Z37" i="35"/>
  <c r="AA37" i="35" s="1"/>
  <c r="AB37" i="35" s="1"/>
  <c r="AF37" i="35" s="1"/>
  <c r="Z42" i="34"/>
  <c r="AA42" i="34" s="1"/>
  <c r="AB42" i="34" s="1"/>
  <c r="AF42" i="34" s="1"/>
  <c r="Z42" i="35"/>
  <c r="AA42" i="35" s="1"/>
  <c r="AB42" i="35" s="1"/>
  <c r="AF42" i="35" s="1"/>
  <c r="Z46" i="34"/>
  <c r="AA46" i="34" s="1"/>
  <c r="AB46" i="34" s="1"/>
  <c r="AF46" i="34" s="1"/>
  <c r="Z46" i="35"/>
  <c r="AA46" i="35" s="1"/>
  <c r="AB46" i="35" s="1"/>
  <c r="AF46" i="35" s="1"/>
  <c r="EI29" i="13"/>
  <c r="Z29" i="35"/>
  <c r="AA29" i="35" s="1"/>
  <c r="AB29" i="35" s="1"/>
  <c r="Z29" i="34"/>
  <c r="AA29" i="34" s="1"/>
  <c r="AB29" i="34" s="1"/>
  <c r="Z43" i="34"/>
  <c r="AA43" i="34" s="1"/>
  <c r="AB43" i="34" s="1"/>
  <c r="Z43" i="35"/>
  <c r="AA43" i="35" s="1"/>
  <c r="AB43" i="35" s="1"/>
  <c r="AF43" i="35" s="1"/>
  <c r="EI9" i="13"/>
  <c r="Z36" i="34"/>
  <c r="AA36" i="34" s="1"/>
  <c r="AB36" i="34" s="1"/>
  <c r="Z36" i="35"/>
  <c r="AA36" i="35" s="1"/>
  <c r="AB36" i="35" s="1"/>
  <c r="AF36" i="35" s="1"/>
  <c r="EI17" i="13"/>
  <c r="Z17" i="34"/>
  <c r="AA17" i="34" s="1"/>
  <c r="AB17" i="34" s="1"/>
  <c r="Z17" i="35"/>
  <c r="AA17" i="35" s="1"/>
  <c r="AB17" i="35" s="1"/>
  <c r="Z19" i="34"/>
  <c r="AA19" i="34" s="1"/>
  <c r="AB19" i="34" s="1"/>
  <c r="AF19" i="34" s="1"/>
  <c r="Z19" i="35"/>
  <c r="AA19" i="35" s="1"/>
  <c r="AB19" i="35" s="1"/>
  <c r="Z45" i="34"/>
  <c r="AA45" i="34" s="1"/>
  <c r="AB45" i="34" s="1"/>
  <c r="AF45" i="34" s="1"/>
  <c r="Z45" i="35"/>
  <c r="AA45" i="35" s="1"/>
  <c r="AB45" i="35" s="1"/>
  <c r="AF45" i="35" s="1"/>
  <c r="EI11" i="13"/>
  <c r="Z11" i="35"/>
  <c r="AA11" i="35" s="1"/>
  <c r="AB11" i="35" s="1"/>
  <c r="Z11" i="34"/>
  <c r="AA11" i="34" s="1"/>
  <c r="AB11" i="34" s="1"/>
  <c r="Z30" i="35"/>
  <c r="AA30" i="35" s="1"/>
  <c r="AB30" i="35" s="1"/>
  <c r="AF30" i="35" s="1"/>
  <c r="Z30" i="34"/>
  <c r="AA30" i="34" s="1"/>
  <c r="AB30" i="34" s="1"/>
  <c r="AF30" i="34" s="1"/>
  <c r="EI27" i="13"/>
  <c r="Z27" i="35"/>
  <c r="AA27" i="35" s="1"/>
  <c r="AB27" i="35" s="1"/>
  <c r="Z27" i="34"/>
  <c r="AA27" i="34" s="1"/>
  <c r="AB27" i="34" s="1"/>
  <c r="EI28" i="13"/>
  <c r="Z28" i="34"/>
  <c r="AA28" i="34" s="1"/>
  <c r="AB28" i="34" s="1"/>
  <c r="AF28" i="34" s="1"/>
  <c r="Z28" i="35"/>
  <c r="AA28" i="35" s="1"/>
  <c r="AB28" i="35" s="1"/>
  <c r="Z44" i="34"/>
  <c r="AA44" i="34" s="1"/>
  <c r="AB44" i="34" s="1"/>
  <c r="AF44" i="34" s="1"/>
  <c r="Z44" i="35"/>
  <c r="AA44" i="35" s="1"/>
  <c r="AB44" i="35" s="1"/>
  <c r="AF44" i="35" s="1"/>
  <c r="Z14" i="34"/>
  <c r="AA14" i="34" s="1"/>
  <c r="AB14" i="34" s="1"/>
  <c r="AF14" i="34" s="1"/>
  <c r="Z14" i="35"/>
  <c r="AA14" i="35" s="1"/>
  <c r="AB14" i="35" s="1"/>
  <c r="Z33" i="34"/>
  <c r="AA33" i="34" s="1"/>
  <c r="AB33" i="34" s="1"/>
  <c r="AF33" i="34" s="1"/>
  <c r="Z33" i="35"/>
  <c r="AA33" i="35" s="1"/>
  <c r="AB33" i="35" s="1"/>
  <c r="AF33" i="35" s="1"/>
  <c r="AC42" i="34"/>
  <c r="D42" i="34" s="1"/>
  <c r="AC42" i="35"/>
  <c r="D42" i="35" s="1"/>
  <c r="AC44" i="34"/>
  <c r="D44" i="34" s="1"/>
  <c r="AC44" i="35"/>
  <c r="D44" i="35" s="1"/>
  <c r="AC41" i="34"/>
  <c r="D41" i="34" s="1"/>
  <c r="AC41" i="35"/>
  <c r="D41" i="35" s="1"/>
  <c r="AC46" i="34"/>
  <c r="D46" i="34" s="1"/>
  <c r="AC46" i="35"/>
  <c r="D46" i="35" s="1"/>
  <c r="AC45" i="34"/>
  <c r="D45" i="34" s="1"/>
  <c r="AC45" i="35"/>
  <c r="D45" i="35" s="1"/>
  <c r="FJ17" i="13"/>
  <c r="AI17" i="39" s="1"/>
  <c r="FJ11" i="13"/>
  <c r="AI11" i="39" s="1"/>
  <c r="FJ15" i="13"/>
  <c r="AI15" i="39" s="1"/>
  <c r="FJ27" i="13"/>
  <c r="AI27" i="39" s="1"/>
  <c r="FJ25" i="13"/>
  <c r="AI25" i="39" s="1"/>
  <c r="EL17" i="13"/>
  <c r="EL13" i="13"/>
  <c r="AO69" i="13"/>
  <c r="EL14" i="13"/>
  <c r="BI69" i="13"/>
  <c r="DN69" i="13"/>
  <c r="EL28" i="13"/>
  <c r="EL27" i="13"/>
  <c r="EL15" i="13"/>
  <c r="CU69" i="13"/>
  <c r="D14" i="14"/>
  <c r="AT65" i="13"/>
  <c r="D21" i="14" s="1"/>
  <c r="EL8" i="13"/>
  <c r="AA69" i="13"/>
  <c r="CB69" i="13"/>
  <c r="EL18" i="13"/>
  <c r="EI18" i="13"/>
  <c r="EL10" i="13"/>
  <c r="EI10" i="13"/>
  <c r="EL19" i="13"/>
  <c r="AA62" i="13"/>
  <c r="AK62" i="13"/>
  <c r="AN62" i="13" s="1"/>
  <c r="AN54" i="13"/>
  <c r="EL9" i="13"/>
  <c r="EL29" i="13"/>
  <c r="EL16" i="13"/>
  <c r="EL25" i="13"/>
  <c r="EL11" i="13"/>
  <c r="EH7" i="13"/>
  <c r="H7" i="39" s="1"/>
  <c r="D27" i="14"/>
  <c r="Z9" i="34" l="1"/>
  <c r="AA9" i="34" s="1"/>
  <c r="AB9" i="34" s="1"/>
  <c r="FM12" i="13"/>
  <c r="EJ27" i="13"/>
  <c r="J27" i="39" s="1"/>
  <c r="I27" i="39"/>
  <c r="EJ17" i="13"/>
  <c r="J17" i="39" s="1"/>
  <c r="I17" i="39"/>
  <c r="AG28" i="39"/>
  <c r="FI28" i="13"/>
  <c r="EJ28" i="13"/>
  <c r="J28" i="39" s="1"/>
  <c r="I28" i="39"/>
  <c r="EJ11" i="13"/>
  <c r="J11" i="39" s="1"/>
  <c r="I11" i="39"/>
  <c r="EJ15" i="13"/>
  <c r="J15" i="39" s="1"/>
  <c r="I15" i="39"/>
  <c r="EJ29" i="13"/>
  <c r="J29" i="39" s="1"/>
  <c r="I29" i="39"/>
  <c r="EJ25" i="13"/>
  <c r="J25" i="39" s="1"/>
  <c r="I25" i="39"/>
  <c r="FI29" i="13"/>
  <c r="AG29" i="39"/>
  <c r="EJ19" i="13"/>
  <c r="J19" i="39" s="1"/>
  <c r="I19" i="39"/>
  <c r="EJ18" i="13"/>
  <c r="J18" i="39" s="1"/>
  <c r="I18" i="39"/>
  <c r="EJ16" i="13"/>
  <c r="J16" i="39" s="1"/>
  <c r="I16" i="39"/>
  <c r="AI19" i="39"/>
  <c r="FM22" i="13"/>
  <c r="AI22" i="39"/>
  <c r="EJ13" i="13"/>
  <c r="J13" i="39" s="1"/>
  <c r="I13" i="39"/>
  <c r="EJ10" i="13"/>
  <c r="J10" i="39" s="1"/>
  <c r="I10" i="39"/>
  <c r="AG9" i="39"/>
  <c r="FI9" i="13"/>
  <c r="EJ9" i="13"/>
  <c r="J9" i="39" s="1"/>
  <c r="I9" i="39"/>
  <c r="EJ8" i="13"/>
  <c r="J8" i="39" s="1"/>
  <c r="I8" i="39"/>
  <c r="FI8" i="13"/>
  <c r="AG8" i="39"/>
  <c r="AI14" i="39"/>
  <c r="EJ14" i="13"/>
  <c r="J14" i="39" s="1"/>
  <c r="I14" i="39"/>
  <c r="EM7" i="13"/>
  <c r="EN14" i="13" s="1"/>
  <c r="N14" i="39" s="1"/>
  <c r="EI7" i="13"/>
  <c r="I7" i="39" s="1"/>
  <c r="FM15" i="13"/>
  <c r="FM27" i="13"/>
  <c r="FL14" i="13"/>
  <c r="FL19" i="13"/>
  <c r="AO62" i="13"/>
  <c r="AO54" i="13"/>
  <c r="EN26" i="13"/>
  <c r="N26" i="39" s="1"/>
  <c r="EN20" i="13"/>
  <c r="EN19" i="13"/>
  <c r="N19" i="39" s="1"/>
  <c r="EN24" i="13"/>
  <c r="N24" i="39" s="1"/>
  <c r="EN21" i="13"/>
  <c r="N21" i="39" s="1"/>
  <c r="FJ13" i="13"/>
  <c r="Z13" i="34"/>
  <c r="AA13" i="34" s="1"/>
  <c r="AB13" i="34" s="1"/>
  <c r="AF13" i="34" s="1"/>
  <c r="Z13" i="35"/>
  <c r="AA13" i="35" s="1"/>
  <c r="AB13" i="35" s="1"/>
  <c r="EL7" i="13"/>
  <c r="FE7" i="13"/>
  <c r="FG7" i="13" s="1"/>
  <c r="FM11" i="13" l="1"/>
  <c r="FM18" i="13"/>
  <c r="FM19" i="13"/>
  <c r="FM17" i="13"/>
  <c r="FM10" i="13"/>
  <c r="EJ7" i="13"/>
  <c r="J7" i="39" s="1"/>
  <c r="FM25" i="13"/>
  <c r="AH28" i="39"/>
  <c r="FJ28" i="13"/>
  <c r="FL28" i="13"/>
  <c r="AH29" i="39"/>
  <c r="FL29" i="13"/>
  <c r="FJ29" i="13"/>
  <c r="EN13" i="13"/>
  <c r="N13" i="39" s="1"/>
  <c r="FM13" i="13"/>
  <c r="AI13" i="39"/>
  <c r="AH9" i="39"/>
  <c r="FJ9" i="13"/>
  <c r="FL9" i="13"/>
  <c r="J20" i="33" s="1"/>
  <c r="FH7" i="13"/>
  <c r="AG7" i="39" s="1"/>
  <c r="AF7" i="39"/>
  <c r="AH8" i="39"/>
  <c r="FL8" i="13"/>
  <c r="FJ8" i="13"/>
  <c r="EO20" i="13"/>
  <c r="N20" i="39"/>
  <c r="FM14" i="13"/>
  <c r="E19" i="33"/>
  <c r="F47" i="29"/>
  <c r="F47" i="38"/>
  <c r="L47" i="38" s="1"/>
  <c r="AC26" i="35"/>
  <c r="D26" i="35" s="1"/>
  <c r="AC26" i="34"/>
  <c r="D26" i="34" s="1"/>
  <c r="EO26" i="13"/>
  <c r="AC20" i="35"/>
  <c r="D20" i="35" s="1"/>
  <c r="AC20" i="34"/>
  <c r="D20" i="34" s="1"/>
  <c r="AC14" i="34"/>
  <c r="D14" i="34" s="1"/>
  <c r="EO14" i="13"/>
  <c r="AC14" i="35"/>
  <c r="D14" i="35" s="1"/>
  <c r="AC19" i="34"/>
  <c r="D19" i="34" s="1"/>
  <c r="AC19" i="35"/>
  <c r="D19" i="35" s="1"/>
  <c r="EO19" i="13"/>
  <c r="EO24" i="13"/>
  <c r="AC24" i="35"/>
  <c r="D24" i="35" s="1"/>
  <c r="AC24" i="34"/>
  <c r="D24" i="34" s="1"/>
  <c r="AC37" i="34"/>
  <c r="D37" i="34" s="1"/>
  <c r="AC37" i="35"/>
  <c r="D37" i="35" s="1"/>
  <c r="AC33" i="35"/>
  <c r="D33" i="35" s="1"/>
  <c r="AC33" i="34"/>
  <c r="D33" i="34" s="1"/>
  <c r="AC21" i="35"/>
  <c r="D21" i="35" s="1"/>
  <c r="AC21" i="34"/>
  <c r="D21" i="34" s="1"/>
  <c r="EO21" i="13"/>
  <c r="EN11" i="13"/>
  <c r="AC34" i="34"/>
  <c r="D34" i="34" s="1"/>
  <c r="EN28" i="13"/>
  <c r="EN10" i="13"/>
  <c r="EN22" i="13"/>
  <c r="EN16" i="13"/>
  <c r="AC40" i="34"/>
  <c r="D40" i="34" s="1"/>
  <c r="EN29" i="13"/>
  <c r="EN15" i="13"/>
  <c r="EN7" i="13"/>
  <c r="EN18" i="13"/>
  <c r="AD38" i="34"/>
  <c r="AD45" i="34"/>
  <c r="AD31" i="34"/>
  <c r="AD46" i="34"/>
  <c r="AD34" i="34"/>
  <c r="AD37" i="34"/>
  <c r="AD33" i="34"/>
  <c r="AD32" i="34"/>
  <c r="AD40" i="34"/>
  <c r="AD41" i="34"/>
  <c r="AD43" i="34"/>
  <c r="AD30" i="34"/>
  <c r="AD44" i="34"/>
  <c r="AD39" i="34"/>
  <c r="AD42" i="34"/>
  <c r="AD36" i="34"/>
  <c r="AD35" i="34"/>
  <c r="AC43" i="34"/>
  <c r="D43" i="34" s="1"/>
  <c r="AC43" i="35"/>
  <c r="D43" i="35" s="1"/>
  <c r="AD31" i="35"/>
  <c r="AD46" i="35"/>
  <c r="AD43" i="35"/>
  <c r="AD39" i="35"/>
  <c r="AD44" i="35"/>
  <c r="AD33" i="35"/>
  <c r="AD35" i="35"/>
  <c r="AD34" i="35"/>
  <c r="AD38" i="35"/>
  <c r="AD40" i="35"/>
  <c r="AD45" i="35"/>
  <c r="AD32" i="35"/>
  <c r="AD36" i="35"/>
  <c r="AD42" i="35"/>
  <c r="AD41" i="35"/>
  <c r="AD37" i="35"/>
  <c r="EN23" i="13"/>
  <c r="N23" i="39" s="1"/>
  <c r="EN25" i="13"/>
  <c r="N25" i="39" s="1"/>
  <c r="EN9" i="13"/>
  <c r="N9" i="39" s="1"/>
  <c r="EN12" i="13"/>
  <c r="N12" i="39" s="1"/>
  <c r="EN17" i="13"/>
  <c r="N17" i="39" s="1"/>
  <c r="EN8" i="13"/>
  <c r="N8" i="39" s="1"/>
  <c r="FJ16" i="13"/>
  <c r="EN27" i="13"/>
  <c r="N27" i="39" s="1"/>
  <c r="L22" i="33"/>
  <c r="G22" i="33"/>
  <c r="C27" i="14"/>
  <c r="T47" i="38" l="1"/>
  <c r="O47" i="38"/>
  <c r="Y47" i="38"/>
  <c r="V47" i="38"/>
  <c r="Q47" i="38"/>
  <c r="C48" i="38"/>
  <c r="J48" i="38" s="1"/>
  <c r="Z7" i="34"/>
  <c r="AA7" i="34" s="1"/>
  <c r="AB7" i="34" s="1"/>
  <c r="E20" i="33"/>
  <c r="J19" i="33"/>
  <c r="J18" i="33"/>
  <c r="E18" i="33"/>
  <c r="FI7" i="13"/>
  <c r="AH7" i="39" s="1"/>
  <c r="FM16" i="13"/>
  <c r="AI16" i="39"/>
  <c r="AI29" i="39"/>
  <c r="FM29" i="13"/>
  <c r="AI28" i="39"/>
  <c r="FM28" i="13"/>
  <c r="AC13" i="34"/>
  <c r="D13" i="34" s="1"/>
  <c r="AC13" i="35"/>
  <c r="D13" i="35" s="1"/>
  <c r="EO13" i="13"/>
  <c r="AI9" i="39"/>
  <c r="FM9" i="13"/>
  <c r="AI8" i="39"/>
  <c r="FM8" i="13"/>
  <c r="AC18" i="35"/>
  <c r="D18" i="35" s="1"/>
  <c r="N18" i="39"/>
  <c r="AC28" i="34"/>
  <c r="D28" i="34" s="1"/>
  <c r="N28" i="39"/>
  <c r="EO7" i="13"/>
  <c r="N7" i="39"/>
  <c r="EO16" i="13"/>
  <c r="N16" i="39"/>
  <c r="AC15" i="35"/>
  <c r="D15" i="35" s="1"/>
  <c r="N15" i="39"/>
  <c r="EO22" i="13"/>
  <c r="N22" i="39"/>
  <c r="AC11" i="34"/>
  <c r="D11" i="34" s="1"/>
  <c r="N11" i="39"/>
  <c r="EO29" i="13"/>
  <c r="N29" i="39"/>
  <c r="AC10" i="35"/>
  <c r="D10" i="35" s="1"/>
  <c r="N10" i="39"/>
  <c r="EF7" i="13"/>
  <c r="W7" i="34"/>
  <c r="W7" i="35"/>
  <c r="CZ57" i="13"/>
  <c r="G13" i="14" s="1"/>
  <c r="CK58" i="13"/>
  <c r="CO58" i="13" s="1"/>
  <c r="CU58" i="13" s="1"/>
  <c r="CK55" i="13"/>
  <c r="CK60" i="13"/>
  <c r="CO60" i="13" s="1"/>
  <c r="CU60" i="13" s="1"/>
  <c r="CK57" i="13"/>
  <c r="CO57" i="13" s="1"/>
  <c r="CU57" i="13" s="1"/>
  <c r="CZ62" i="13"/>
  <c r="G18" i="14" s="1"/>
  <c r="CZ63" i="13"/>
  <c r="G19" i="14" s="1"/>
  <c r="CZ60" i="13"/>
  <c r="G16" i="14" s="1"/>
  <c r="CK59" i="13"/>
  <c r="CO59" i="13" s="1"/>
  <c r="CU59" i="13" s="1"/>
  <c r="CZ61" i="13"/>
  <c r="G17" i="14" s="1"/>
  <c r="CK56" i="13"/>
  <c r="CO56" i="13" s="1"/>
  <c r="CU56" i="13" s="1"/>
  <c r="CZ59" i="13"/>
  <c r="G15" i="14" s="1"/>
  <c r="CK61" i="13"/>
  <c r="CO61" i="13" s="1"/>
  <c r="CU61" i="13" s="1"/>
  <c r="CZ64" i="13"/>
  <c r="G20" i="14" s="1"/>
  <c r="CZ58" i="13"/>
  <c r="AD23" i="34"/>
  <c r="AD21" i="34"/>
  <c r="AD22" i="34"/>
  <c r="AD13" i="34"/>
  <c r="AD20" i="34"/>
  <c r="AD14" i="34"/>
  <c r="AD16" i="34"/>
  <c r="AD29" i="34"/>
  <c r="F20" i="33"/>
  <c r="K18" i="33"/>
  <c r="F18" i="33"/>
  <c r="K19" i="33"/>
  <c r="K20" i="33"/>
  <c r="F19" i="33"/>
  <c r="AD27" i="34"/>
  <c r="AD17" i="34"/>
  <c r="AD25" i="34"/>
  <c r="AD12" i="34"/>
  <c r="AD10" i="34"/>
  <c r="AD11" i="34"/>
  <c r="AD19" i="34"/>
  <c r="AD15" i="34"/>
  <c r="AD24" i="34"/>
  <c r="AD26" i="34"/>
  <c r="AD18" i="34"/>
  <c r="AD28" i="34"/>
  <c r="Z7" i="35"/>
  <c r="AA7" i="35" s="1"/>
  <c r="AD26" i="35" s="1"/>
  <c r="AD30" i="35"/>
  <c r="E51" i="29"/>
  <c r="K47" i="29"/>
  <c r="Q47" i="29" s="1"/>
  <c r="E50" i="38"/>
  <c r="EO10" i="13"/>
  <c r="AC10" i="34"/>
  <c r="D10" i="34" s="1"/>
  <c r="EO11" i="13"/>
  <c r="AC11" i="35"/>
  <c r="D11" i="35" s="1"/>
  <c r="AC28" i="35"/>
  <c r="D28" i="35" s="1"/>
  <c r="AC22" i="34"/>
  <c r="D22" i="34" s="1"/>
  <c r="AC34" i="35"/>
  <c r="D34" i="35" s="1"/>
  <c r="AC16" i="34"/>
  <c r="D16" i="34" s="1"/>
  <c r="AC22" i="35"/>
  <c r="D22" i="35" s="1"/>
  <c r="EO28" i="13"/>
  <c r="AC29" i="35"/>
  <c r="D29" i="35" s="1"/>
  <c r="AC29" i="34"/>
  <c r="D29" i="34" s="1"/>
  <c r="AC16" i="35"/>
  <c r="D16" i="35" s="1"/>
  <c r="EO15" i="13"/>
  <c r="AC15" i="34"/>
  <c r="D15" i="34" s="1"/>
  <c r="EO18" i="13"/>
  <c r="AC7" i="34"/>
  <c r="D7" i="34" s="1"/>
  <c r="AC7" i="35"/>
  <c r="D7" i="35" s="1"/>
  <c r="AC18" i="34"/>
  <c r="D18" i="34" s="1"/>
  <c r="AC40" i="35"/>
  <c r="D40" i="35" s="1"/>
  <c r="AE37" i="35"/>
  <c r="C37" i="35" s="1"/>
  <c r="AE35" i="34"/>
  <c r="C35" i="34" s="1"/>
  <c r="EO9" i="13"/>
  <c r="AC9" i="34"/>
  <c r="D9" i="34" s="1"/>
  <c r="AC9" i="35"/>
  <c r="D9" i="35" s="1"/>
  <c r="EO27" i="13"/>
  <c r="AC27" i="35"/>
  <c r="D27" i="35" s="1"/>
  <c r="AC27" i="34"/>
  <c r="D27" i="34" s="1"/>
  <c r="EO25" i="13"/>
  <c r="AC25" i="34"/>
  <c r="D25" i="34" s="1"/>
  <c r="AC25" i="35"/>
  <c r="D25" i="35" s="1"/>
  <c r="AC38" i="34"/>
  <c r="D38" i="34" s="1"/>
  <c r="AC38" i="35"/>
  <c r="D38" i="35" s="1"/>
  <c r="EO17" i="13"/>
  <c r="AC17" i="34"/>
  <c r="D17" i="34" s="1"/>
  <c r="AC17" i="35"/>
  <c r="D17" i="35" s="1"/>
  <c r="AC39" i="34"/>
  <c r="D39" i="34" s="1"/>
  <c r="AC39" i="35"/>
  <c r="D39" i="35" s="1"/>
  <c r="EO23" i="13"/>
  <c r="AC23" i="34"/>
  <c r="D23" i="34" s="1"/>
  <c r="AC23" i="35"/>
  <c r="D23" i="35" s="1"/>
  <c r="AE42" i="35"/>
  <c r="AE45" i="35"/>
  <c r="AE44" i="35"/>
  <c r="AE43" i="35"/>
  <c r="AE36" i="34"/>
  <c r="AE39" i="34"/>
  <c r="AE44" i="34"/>
  <c r="AE40" i="34"/>
  <c r="AE34" i="34"/>
  <c r="EO8" i="13"/>
  <c r="AC8" i="34"/>
  <c r="D8" i="34" s="1"/>
  <c r="AC8" i="35"/>
  <c r="D8" i="35" s="1"/>
  <c r="AC31" i="34"/>
  <c r="D31" i="34" s="1"/>
  <c r="AC31" i="35"/>
  <c r="D31" i="35" s="1"/>
  <c r="EO12" i="13"/>
  <c r="AC12" i="34"/>
  <c r="D12" i="34" s="1"/>
  <c r="AC12" i="35"/>
  <c r="D12" i="35" s="1"/>
  <c r="AC36" i="34"/>
  <c r="D36" i="34" s="1"/>
  <c r="AC36" i="35"/>
  <c r="D36" i="35" s="1"/>
  <c r="AC30" i="34"/>
  <c r="D30" i="34" s="1"/>
  <c r="AC30" i="35"/>
  <c r="D30" i="35" s="1"/>
  <c r="AC32" i="34"/>
  <c r="D32" i="34" s="1"/>
  <c r="AC32" i="35"/>
  <c r="D32" i="35" s="1"/>
  <c r="AC35" i="34"/>
  <c r="D35" i="34" s="1"/>
  <c r="AC35" i="35"/>
  <c r="D35" i="35" s="1"/>
  <c r="AE40" i="35"/>
  <c r="AE39" i="35"/>
  <c r="AE31" i="35"/>
  <c r="AE41" i="34"/>
  <c r="AE37" i="34"/>
  <c r="AE31" i="34"/>
  <c r="AF31" i="34" s="1"/>
  <c r="AE38" i="34"/>
  <c r="AE32" i="35"/>
  <c r="AE34" i="35"/>
  <c r="AE42" i="34"/>
  <c r="AE43" i="34"/>
  <c r="AE33" i="34"/>
  <c r="AE45" i="34"/>
  <c r="AE41" i="35"/>
  <c r="AE36" i="35"/>
  <c r="AE38" i="35"/>
  <c r="AE35" i="35"/>
  <c r="AE33" i="35"/>
  <c r="AE46" i="35"/>
  <c r="AE30" i="34"/>
  <c r="AE32" i="34"/>
  <c r="AE46" i="34"/>
  <c r="L17" i="33"/>
  <c r="G17" i="33"/>
  <c r="AD9" i="34" l="1"/>
  <c r="AD7" i="34"/>
  <c r="FJ7" i="13"/>
  <c r="FM7" i="13" s="1"/>
  <c r="D15" i="33" s="1"/>
  <c r="FL7" i="13"/>
  <c r="I19" i="33" s="1"/>
  <c r="M19" i="33" s="1"/>
  <c r="AD8" i="34"/>
  <c r="E10" i="33"/>
  <c r="J11" i="33"/>
  <c r="J9" i="33"/>
  <c r="E12" i="33"/>
  <c r="E8" i="33"/>
  <c r="J12" i="33"/>
  <c r="E15" i="33"/>
  <c r="E13" i="33"/>
  <c r="E11" i="33"/>
  <c r="J15" i="33"/>
  <c r="J14" i="33"/>
  <c r="E9" i="33"/>
  <c r="J13" i="33"/>
  <c r="J8" i="33"/>
  <c r="E14" i="33"/>
  <c r="J10" i="33"/>
  <c r="G14" i="14"/>
  <c r="CZ65" i="13"/>
  <c r="G21" i="14" s="1"/>
  <c r="CK62" i="13"/>
  <c r="CO62" i="13" s="1"/>
  <c r="CU62" i="13" s="1"/>
  <c r="CO55" i="13"/>
  <c r="CU55" i="13" s="1"/>
  <c r="AE29" i="34"/>
  <c r="C29" i="34" s="1"/>
  <c r="AD27" i="35"/>
  <c r="AE16" i="34"/>
  <c r="C16" i="34" s="1"/>
  <c r="G16" i="33"/>
  <c r="G23" i="33"/>
  <c r="G21" i="33" s="1"/>
  <c r="L16" i="33"/>
  <c r="L23" i="33"/>
  <c r="L21" i="33" s="1"/>
  <c r="AE12" i="34"/>
  <c r="C12" i="34" s="1"/>
  <c r="AE20" i="34"/>
  <c r="C20" i="34" s="1"/>
  <c r="AE14" i="34"/>
  <c r="C14" i="34" s="1"/>
  <c r="AE28" i="34"/>
  <c r="C28" i="34" s="1"/>
  <c r="AE25" i="34"/>
  <c r="C25" i="34" s="1"/>
  <c r="AE19" i="34"/>
  <c r="C19" i="34" s="1"/>
  <c r="AE18" i="34"/>
  <c r="C18" i="34" s="1"/>
  <c r="AE24" i="34"/>
  <c r="C24" i="34" s="1"/>
  <c r="F14" i="33"/>
  <c r="K9" i="33"/>
  <c r="K10" i="33"/>
  <c r="K8" i="33"/>
  <c r="K12" i="33"/>
  <c r="K13" i="33"/>
  <c r="K14" i="33"/>
  <c r="K11" i="33"/>
  <c r="F9" i="33"/>
  <c r="K15" i="33"/>
  <c r="F13" i="33"/>
  <c r="F10" i="33"/>
  <c r="F11" i="33"/>
  <c r="F15" i="33"/>
  <c r="F8" i="33"/>
  <c r="F12" i="33"/>
  <c r="AE17" i="34"/>
  <c r="C17" i="34" s="1"/>
  <c r="AE15" i="34"/>
  <c r="C15" i="34" s="1"/>
  <c r="AE26" i="34"/>
  <c r="C26" i="34" s="1"/>
  <c r="AE27" i="34"/>
  <c r="C27" i="34" s="1"/>
  <c r="AE11" i="34"/>
  <c r="AF11" i="34" s="1"/>
  <c r="AE21" i="34"/>
  <c r="C21" i="34" s="1"/>
  <c r="AE23" i="34"/>
  <c r="C23" i="34" s="1"/>
  <c r="AE10" i="34"/>
  <c r="C10" i="34" s="1"/>
  <c r="AE22" i="34"/>
  <c r="C22" i="34" s="1"/>
  <c r="AE13" i="34"/>
  <c r="C13" i="34" s="1"/>
  <c r="AD14" i="35"/>
  <c r="AD18" i="35"/>
  <c r="AD9" i="35"/>
  <c r="AD10" i="35"/>
  <c r="AD8" i="35"/>
  <c r="AD29" i="35"/>
  <c r="AD7" i="35"/>
  <c r="AD21" i="35"/>
  <c r="AD13" i="35"/>
  <c r="AD25" i="35"/>
  <c r="AD23" i="35"/>
  <c r="AD22" i="35"/>
  <c r="AD20" i="35"/>
  <c r="AD28" i="35"/>
  <c r="AB7" i="35"/>
  <c r="AD16" i="35"/>
  <c r="AD12" i="35"/>
  <c r="AD17" i="35"/>
  <c r="AD19" i="35"/>
  <c r="AD11" i="35"/>
  <c r="AD15" i="35"/>
  <c r="AD24" i="35"/>
  <c r="F22" i="33"/>
  <c r="K22" i="33"/>
  <c r="AE30" i="35"/>
  <c r="C30" i="35" s="1"/>
  <c r="C41" i="35"/>
  <c r="C37" i="34"/>
  <c r="C40" i="35"/>
  <c r="C34" i="34"/>
  <c r="AF34" i="34"/>
  <c r="C46" i="34"/>
  <c r="C33" i="35"/>
  <c r="C43" i="34"/>
  <c r="AF43" i="34"/>
  <c r="AF29" i="34"/>
  <c r="C42" i="35"/>
  <c r="C32" i="34"/>
  <c r="AF10" i="34"/>
  <c r="C38" i="35"/>
  <c r="AF22" i="34"/>
  <c r="C33" i="34"/>
  <c r="C34" i="35"/>
  <c r="C38" i="34"/>
  <c r="AF12" i="34"/>
  <c r="AF17" i="34"/>
  <c r="C39" i="34"/>
  <c r="C44" i="35"/>
  <c r="AF27" i="34"/>
  <c r="C35" i="35"/>
  <c r="C44" i="34"/>
  <c r="C30" i="34"/>
  <c r="C46" i="35"/>
  <c r="C36" i="35"/>
  <c r="C32" i="35"/>
  <c r="AF16" i="34"/>
  <c r="C39" i="35"/>
  <c r="C43" i="35"/>
  <c r="AF15" i="34"/>
  <c r="C45" i="34"/>
  <c r="AF18" i="34"/>
  <c r="C42" i="34"/>
  <c r="C31" i="34"/>
  <c r="C41" i="34"/>
  <c r="C31" i="35"/>
  <c r="AF31" i="35"/>
  <c r="C40" i="34"/>
  <c r="AF40" i="34"/>
  <c r="AF36" i="34"/>
  <c r="C36" i="34"/>
  <c r="C45" i="35"/>
  <c r="J22" i="33"/>
  <c r="E22" i="33"/>
  <c r="AE9" i="34" l="1"/>
  <c r="AF9" i="34" s="1"/>
  <c r="AE8" i="34"/>
  <c r="C8" i="34" s="1"/>
  <c r="AE7" i="34"/>
  <c r="AI7" i="39"/>
  <c r="I20" i="33"/>
  <c r="M20" i="33" s="1"/>
  <c r="D18" i="33"/>
  <c r="H18" i="33" s="1"/>
  <c r="D20" i="33"/>
  <c r="H20" i="33" s="1"/>
  <c r="I18" i="33"/>
  <c r="D19" i="33"/>
  <c r="H19" i="33" s="1"/>
  <c r="N19" i="33" s="1"/>
  <c r="D8" i="33"/>
  <c r="H8" i="33" s="1"/>
  <c r="I15" i="33"/>
  <c r="M15" i="33" s="1"/>
  <c r="I14" i="33"/>
  <c r="M14" i="33" s="1"/>
  <c r="D11" i="33"/>
  <c r="H11" i="33" s="1"/>
  <c r="I9" i="33"/>
  <c r="M9" i="33" s="1"/>
  <c r="D14" i="33"/>
  <c r="H14" i="33" s="1"/>
  <c r="D10" i="33"/>
  <c r="H10" i="33" s="1"/>
  <c r="D9" i="33"/>
  <c r="H9" i="33" s="1"/>
  <c r="I11" i="33"/>
  <c r="M11" i="33" s="1"/>
  <c r="I12" i="33"/>
  <c r="M12" i="33" s="1"/>
  <c r="I13" i="33"/>
  <c r="M13" i="33" s="1"/>
  <c r="I10" i="33"/>
  <c r="M10" i="33" s="1"/>
  <c r="I8" i="33"/>
  <c r="M8" i="33" s="1"/>
  <c r="D12" i="33"/>
  <c r="D13" i="33"/>
  <c r="H13" i="33" s="1"/>
  <c r="C9" i="34"/>
  <c r="C11" i="34"/>
  <c r="H15" i="33"/>
  <c r="AE13" i="35"/>
  <c r="AE29" i="35"/>
  <c r="AF29" i="35" s="1"/>
  <c r="AE26" i="35"/>
  <c r="AE27" i="35"/>
  <c r="AF27" i="35" s="1"/>
  <c r="AE14" i="35"/>
  <c r="AE8" i="35"/>
  <c r="C8" i="35" s="1"/>
  <c r="AE9" i="35"/>
  <c r="AF9" i="35" s="1"/>
  <c r="AE24" i="35"/>
  <c r="AF24" i="35" s="1"/>
  <c r="AE23" i="35"/>
  <c r="AF23" i="35" s="1"/>
  <c r="AE12" i="35"/>
  <c r="AF12" i="35" s="1"/>
  <c r="AE7" i="35"/>
  <c r="AF7" i="35" s="1"/>
  <c r="AE11" i="35"/>
  <c r="AE20" i="35"/>
  <c r="C20" i="35" s="1"/>
  <c r="AE28" i="35"/>
  <c r="AF28" i="35" s="1"/>
  <c r="AE17" i="35"/>
  <c r="AF17" i="35" s="1"/>
  <c r="AE19" i="35"/>
  <c r="AF19" i="35" s="1"/>
  <c r="AE18" i="35"/>
  <c r="AE25" i="35"/>
  <c r="AF25" i="35" s="1"/>
  <c r="AE21" i="35"/>
  <c r="AE16" i="35"/>
  <c r="AE22" i="35"/>
  <c r="AF22" i="35" s="1"/>
  <c r="AE10" i="35"/>
  <c r="AF10" i="35" s="1"/>
  <c r="AE15" i="35"/>
  <c r="AF15" i="35" s="1"/>
  <c r="K17" i="33"/>
  <c r="F17" i="33"/>
  <c r="AG42" i="34"/>
  <c r="C90" i="34" s="1"/>
  <c r="E90" i="34" s="1"/>
  <c r="AG44" i="35"/>
  <c r="C92" i="35" s="1"/>
  <c r="Z92" i="35" s="1"/>
  <c r="AG16" i="34"/>
  <c r="C64" i="34" s="1"/>
  <c r="AD64" i="34" s="1"/>
  <c r="AG14" i="34"/>
  <c r="C62" i="34" s="1"/>
  <c r="AG17" i="34"/>
  <c r="C65" i="34" s="1"/>
  <c r="AG38" i="35"/>
  <c r="C86" i="35" s="1"/>
  <c r="AG26" i="34"/>
  <c r="C74" i="34" s="1"/>
  <c r="AG21" i="34"/>
  <c r="C69" i="34" s="1"/>
  <c r="AG32" i="35"/>
  <c r="C80" i="35" s="1"/>
  <c r="AG36" i="35"/>
  <c r="C84" i="35" s="1"/>
  <c r="AG44" i="34"/>
  <c r="C92" i="34" s="1"/>
  <c r="AG11" i="34"/>
  <c r="C59" i="34" s="1"/>
  <c r="AG35" i="35"/>
  <c r="C83" i="35" s="1"/>
  <c r="AG12" i="34"/>
  <c r="C60" i="34" s="1"/>
  <c r="AG25" i="34"/>
  <c r="C73" i="34" s="1"/>
  <c r="AG38" i="34"/>
  <c r="C86" i="34" s="1"/>
  <c r="AG33" i="34"/>
  <c r="C81" i="34" s="1"/>
  <c r="AG32" i="34"/>
  <c r="C80" i="34" s="1"/>
  <c r="AG42" i="35"/>
  <c r="C90" i="35" s="1"/>
  <c r="AG33" i="35"/>
  <c r="C81" i="35" s="1"/>
  <c r="AG34" i="34"/>
  <c r="C82" i="34" s="1"/>
  <c r="AG45" i="35"/>
  <c r="C93" i="35" s="1"/>
  <c r="AG36" i="34"/>
  <c r="C84" i="34" s="1"/>
  <c r="AG35" i="34"/>
  <c r="C83" i="34" s="1"/>
  <c r="AG31" i="34"/>
  <c r="C79" i="34" s="1"/>
  <c r="AG18" i="34"/>
  <c r="C66" i="34" s="1"/>
  <c r="AG43" i="35"/>
  <c r="C91" i="35" s="1"/>
  <c r="AG39" i="35"/>
  <c r="C87" i="35" s="1"/>
  <c r="AG39" i="34"/>
  <c r="C87" i="34" s="1"/>
  <c r="AG24" i="34"/>
  <c r="C72" i="34" s="1"/>
  <c r="AG43" i="34"/>
  <c r="C91" i="34" s="1"/>
  <c r="AG40" i="35"/>
  <c r="C88" i="35" s="1"/>
  <c r="AG41" i="35"/>
  <c r="C89" i="35" s="1"/>
  <c r="AG19" i="34"/>
  <c r="C67" i="34" s="1"/>
  <c r="AG41" i="34"/>
  <c r="C89" i="34" s="1"/>
  <c r="AG10" i="34"/>
  <c r="C58" i="34" s="1"/>
  <c r="AG37" i="34"/>
  <c r="C85" i="34" s="1"/>
  <c r="AG37" i="35"/>
  <c r="C85" i="35" s="1"/>
  <c r="AG30" i="34"/>
  <c r="C78" i="34" s="1"/>
  <c r="AG40" i="34"/>
  <c r="C88" i="34" s="1"/>
  <c r="AG31" i="35"/>
  <c r="C79" i="35" s="1"/>
  <c r="AG45" i="34"/>
  <c r="C93" i="34" s="1"/>
  <c r="AG30" i="35"/>
  <c r="C78" i="35" s="1"/>
  <c r="AG15" i="34"/>
  <c r="C63" i="34" s="1"/>
  <c r="AG46" i="35"/>
  <c r="C94" i="35" s="1"/>
  <c r="AG28" i="34"/>
  <c r="C76" i="34" s="1"/>
  <c r="AG27" i="34"/>
  <c r="C75" i="34" s="1"/>
  <c r="AG34" i="35"/>
  <c r="C82" i="35" s="1"/>
  <c r="AG13" i="34"/>
  <c r="C61" i="34" s="1"/>
  <c r="AG22" i="34"/>
  <c r="C70" i="34" s="1"/>
  <c r="AG23" i="34"/>
  <c r="C71" i="34" s="1"/>
  <c r="AG29" i="34"/>
  <c r="C77" i="34" s="1"/>
  <c r="AG20" i="34"/>
  <c r="C68" i="34" s="1"/>
  <c r="AG46" i="34"/>
  <c r="C94" i="34" s="1"/>
  <c r="E17" i="33"/>
  <c r="J17" i="33"/>
  <c r="AC70" i="13"/>
  <c r="C7" i="34" l="1"/>
  <c r="AF7" i="34"/>
  <c r="AG9" i="34" s="1"/>
  <c r="C57" i="34" s="1"/>
  <c r="K57" i="34" s="1"/>
  <c r="N20" i="33"/>
  <c r="D22" i="33"/>
  <c r="H22" i="33"/>
  <c r="I22" i="33"/>
  <c r="M18" i="33"/>
  <c r="D17" i="33"/>
  <c r="D16" i="33" s="1"/>
  <c r="H12" i="33"/>
  <c r="N12" i="33" s="1"/>
  <c r="I17" i="33"/>
  <c r="I23" i="33" s="1"/>
  <c r="C13" i="35"/>
  <c r="AF13" i="35"/>
  <c r="E16" i="33"/>
  <c r="E23" i="33"/>
  <c r="E21" i="33" s="1"/>
  <c r="J16" i="33"/>
  <c r="J23" i="33"/>
  <c r="J21" i="33" s="1"/>
  <c r="F16" i="33"/>
  <c r="F23" i="33"/>
  <c r="F21" i="33" s="1"/>
  <c r="K16" i="33"/>
  <c r="K23" i="33"/>
  <c r="K21" i="33" s="1"/>
  <c r="N14" i="33"/>
  <c r="N13" i="33"/>
  <c r="N11" i="33"/>
  <c r="N15" i="33"/>
  <c r="C9" i="35"/>
  <c r="C25" i="35"/>
  <c r="M17" i="33"/>
  <c r="C7" i="35"/>
  <c r="C27" i="35"/>
  <c r="C24" i="35"/>
  <c r="C17" i="35"/>
  <c r="C14" i="35"/>
  <c r="AF14" i="35"/>
  <c r="C21" i="35"/>
  <c r="AF21" i="35"/>
  <c r="C11" i="35"/>
  <c r="AF11" i="35"/>
  <c r="C18" i="35"/>
  <c r="AF18" i="35"/>
  <c r="N9" i="33"/>
  <c r="C12" i="35"/>
  <c r="C15" i="35"/>
  <c r="C29" i="35"/>
  <c r="C28" i="35"/>
  <c r="C26" i="35"/>
  <c r="AF26" i="35"/>
  <c r="C16" i="35"/>
  <c r="AF16" i="35"/>
  <c r="N10" i="33"/>
  <c r="C19" i="35"/>
  <c r="C23" i="35"/>
  <c r="C10" i="35"/>
  <c r="C22" i="35"/>
  <c r="H92" i="35"/>
  <c r="I92" i="35"/>
  <c r="T92" i="35"/>
  <c r="U92" i="35" s="1"/>
  <c r="M92" i="35"/>
  <c r="F92" i="35"/>
  <c r="K92" i="35"/>
  <c r="N57" i="34"/>
  <c r="O57" i="34" s="1"/>
  <c r="Z57" i="34"/>
  <c r="M64" i="34"/>
  <c r="AD57" i="34"/>
  <c r="D57" i="34" s="1"/>
  <c r="I57" i="34"/>
  <c r="L64" i="34"/>
  <c r="M57" i="34"/>
  <c r="K64" i="34"/>
  <c r="AA92" i="35"/>
  <c r="R92" i="35"/>
  <c r="S92" i="35" s="1"/>
  <c r="X92" i="35"/>
  <c r="Y92" i="35" s="1"/>
  <c r="N92" i="35"/>
  <c r="O92" i="35" s="1"/>
  <c r="R64" i="34"/>
  <c r="S64" i="34" s="1"/>
  <c r="J92" i="35"/>
  <c r="E92" i="35"/>
  <c r="V92" i="35"/>
  <c r="W92" i="35" s="1"/>
  <c r="L92" i="35"/>
  <c r="H64" i="34"/>
  <c r="AB92" i="35"/>
  <c r="AC92" i="35"/>
  <c r="P92" i="35"/>
  <c r="Q92" i="35" s="1"/>
  <c r="G92" i="35"/>
  <c r="G57" i="34"/>
  <c r="J57" i="34"/>
  <c r="AA57" i="34"/>
  <c r="AB64" i="34"/>
  <c r="X64" i="34"/>
  <c r="Y64" i="34" s="1"/>
  <c r="P64" i="34"/>
  <c r="Q64" i="34" s="1"/>
  <c r="N64" i="34"/>
  <c r="O64" i="34" s="1"/>
  <c r="V64" i="34"/>
  <c r="W64" i="34" s="1"/>
  <c r="X90" i="34"/>
  <c r="Y90" i="34" s="1"/>
  <c r="K90" i="34"/>
  <c r="AA90" i="34"/>
  <c r="T90" i="34"/>
  <c r="U90" i="34" s="1"/>
  <c r="G90" i="34"/>
  <c r="I90" i="34"/>
  <c r="F90" i="34"/>
  <c r="P90" i="34"/>
  <c r="Q90" i="34" s="1"/>
  <c r="N90" i="34"/>
  <c r="O90" i="34" s="1"/>
  <c r="Z90" i="34"/>
  <c r="T64" i="34"/>
  <c r="U64" i="34" s="1"/>
  <c r="I64" i="34"/>
  <c r="AC64" i="34"/>
  <c r="AA64" i="34"/>
  <c r="J64" i="34"/>
  <c r="L90" i="34"/>
  <c r="V90" i="34"/>
  <c r="W90" i="34" s="1"/>
  <c r="AB90" i="34"/>
  <c r="M90" i="34"/>
  <c r="R90" i="34"/>
  <c r="S90" i="34" s="1"/>
  <c r="T57" i="34"/>
  <c r="U57" i="34" s="1"/>
  <c r="V57" i="34"/>
  <c r="W57" i="34" s="1"/>
  <c r="AB57" i="34"/>
  <c r="G64" i="34"/>
  <c r="F64" i="34"/>
  <c r="E64" i="34"/>
  <c r="Z64" i="34"/>
  <c r="J90" i="34"/>
  <c r="H90" i="34"/>
  <c r="AD90" i="34"/>
  <c r="D90" i="34" s="1"/>
  <c r="AC90" i="34"/>
  <c r="T94" i="34"/>
  <c r="U94" i="34" s="1"/>
  <c r="X94" i="34"/>
  <c r="Y94" i="34" s="1"/>
  <c r="AD94" i="34"/>
  <c r="AE94" i="34" s="1"/>
  <c r="N94" i="34"/>
  <c r="O94" i="34" s="1"/>
  <c r="V94" i="34"/>
  <c r="W94" i="34" s="1"/>
  <c r="AB94" i="34"/>
  <c r="Z94" i="34"/>
  <c r="AA94" i="34"/>
  <c r="P94" i="34"/>
  <c r="Q94" i="34" s="1"/>
  <c r="AC94" i="34"/>
  <c r="R94" i="34"/>
  <c r="S94" i="34" s="1"/>
  <c r="H75" i="34"/>
  <c r="AA75" i="34"/>
  <c r="P75" i="34"/>
  <c r="Q75" i="34" s="1"/>
  <c r="J75" i="34"/>
  <c r="AD75" i="34"/>
  <c r="V75" i="34"/>
  <c r="W75" i="34" s="1"/>
  <c r="E75" i="34"/>
  <c r="G75" i="34"/>
  <c r="Z75" i="34"/>
  <c r="AB75" i="34"/>
  <c r="X75" i="34"/>
  <c r="Y75" i="34" s="1"/>
  <c r="R75" i="34"/>
  <c r="S75" i="34" s="1"/>
  <c r="N75" i="34"/>
  <c r="O75" i="34" s="1"/>
  <c r="M75" i="34"/>
  <c r="K75" i="34"/>
  <c r="AC75" i="34"/>
  <c r="T75" i="34"/>
  <c r="U75" i="34" s="1"/>
  <c r="F75" i="34"/>
  <c r="L75" i="34"/>
  <c r="I75" i="34"/>
  <c r="X78" i="35"/>
  <c r="Y78" i="35" s="1"/>
  <c r="H78" i="35"/>
  <c r="AA78" i="35"/>
  <c r="N78" i="35"/>
  <c r="O78" i="35" s="1"/>
  <c r="R78" i="35"/>
  <c r="S78" i="35" s="1"/>
  <c r="AB78" i="35"/>
  <c r="L78" i="35"/>
  <c r="E78" i="35"/>
  <c r="F78" i="35"/>
  <c r="M78" i="35"/>
  <c r="J78" i="35"/>
  <c r="G78" i="35"/>
  <c r="T78" i="35"/>
  <c r="U78" i="35" s="1"/>
  <c r="V78" i="35"/>
  <c r="W78" i="35" s="1"/>
  <c r="I78" i="35"/>
  <c r="Z78" i="35"/>
  <c r="P78" i="35"/>
  <c r="Q78" i="35" s="1"/>
  <c r="AC78" i="35"/>
  <c r="K78" i="35"/>
  <c r="I85" i="34"/>
  <c r="AD85" i="34"/>
  <c r="T85" i="34"/>
  <c r="U85" i="34" s="1"/>
  <c r="J85" i="34"/>
  <c r="F85" i="34"/>
  <c r="AB85" i="34"/>
  <c r="X85" i="34"/>
  <c r="Y85" i="34" s="1"/>
  <c r="V85" i="34"/>
  <c r="W85" i="34" s="1"/>
  <c r="H85" i="34"/>
  <c r="N85" i="34"/>
  <c r="O85" i="34" s="1"/>
  <c r="L85" i="34"/>
  <c r="K85" i="34"/>
  <c r="M85" i="34"/>
  <c r="G85" i="34"/>
  <c r="E85" i="34"/>
  <c r="R85" i="34"/>
  <c r="S85" i="34" s="1"/>
  <c r="Z85" i="34"/>
  <c r="P85" i="34"/>
  <c r="Q85" i="34" s="1"/>
  <c r="AA85" i="34"/>
  <c r="AC85" i="34"/>
  <c r="AA79" i="34"/>
  <c r="K79" i="34"/>
  <c r="AD79" i="34"/>
  <c r="L79" i="34"/>
  <c r="Z79" i="34"/>
  <c r="P79" i="34"/>
  <c r="Q79" i="34" s="1"/>
  <c r="G79" i="34"/>
  <c r="E79" i="34"/>
  <c r="H79" i="34"/>
  <c r="V79" i="34"/>
  <c r="W79" i="34" s="1"/>
  <c r="J79" i="34"/>
  <c r="R79" i="34"/>
  <c r="S79" i="34" s="1"/>
  <c r="AB79" i="34"/>
  <c r="N79" i="34"/>
  <c r="O79" i="34" s="1"/>
  <c r="I79" i="34"/>
  <c r="X79" i="34"/>
  <c r="Y79" i="34" s="1"/>
  <c r="T79" i="34"/>
  <c r="U79" i="34" s="1"/>
  <c r="F79" i="34"/>
  <c r="AC79" i="34"/>
  <c r="M79" i="34"/>
  <c r="E80" i="34"/>
  <c r="AD80" i="34"/>
  <c r="AB80" i="34"/>
  <c r="X80" i="34"/>
  <c r="Y80" i="34" s="1"/>
  <c r="P80" i="34"/>
  <c r="Q80" i="34" s="1"/>
  <c r="AA80" i="34"/>
  <c r="H80" i="34"/>
  <c r="J80" i="34"/>
  <c r="F80" i="34"/>
  <c r="Z80" i="34"/>
  <c r="AC80" i="34"/>
  <c r="I80" i="34"/>
  <c r="M80" i="34"/>
  <c r="K80" i="34"/>
  <c r="V80" i="34"/>
  <c r="W80" i="34" s="1"/>
  <c r="N80" i="34"/>
  <c r="O80" i="34" s="1"/>
  <c r="G80" i="34"/>
  <c r="T80" i="34"/>
  <c r="U80" i="34" s="1"/>
  <c r="R80" i="34"/>
  <c r="S80" i="34" s="1"/>
  <c r="L80" i="34"/>
  <c r="V59" i="34"/>
  <c r="W59" i="34" s="1"/>
  <c r="T59" i="34"/>
  <c r="U59" i="34" s="1"/>
  <c r="K59" i="34"/>
  <c r="M59" i="34"/>
  <c r="AA59" i="34"/>
  <c r="H59" i="34"/>
  <c r="AC59" i="34"/>
  <c r="I59" i="34"/>
  <c r="L59" i="34"/>
  <c r="F59" i="34"/>
  <c r="Z59" i="34"/>
  <c r="X59" i="34"/>
  <c r="Y59" i="34" s="1"/>
  <c r="P59" i="34"/>
  <c r="Q59" i="34" s="1"/>
  <c r="J59" i="34"/>
  <c r="N59" i="34"/>
  <c r="O59" i="34" s="1"/>
  <c r="AB59" i="34"/>
  <c r="R59" i="34"/>
  <c r="S59" i="34" s="1"/>
  <c r="G59" i="34"/>
  <c r="E59" i="34"/>
  <c r="AD59" i="34"/>
  <c r="P86" i="35"/>
  <c r="Q86" i="35" s="1"/>
  <c r="J86" i="35"/>
  <c r="K86" i="35"/>
  <c r="R86" i="35"/>
  <c r="S86" i="35" s="1"/>
  <c r="T86" i="35"/>
  <c r="U86" i="35" s="1"/>
  <c r="E86" i="35"/>
  <c r="N86" i="35"/>
  <c r="O86" i="35" s="1"/>
  <c r="I86" i="35"/>
  <c r="AB86" i="35"/>
  <c r="Z86" i="35"/>
  <c r="AC86" i="35"/>
  <c r="AA86" i="35"/>
  <c r="H86" i="35"/>
  <c r="F86" i="35"/>
  <c r="L86" i="35"/>
  <c r="V86" i="35"/>
  <c r="W86" i="35" s="1"/>
  <c r="G86" i="35"/>
  <c r="X86" i="35"/>
  <c r="Y86" i="35" s="1"/>
  <c r="M86" i="35"/>
  <c r="H71" i="34"/>
  <c r="AD71" i="34"/>
  <c r="L71" i="34"/>
  <c r="F71" i="34"/>
  <c r="Z71" i="34"/>
  <c r="M71" i="34"/>
  <c r="R71" i="34"/>
  <c r="S71" i="34" s="1"/>
  <c r="G71" i="34"/>
  <c r="X71" i="34"/>
  <c r="Y71" i="34" s="1"/>
  <c r="AA71" i="34"/>
  <c r="J71" i="34"/>
  <c r="AC71" i="34"/>
  <c r="T71" i="34"/>
  <c r="U71" i="34" s="1"/>
  <c r="P71" i="34"/>
  <c r="Q71" i="34" s="1"/>
  <c r="K71" i="34"/>
  <c r="N71" i="34"/>
  <c r="O71" i="34" s="1"/>
  <c r="I71" i="34"/>
  <c r="E71" i="34"/>
  <c r="V71" i="34"/>
  <c r="W71" i="34" s="1"/>
  <c r="AB71" i="34"/>
  <c r="X63" i="34"/>
  <c r="Y63" i="34" s="1"/>
  <c r="AD63" i="34"/>
  <c r="Z63" i="34"/>
  <c r="R63" i="34"/>
  <c r="S63" i="34" s="1"/>
  <c r="V63" i="34"/>
  <c r="W63" i="34" s="1"/>
  <c r="T63" i="34"/>
  <c r="U63" i="34" s="1"/>
  <c r="M63" i="34"/>
  <c r="L63" i="34"/>
  <c r="F63" i="34"/>
  <c r="H63" i="34"/>
  <c r="AB63" i="34"/>
  <c r="AA63" i="34"/>
  <c r="E63" i="34"/>
  <c r="J63" i="34"/>
  <c r="K63" i="34"/>
  <c r="N63" i="34"/>
  <c r="O63" i="34" s="1"/>
  <c r="I63" i="34"/>
  <c r="P63" i="34"/>
  <c r="Q63" i="34" s="1"/>
  <c r="G63" i="34"/>
  <c r="AC63" i="34"/>
  <c r="X85" i="35"/>
  <c r="Y85" i="35" s="1"/>
  <c r="H85" i="35"/>
  <c r="G85" i="35"/>
  <c r="E85" i="35"/>
  <c r="K85" i="35"/>
  <c r="AB85" i="35"/>
  <c r="L85" i="35"/>
  <c r="M85" i="35"/>
  <c r="Z85" i="35"/>
  <c r="V85" i="35"/>
  <c r="W85" i="35" s="1"/>
  <c r="R85" i="35"/>
  <c r="S85" i="35" s="1"/>
  <c r="F85" i="35"/>
  <c r="T85" i="35"/>
  <c r="U85" i="35" s="1"/>
  <c r="N85" i="35"/>
  <c r="O85" i="35" s="1"/>
  <c r="J85" i="35"/>
  <c r="AA85" i="35"/>
  <c r="I85" i="35"/>
  <c r="AC85" i="35"/>
  <c r="P85" i="35"/>
  <c r="Q85" i="35" s="1"/>
  <c r="X89" i="35"/>
  <c r="Y89" i="35" s="1"/>
  <c r="H89" i="35"/>
  <c r="I89" i="35"/>
  <c r="AA89" i="35"/>
  <c r="AB89" i="35"/>
  <c r="L89" i="35"/>
  <c r="G89" i="35"/>
  <c r="F89" i="35"/>
  <c r="J89" i="35"/>
  <c r="P89" i="35"/>
  <c r="Q89" i="35" s="1"/>
  <c r="E89" i="35"/>
  <c r="AC89" i="35"/>
  <c r="V89" i="35"/>
  <c r="W89" i="35" s="1"/>
  <c r="K89" i="35"/>
  <c r="R89" i="35"/>
  <c r="S89" i="35" s="1"/>
  <c r="M89" i="35"/>
  <c r="N89" i="35"/>
  <c r="O89" i="35" s="1"/>
  <c r="T89" i="35"/>
  <c r="U89" i="35" s="1"/>
  <c r="Z89" i="35"/>
  <c r="T93" i="35"/>
  <c r="U93" i="35" s="1"/>
  <c r="X93" i="35"/>
  <c r="Y93" i="35" s="1"/>
  <c r="Z93" i="35"/>
  <c r="F93" i="35"/>
  <c r="G93" i="35"/>
  <c r="AC93" i="35"/>
  <c r="H93" i="35"/>
  <c r="AB93" i="35"/>
  <c r="J93" i="35"/>
  <c r="K93" i="35"/>
  <c r="M93" i="35"/>
  <c r="L93" i="35"/>
  <c r="N93" i="35"/>
  <c r="O93" i="35" s="1"/>
  <c r="P93" i="35"/>
  <c r="Q93" i="35" s="1"/>
  <c r="R93" i="35"/>
  <c r="S93" i="35" s="1"/>
  <c r="I93" i="35"/>
  <c r="AA93" i="35"/>
  <c r="V93" i="35"/>
  <c r="W93" i="35" s="1"/>
  <c r="E93" i="35"/>
  <c r="M86" i="34"/>
  <c r="H86" i="34"/>
  <c r="K86" i="34"/>
  <c r="AB86" i="34"/>
  <c r="F86" i="34"/>
  <c r="N86" i="34"/>
  <c r="O86" i="34" s="1"/>
  <c r="G86" i="34"/>
  <c r="J86" i="34"/>
  <c r="AD86" i="34"/>
  <c r="X86" i="34"/>
  <c r="Y86" i="34" s="1"/>
  <c r="I86" i="34"/>
  <c r="V86" i="34"/>
  <c r="W86" i="34" s="1"/>
  <c r="Z86" i="34"/>
  <c r="AA86" i="34"/>
  <c r="E86" i="34"/>
  <c r="R86" i="34"/>
  <c r="S86" i="34" s="1"/>
  <c r="T86" i="34"/>
  <c r="U86" i="34" s="1"/>
  <c r="L86" i="34"/>
  <c r="P86" i="34"/>
  <c r="Q86" i="34" s="1"/>
  <c r="AC86" i="34"/>
  <c r="T80" i="35"/>
  <c r="U80" i="35" s="1"/>
  <c r="Z80" i="35"/>
  <c r="V80" i="35"/>
  <c r="W80" i="35" s="1"/>
  <c r="G80" i="35"/>
  <c r="I80" i="35"/>
  <c r="AB80" i="35"/>
  <c r="H80" i="35"/>
  <c r="K80" i="35"/>
  <c r="AC80" i="35"/>
  <c r="X80" i="35"/>
  <c r="Y80" i="35" s="1"/>
  <c r="F80" i="35"/>
  <c r="L80" i="35"/>
  <c r="AA80" i="35"/>
  <c r="M80" i="35"/>
  <c r="P80" i="35"/>
  <c r="Q80" i="35" s="1"/>
  <c r="E80" i="35"/>
  <c r="N80" i="35"/>
  <c r="O80" i="35" s="1"/>
  <c r="J80" i="35"/>
  <c r="R80" i="35"/>
  <c r="S80" i="35" s="1"/>
  <c r="D64" i="34"/>
  <c r="V77" i="34"/>
  <c r="W77" i="34" s="1"/>
  <c r="R77" i="34"/>
  <c r="S77" i="34" s="1"/>
  <c r="Z77" i="34"/>
  <c r="AD77" i="34"/>
  <c r="AC77" i="34"/>
  <c r="P77" i="34"/>
  <c r="Q77" i="34" s="1"/>
  <c r="L77" i="34"/>
  <c r="G77" i="34"/>
  <c r="X77" i="34"/>
  <c r="Y77" i="34" s="1"/>
  <c r="F77" i="34"/>
  <c r="J77" i="34"/>
  <c r="T77" i="34"/>
  <c r="U77" i="34" s="1"/>
  <c r="K77" i="34"/>
  <c r="N77" i="34"/>
  <c r="O77" i="34" s="1"/>
  <c r="I77" i="34"/>
  <c r="H77" i="34"/>
  <c r="AB77" i="34"/>
  <c r="E77" i="34"/>
  <c r="M77" i="34"/>
  <c r="AA77" i="34"/>
  <c r="AB82" i="35"/>
  <c r="L82" i="35"/>
  <c r="E82" i="35"/>
  <c r="F82" i="35"/>
  <c r="AC82" i="35"/>
  <c r="X82" i="35"/>
  <c r="Y82" i="35" s="1"/>
  <c r="Z82" i="35"/>
  <c r="K82" i="35"/>
  <c r="G82" i="35"/>
  <c r="J82" i="35"/>
  <c r="R82" i="35"/>
  <c r="S82" i="35" s="1"/>
  <c r="AA82" i="35"/>
  <c r="H82" i="35"/>
  <c r="N82" i="35"/>
  <c r="O82" i="35" s="1"/>
  <c r="P82" i="35"/>
  <c r="Q82" i="35" s="1"/>
  <c r="V82" i="35"/>
  <c r="W82" i="35" s="1"/>
  <c r="I82" i="35"/>
  <c r="T82" i="35"/>
  <c r="U82" i="35" s="1"/>
  <c r="M82" i="35"/>
  <c r="X79" i="35"/>
  <c r="Y79" i="35" s="1"/>
  <c r="H79" i="35"/>
  <c r="G79" i="35"/>
  <c r="E79" i="35"/>
  <c r="F79" i="35"/>
  <c r="P79" i="35"/>
  <c r="Q79" i="35" s="1"/>
  <c r="M79" i="35"/>
  <c r="V79" i="35"/>
  <c r="W79" i="35" s="1"/>
  <c r="N79" i="35"/>
  <c r="O79" i="35" s="1"/>
  <c r="T79" i="35"/>
  <c r="U79" i="35" s="1"/>
  <c r="R79" i="35"/>
  <c r="S79" i="35" s="1"/>
  <c r="Z79" i="35"/>
  <c r="J79" i="35"/>
  <c r="AB79" i="35"/>
  <c r="AC79" i="35"/>
  <c r="I79" i="35"/>
  <c r="AA79" i="35"/>
  <c r="L79" i="35"/>
  <c r="K79" i="35"/>
  <c r="AD58" i="34"/>
  <c r="T58" i="34"/>
  <c r="U58" i="34" s="1"/>
  <c r="I58" i="34"/>
  <c r="V58" i="34"/>
  <c r="W58" i="34" s="1"/>
  <c r="F58" i="34"/>
  <c r="AB58" i="34"/>
  <c r="Z58" i="34"/>
  <c r="L58" i="34"/>
  <c r="G58" i="34"/>
  <c r="R58" i="34"/>
  <c r="S58" i="34" s="1"/>
  <c r="E58" i="34"/>
  <c r="AA58" i="34"/>
  <c r="X58" i="34"/>
  <c r="Y58" i="34" s="1"/>
  <c r="N58" i="34"/>
  <c r="O58" i="34" s="1"/>
  <c r="P58" i="34"/>
  <c r="Q58" i="34" s="1"/>
  <c r="J58" i="34"/>
  <c r="AC58" i="34"/>
  <c r="K58" i="34"/>
  <c r="M58" i="34"/>
  <c r="H58" i="34"/>
  <c r="R67" i="34"/>
  <c r="S67" i="34" s="1"/>
  <c r="K67" i="34"/>
  <c r="E67" i="34"/>
  <c r="G67" i="34"/>
  <c r="AD67" i="34"/>
  <c r="L67" i="34"/>
  <c r="H67" i="34"/>
  <c r="I67" i="34"/>
  <c r="X67" i="34"/>
  <c r="Y67" i="34" s="1"/>
  <c r="P67" i="34"/>
  <c r="Q67" i="34" s="1"/>
  <c r="J67" i="34"/>
  <c r="V67" i="34"/>
  <c r="W67" i="34" s="1"/>
  <c r="M67" i="34"/>
  <c r="AA67" i="34"/>
  <c r="AB67" i="34"/>
  <c r="F67" i="34"/>
  <c r="Z67" i="34"/>
  <c r="N67" i="34"/>
  <c r="O67" i="34" s="1"/>
  <c r="T67" i="34"/>
  <c r="U67" i="34" s="1"/>
  <c r="AC67" i="34"/>
  <c r="G91" i="34"/>
  <c r="N91" i="34"/>
  <c r="O91" i="34" s="1"/>
  <c r="H91" i="34"/>
  <c r="R91" i="34"/>
  <c r="S91" i="34" s="1"/>
  <c r="I91" i="34"/>
  <c r="AA91" i="34"/>
  <c r="X91" i="34"/>
  <c r="Y91" i="34" s="1"/>
  <c r="M91" i="34"/>
  <c r="K91" i="34"/>
  <c r="AB91" i="34"/>
  <c r="Z91" i="34"/>
  <c r="J91" i="34"/>
  <c r="E91" i="34"/>
  <c r="L91" i="34"/>
  <c r="AC91" i="34"/>
  <c r="P91" i="34"/>
  <c r="Q91" i="34" s="1"/>
  <c r="F91" i="34"/>
  <c r="AD91" i="34"/>
  <c r="V91" i="34"/>
  <c r="W91" i="34" s="1"/>
  <c r="T91" i="34"/>
  <c r="U91" i="34" s="1"/>
  <c r="AD87" i="34"/>
  <c r="G87" i="34"/>
  <c r="X87" i="34"/>
  <c r="Y87" i="34" s="1"/>
  <c r="Z87" i="34"/>
  <c r="R87" i="34"/>
  <c r="S87" i="34" s="1"/>
  <c r="P87" i="34"/>
  <c r="Q87" i="34" s="1"/>
  <c r="M87" i="34"/>
  <c r="E87" i="34"/>
  <c r="N87" i="34"/>
  <c r="O87" i="34" s="1"/>
  <c r="AC87" i="34"/>
  <c r="T87" i="34"/>
  <c r="U87" i="34" s="1"/>
  <c r="V87" i="34"/>
  <c r="W87" i="34" s="1"/>
  <c r="J87" i="34"/>
  <c r="AB87" i="34"/>
  <c r="L87" i="34"/>
  <c r="AA87" i="34"/>
  <c r="K87" i="34"/>
  <c r="I87" i="34"/>
  <c r="H87" i="34"/>
  <c r="F87" i="34"/>
  <c r="F66" i="34"/>
  <c r="Z66" i="34"/>
  <c r="AD66" i="34"/>
  <c r="E66" i="34"/>
  <c r="R66" i="34"/>
  <c r="S66" i="34" s="1"/>
  <c r="K66" i="34"/>
  <c r="H66" i="34"/>
  <c r="V66" i="34"/>
  <c r="W66" i="34" s="1"/>
  <c r="G66" i="34"/>
  <c r="X66" i="34"/>
  <c r="Y66" i="34" s="1"/>
  <c r="N66" i="34"/>
  <c r="O66" i="34" s="1"/>
  <c r="M66" i="34"/>
  <c r="T66" i="34"/>
  <c r="U66" i="34" s="1"/>
  <c r="L66" i="34"/>
  <c r="J66" i="34"/>
  <c r="P66" i="34"/>
  <c r="Q66" i="34" s="1"/>
  <c r="AB66" i="34"/>
  <c r="AA66" i="34"/>
  <c r="AC66" i="34"/>
  <c r="I66" i="34"/>
  <c r="AC84" i="34"/>
  <c r="H84" i="34"/>
  <c r="AD84" i="34"/>
  <c r="AB84" i="34"/>
  <c r="P84" i="34"/>
  <c r="Q84" i="34" s="1"/>
  <c r="Z84" i="34"/>
  <c r="AA84" i="34"/>
  <c r="M84" i="34"/>
  <c r="V84" i="34"/>
  <c r="W84" i="34" s="1"/>
  <c r="L84" i="34"/>
  <c r="G84" i="34"/>
  <c r="I84" i="34"/>
  <c r="T84" i="34"/>
  <c r="U84" i="34" s="1"/>
  <c r="X84" i="34"/>
  <c r="Y84" i="34" s="1"/>
  <c r="K84" i="34"/>
  <c r="N84" i="34"/>
  <c r="O84" i="34" s="1"/>
  <c r="F84" i="34"/>
  <c r="J84" i="34"/>
  <c r="R84" i="34"/>
  <c r="S84" i="34" s="1"/>
  <c r="E84" i="34"/>
  <c r="AB81" i="35"/>
  <c r="L81" i="35"/>
  <c r="M81" i="35"/>
  <c r="Z81" i="35"/>
  <c r="V81" i="35"/>
  <c r="W81" i="35" s="1"/>
  <c r="H81" i="35"/>
  <c r="N81" i="35"/>
  <c r="O81" i="35" s="1"/>
  <c r="F81" i="35"/>
  <c r="AC81" i="35"/>
  <c r="P81" i="35"/>
  <c r="Q81" i="35" s="1"/>
  <c r="G81" i="35"/>
  <c r="AA81" i="35"/>
  <c r="T81" i="35"/>
  <c r="U81" i="35" s="1"/>
  <c r="R81" i="35"/>
  <c r="S81" i="35" s="1"/>
  <c r="E81" i="35"/>
  <c r="J81" i="35"/>
  <c r="X81" i="35"/>
  <c r="Y81" i="35" s="1"/>
  <c r="I81" i="35"/>
  <c r="K81" i="35"/>
  <c r="X83" i="35"/>
  <c r="Y83" i="35" s="1"/>
  <c r="H83" i="35"/>
  <c r="G83" i="35"/>
  <c r="E83" i="35"/>
  <c r="K83" i="35"/>
  <c r="T83" i="35"/>
  <c r="U83" i="35" s="1"/>
  <c r="R83" i="35"/>
  <c r="S83" i="35" s="1"/>
  <c r="Z83" i="35"/>
  <c r="J83" i="35"/>
  <c r="AB83" i="35"/>
  <c r="M83" i="35"/>
  <c r="F83" i="35"/>
  <c r="N83" i="35"/>
  <c r="O83" i="35" s="1"/>
  <c r="AC83" i="35"/>
  <c r="AA83" i="35"/>
  <c r="L83" i="35"/>
  <c r="I83" i="35"/>
  <c r="P83" i="35"/>
  <c r="Q83" i="35" s="1"/>
  <c r="V83" i="35"/>
  <c r="W83" i="35" s="1"/>
  <c r="AB84" i="35"/>
  <c r="L84" i="35"/>
  <c r="E84" i="35"/>
  <c r="F84" i="35"/>
  <c r="AC84" i="35"/>
  <c r="P84" i="35"/>
  <c r="Q84" i="35" s="1"/>
  <c r="J84" i="35"/>
  <c r="K84" i="35"/>
  <c r="M84" i="35"/>
  <c r="T84" i="35"/>
  <c r="U84" i="35" s="1"/>
  <c r="V84" i="35"/>
  <c r="W84" i="35" s="1"/>
  <c r="I84" i="35"/>
  <c r="H84" i="35"/>
  <c r="N84" i="35"/>
  <c r="O84" i="35" s="1"/>
  <c r="X84" i="35"/>
  <c r="Y84" i="35" s="1"/>
  <c r="G84" i="35"/>
  <c r="R84" i="35"/>
  <c r="S84" i="35" s="1"/>
  <c r="AA84" i="35"/>
  <c r="Z84" i="35"/>
  <c r="N74" i="34"/>
  <c r="O74" i="34" s="1"/>
  <c r="V74" i="34"/>
  <c r="W74" i="34" s="1"/>
  <c r="J74" i="34"/>
  <c r="T74" i="34"/>
  <c r="U74" i="34" s="1"/>
  <c r="H74" i="34"/>
  <c r="G74" i="34"/>
  <c r="R74" i="34"/>
  <c r="S74" i="34" s="1"/>
  <c r="E74" i="34"/>
  <c r="X74" i="34"/>
  <c r="Y74" i="34" s="1"/>
  <c r="L74" i="34"/>
  <c r="I74" i="34"/>
  <c r="K74" i="34"/>
  <c r="P74" i="34"/>
  <c r="Q74" i="34" s="1"/>
  <c r="AA74" i="34"/>
  <c r="AC74" i="34"/>
  <c r="F74" i="34"/>
  <c r="AB74" i="34"/>
  <c r="AD74" i="34"/>
  <c r="Z74" i="34"/>
  <c r="M74" i="34"/>
  <c r="V70" i="34"/>
  <c r="W70" i="34" s="1"/>
  <c r="AD70" i="34"/>
  <c r="N70" i="34"/>
  <c r="O70" i="34" s="1"/>
  <c r="AB70" i="34"/>
  <c r="P70" i="34"/>
  <c r="Q70" i="34" s="1"/>
  <c r="AA70" i="34"/>
  <c r="R70" i="34"/>
  <c r="S70" i="34" s="1"/>
  <c r="I70" i="34"/>
  <c r="X70" i="34"/>
  <c r="Y70" i="34" s="1"/>
  <c r="E70" i="34"/>
  <c r="Z70" i="34"/>
  <c r="G70" i="34"/>
  <c r="K70" i="34"/>
  <c r="J70" i="34"/>
  <c r="T70" i="34"/>
  <c r="U70" i="34" s="1"/>
  <c r="M70" i="34"/>
  <c r="L70" i="34"/>
  <c r="F70" i="34"/>
  <c r="H70" i="34"/>
  <c r="AC70" i="34"/>
  <c r="I78" i="34"/>
  <c r="V78" i="34"/>
  <c r="W78" i="34" s="1"/>
  <c r="P78" i="34"/>
  <c r="Q78" i="34" s="1"/>
  <c r="F78" i="34"/>
  <c r="E78" i="34"/>
  <c r="Z78" i="34"/>
  <c r="R78" i="34"/>
  <c r="S78" i="34" s="1"/>
  <c r="K78" i="34"/>
  <c r="AB78" i="34"/>
  <c r="T78" i="34"/>
  <c r="U78" i="34" s="1"/>
  <c r="L78" i="34"/>
  <c r="M78" i="34"/>
  <c r="H78" i="34"/>
  <c r="AD78" i="34"/>
  <c r="N78" i="34"/>
  <c r="O78" i="34" s="1"/>
  <c r="J78" i="34"/>
  <c r="G78" i="34"/>
  <c r="X78" i="34"/>
  <c r="Y78" i="34" s="1"/>
  <c r="AA78" i="34"/>
  <c r="AC78" i="34"/>
  <c r="X87" i="35"/>
  <c r="Y87" i="35" s="1"/>
  <c r="H87" i="35"/>
  <c r="G87" i="35"/>
  <c r="E87" i="35"/>
  <c r="F87" i="35"/>
  <c r="P87" i="35"/>
  <c r="Q87" i="35" s="1"/>
  <c r="M87" i="35"/>
  <c r="V87" i="35"/>
  <c r="W87" i="35" s="1"/>
  <c r="T87" i="35"/>
  <c r="U87" i="35" s="1"/>
  <c r="N87" i="35"/>
  <c r="O87" i="35" s="1"/>
  <c r="AA87" i="35"/>
  <c r="L87" i="35"/>
  <c r="J87" i="35"/>
  <c r="AB87" i="35"/>
  <c r="R87" i="35"/>
  <c r="S87" i="35" s="1"/>
  <c r="K87" i="35"/>
  <c r="AC87" i="35"/>
  <c r="Z87" i="35"/>
  <c r="I87" i="35"/>
  <c r="AD82" i="34"/>
  <c r="K82" i="34"/>
  <c r="I82" i="34"/>
  <c r="L82" i="34"/>
  <c r="T82" i="34"/>
  <c r="U82" i="34" s="1"/>
  <c r="E82" i="34"/>
  <c r="M82" i="34"/>
  <c r="AB82" i="34"/>
  <c r="N82" i="34"/>
  <c r="O82" i="34" s="1"/>
  <c r="X82" i="34"/>
  <c r="Y82" i="34" s="1"/>
  <c r="P82" i="34"/>
  <c r="Q82" i="34" s="1"/>
  <c r="F82" i="34"/>
  <c r="R82" i="34"/>
  <c r="S82" i="34" s="1"/>
  <c r="AC82" i="34"/>
  <c r="AA82" i="34"/>
  <c r="G82" i="34"/>
  <c r="J82" i="34"/>
  <c r="H82" i="34"/>
  <c r="Z82" i="34"/>
  <c r="V82" i="34"/>
  <c r="W82" i="34" s="1"/>
  <c r="AD73" i="34"/>
  <c r="AA73" i="34"/>
  <c r="N73" i="34"/>
  <c r="O73" i="34" s="1"/>
  <c r="M73" i="34"/>
  <c r="K73" i="34"/>
  <c r="R73" i="34"/>
  <c r="S73" i="34" s="1"/>
  <c r="X73" i="34"/>
  <c r="Y73" i="34" s="1"/>
  <c r="G73" i="34"/>
  <c r="V73" i="34"/>
  <c r="W73" i="34" s="1"/>
  <c r="L73" i="34"/>
  <c r="P73" i="34"/>
  <c r="Q73" i="34" s="1"/>
  <c r="J73" i="34"/>
  <c r="H73" i="34"/>
  <c r="T73" i="34"/>
  <c r="U73" i="34" s="1"/>
  <c r="I73" i="34"/>
  <c r="E73" i="34"/>
  <c r="Z73" i="34"/>
  <c r="F73" i="34"/>
  <c r="AB73" i="34"/>
  <c r="AC73" i="34"/>
  <c r="V69" i="34"/>
  <c r="W69" i="34" s="1"/>
  <c r="J69" i="34"/>
  <c r="N69" i="34"/>
  <c r="O69" i="34" s="1"/>
  <c r="F69" i="34"/>
  <c r="AD69" i="34"/>
  <c r="AA69" i="34"/>
  <c r="R69" i="34"/>
  <c r="S69" i="34" s="1"/>
  <c r="Z69" i="34"/>
  <c r="P69" i="34"/>
  <c r="Q69" i="34" s="1"/>
  <c r="G69" i="34"/>
  <c r="AC69" i="34"/>
  <c r="M69" i="34"/>
  <c r="H69" i="34"/>
  <c r="K69" i="34"/>
  <c r="X69" i="34"/>
  <c r="Y69" i="34" s="1"/>
  <c r="I69" i="34"/>
  <c r="AB69" i="34"/>
  <c r="L69" i="34"/>
  <c r="T69" i="34"/>
  <c r="U69" i="34" s="1"/>
  <c r="E69" i="34"/>
  <c r="M88" i="34"/>
  <c r="J88" i="34"/>
  <c r="AC88" i="34"/>
  <c r="E88" i="34"/>
  <c r="R88" i="34"/>
  <c r="S88" i="34" s="1"/>
  <c r="AB88" i="34"/>
  <c r="K88" i="34"/>
  <c r="T88" i="34"/>
  <c r="U88" i="34" s="1"/>
  <c r="AD88" i="34"/>
  <c r="F88" i="34"/>
  <c r="L88" i="34"/>
  <c r="N88" i="34"/>
  <c r="O88" i="34" s="1"/>
  <c r="X88" i="34"/>
  <c r="Y88" i="34" s="1"/>
  <c r="Z88" i="34"/>
  <c r="I88" i="34"/>
  <c r="P88" i="34"/>
  <c r="Q88" i="34" s="1"/>
  <c r="H88" i="34"/>
  <c r="AA88" i="34"/>
  <c r="V88" i="34"/>
  <c r="W88" i="34" s="1"/>
  <c r="G88" i="34"/>
  <c r="R89" i="34"/>
  <c r="S89" i="34" s="1"/>
  <c r="J89" i="34"/>
  <c r="H89" i="34"/>
  <c r="T89" i="34"/>
  <c r="U89" i="34" s="1"/>
  <c r="G89" i="34"/>
  <c r="L89" i="34"/>
  <c r="Z89" i="34"/>
  <c r="AD89" i="34"/>
  <c r="F89" i="34"/>
  <c r="N89" i="34"/>
  <c r="O89" i="34" s="1"/>
  <c r="I89" i="34"/>
  <c r="M89" i="34"/>
  <c r="AB89" i="34"/>
  <c r="AA89" i="34"/>
  <c r="V89" i="34"/>
  <c r="W89" i="34" s="1"/>
  <c r="P89" i="34"/>
  <c r="Q89" i="34" s="1"/>
  <c r="X89" i="34"/>
  <c r="Y89" i="34" s="1"/>
  <c r="K89" i="34"/>
  <c r="AC89" i="34"/>
  <c r="E89" i="34"/>
  <c r="H72" i="34"/>
  <c r="R72" i="34"/>
  <c r="S72" i="34" s="1"/>
  <c r="K72" i="34"/>
  <c r="X72" i="34"/>
  <c r="Y72" i="34" s="1"/>
  <c r="M72" i="34"/>
  <c r="AA72" i="34"/>
  <c r="AB72" i="34"/>
  <c r="G72" i="34"/>
  <c r="F72" i="34"/>
  <c r="Z72" i="34"/>
  <c r="L72" i="34"/>
  <c r="E72" i="34"/>
  <c r="AD72" i="34"/>
  <c r="J72" i="34"/>
  <c r="AC72" i="34"/>
  <c r="N72" i="34"/>
  <c r="O72" i="34" s="1"/>
  <c r="P72" i="34"/>
  <c r="Q72" i="34" s="1"/>
  <c r="V72" i="34"/>
  <c r="W72" i="34" s="1"/>
  <c r="I72" i="34"/>
  <c r="T72" i="34"/>
  <c r="U72" i="34" s="1"/>
  <c r="M90" i="35"/>
  <c r="X90" i="35"/>
  <c r="Y90" i="35" s="1"/>
  <c r="H90" i="35"/>
  <c r="J90" i="35"/>
  <c r="V90" i="35"/>
  <c r="W90" i="35" s="1"/>
  <c r="I90" i="35"/>
  <c r="P90" i="35"/>
  <c r="Q90" i="35" s="1"/>
  <c r="R90" i="35"/>
  <c r="S90" i="35" s="1"/>
  <c r="F90" i="35"/>
  <c r="AB90" i="35"/>
  <c r="Z90" i="35"/>
  <c r="N90" i="35"/>
  <c r="O90" i="35" s="1"/>
  <c r="E90" i="35"/>
  <c r="G90" i="35"/>
  <c r="K90" i="35"/>
  <c r="AC90" i="35"/>
  <c r="L90" i="35"/>
  <c r="AA90" i="35"/>
  <c r="T90" i="35"/>
  <c r="U90" i="35" s="1"/>
  <c r="N62" i="34"/>
  <c r="O62" i="34" s="1"/>
  <c r="F62" i="34"/>
  <c r="L62" i="34"/>
  <c r="AB62" i="34"/>
  <c r="AC62" i="34"/>
  <c r="E62" i="34"/>
  <c r="K62" i="34"/>
  <c r="P62" i="34"/>
  <c r="Q62" i="34" s="1"/>
  <c r="T62" i="34"/>
  <c r="U62" i="34" s="1"/>
  <c r="M62" i="34"/>
  <c r="V62" i="34"/>
  <c r="W62" i="34" s="1"/>
  <c r="Z62" i="34"/>
  <c r="I62" i="34"/>
  <c r="R62" i="34"/>
  <c r="S62" i="34" s="1"/>
  <c r="AD62" i="34"/>
  <c r="X62" i="34"/>
  <c r="Y62" i="34" s="1"/>
  <c r="AA62" i="34"/>
  <c r="H62" i="34"/>
  <c r="J62" i="34"/>
  <c r="G62" i="34"/>
  <c r="AC68" i="34"/>
  <c r="Z68" i="34"/>
  <c r="N68" i="34"/>
  <c r="O68" i="34" s="1"/>
  <c r="E68" i="34"/>
  <c r="R68" i="34"/>
  <c r="S68" i="34" s="1"/>
  <c r="J68" i="34"/>
  <c r="P68" i="34"/>
  <c r="Q68" i="34" s="1"/>
  <c r="T68" i="34"/>
  <c r="U68" i="34" s="1"/>
  <c r="G68" i="34"/>
  <c r="K68" i="34"/>
  <c r="I68" i="34"/>
  <c r="L68" i="34"/>
  <c r="X68" i="34"/>
  <c r="Y68" i="34" s="1"/>
  <c r="AB68" i="34"/>
  <c r="H68" i="34"/>
  <c r="M68" i="34"/>
  <c r="V68" i="34"/>
  <c r="W68" i="34" s="1"/>
  <c r="AD68" i="34"/>
  <c r="AA68" i="34"/>
  <c r="F68" i="34"/>
  <c r="P61" i="34"/>
  <c r="Q61" i="34" s="1"/>
  <c r="I61" i="34"/>
  <c r="N61" i="34"/>
  <c r="O61" i="34" s="1"/>
  <c r="G61" i="34"/>
  <c r="L61" i="34"/>
  <c r="R61" i="34"/>
  <c r="S61" i="34" s="1"/>
  <c r="V61" i="34"/>
  <c r="W61" i="34" s="1"/>
  <c r="X61" i="34"/>
  <c r="Y61" i="34" s="1"/>
  <c r="E61" i="34"/>
  <c r="F61" i="34"/>
  <c r="AD61" i="34"/>
  <c r="H61" i="34"/>
  <c r="AB61" i="34"/>
  <c r="AC61" i="34"/>
  <c r="Z61" i="34"/>
  <c r="T61" i="34"/>
  <c r="U61" i="34" s="1"/>
  <c r="M61" i="34"/>
  <c r="J61" i="34"/>
  <c r="K61" i="34"/>
  <c r="AA61" i="34"/>
  <c r="AD76" i="34"/>
  <c r="H76" i="34"/>
  <c r="P76" i="34"/>
  <c r="Q76" i="34" s="1"/>
  <c r="N76" i="34"/>
  <c r="O76" i="34" s="1"/>
  <c r="AB76" i="34"/>
  <c r="G76" i="34"/>
  <c r="J76" i="34"/>
  <c r="E76" i="34"/>
  <c r="F76" i="34"/>
  <c r="I76" i="34"/>
  <c r="AA76" i="34"/>
  <c r="T76" i="34"/>
  <c r="U76" i="34" s="1"/>
  <c r="L76" i="34"/>
  <c r="V76" i="34"/>
  <c r="W76" i="34" s="1"/>
  <c r="X76" i="34"/>
  <c r="Y76" i="34" s="1"/>
  <c r="AC76" i="34"/>
  <c r="Z76" i="34"/>
  <c r="R76" i="34"/>
  <c r="S76" i="34" s="1"/>
  <c r="K76" i="34"/>
  <c r="M76" i="34"/>
  <c r="T94" i="35"/>
  <c r="U94" i="35" s="1"/>
  <c r="Z94" i="35"/>
  <c r="X94" i="35"/>
  <c r="Y94" i="35" s="1"/>
  <c r="AA94" i="35"/>
  <c r="N94" i="35"/>
  <c r="O94" i="35" s="1"/>
  <c r="AC94" i="35"/>
  <c r="R94" i="35"/>
  <c r="S94" i="35" s="1"/>
  <c r="V94" i="35"/>
  <c r="W94" i="35" s="1"/>
  <c r="P94" i="35"/>
  <c r="Q94" i="35" s="1"/>
  <c r="AB94" i="35"/>
  <c r="E93" i="34"/>
  <c r="F93" i="34"/>
  <c r="N93" i="34"/>
  <c r="O93" i="34" s="1"/>
  <c r="X93" i="34"/>
  <c r="Y93" i="34" s="1"/>
  <c r="Z93" i="34"/>
  <c r="M93" i="34"/>
  <c r="L93" i="34"/>
  <c r="R93" i="34"/>
  <c r="S93" i="34" s="1"/>
  <c r="AC93" i="34"/>
  <c r="V93" i="34"/>
  <c r="W93" i="34" s="1"/>
  <c r="H93" i="34"/>
  <c r="J93" i="34"/>
  <c r="G93" i="34"/>
  <c r="AB93" i="34"/>
  <c r="AA93" i="34"/>
  <c r="T93" i="34"/>
  <c r="U93" i="34" s="1"/>
  <c r="I93" i="34"/>
  <c r="K93" i="34"/>
  <c r="AD93" i="34"/>
  <c r="P93" i="34"/>
  <c r="Q93" i="34" s="1"/>
  <c r="X88" i="35"/>
  <c r="Y88" i="35" s="1"/>
  <c r="H88" i="35"/>
  <c r="AA88" i="35"/>
  <c r="N88" i="35"/>
  <c r="O88" i="35" s="1"/>
  <c r="R88" i="35"/>
  <c r="S88" i="35" s="1"/>
  <c r="AB88" i="35"/>
  <c r="L88" i="35"/>
  <c r="E88" i="35"/>
  <c r="F88" i="35"/>
  <c r="AC88" i="35"/>
  <c r="J88" i="35"/>
  <c r="M88" i="35"/>
  <c r="T88" i="35"/>
  <c r="U88" i="35" s="1"/>
  <c r="V88" i="35"/>
  <c r="W88" i="35" s="1"/>
  <c r="I88" i="35"/>
  <c r="G88" i="35"/>
  <c r="K88" i="35"/>
  <c r="Z88" i="35"/>
  <c r="P88" i="35"/>
  <c r="Q88" i="35" s="1"/>
  <c r="G91" i="35"/>
  <c r="F91" i="35"/>
  <c r="E91" i="35"/>
  <c r="H91" i="35"/>
  <c r="I91" i="35"/>
  <c r="K91" i="35"/>
  <c r="L91" i="35"/>
  <c r="J91" i="35"/>
  <c r="R91" i="35"/>
  <c r="S91" i="35" s="1"/>
  <c r="X91" i="35"/>
  <c r="Y91" i="35" s="1"/>
  <c r="AA91" i="35"/>
  <c r="P91" i="35"/>
  <c r="Q91" i="35" s="1"/>
  <c r="M91" i="35"/>
  <c r="AB91" i="35"/>
  <c r="N91" i="35"/>
  <c r="O91" i="35" s="1"/>
  <c r="T91" i="35"/>
  <c r="U91" i="35" s="1"/>
  <c r="AC91" i="35"/>
  <c r="Z91" i="35"/>
  <c r="V91" i="35"/>
  <c r="W91" i="35" s="1"/>
  <c r="AA83" i="34"/>
  <c r="I83" i="34"/>
  <c r="H83" i="34"/>
  <c r="E83" i="34"/>
  <c r="AD83" i="34"/>
  <c r="F83" i="34"/>
  <c r="T83" i="34"/>
  <c r="U83" i="34" s="1"/>
  <c r="N83" i="34"/>
  <c r="O83" i="34" s="1"/>
  <c r="J83" i="34"/>
  <c r="K83" i="34"/>
  <c r="L83" i="34"/>
  <c r="X83" i="34"/>
  <c r="Y83" i="34" s="1"/>
  <c r="P83" i="34"/>
  <c r="Q83" i="34" s="1"/>
  <c r="M83" i="34"/>
  <c r="V83" i="34"/>
  <c r="W83" i="34" s="1"/>
  <c r="G83" i="34"/>
  <c r="Z83" i="34"/>
  <c r="AC83" i="34"/>
  <c r="R83" i="34"/>
  <c r="S83" i="34" s="1"/>
  <c r="AB83" i="34"/>
  <c r="N81" i="34"/>
  <c r="O81" i="34" s="1"/>
  <c r="AA81" i="34"/>
  <c r="H81" i="34"/>
  <c r="R81" i="34"/>
  <c r="S81" i="34" s="1"/>
  <c r="K81" i="34"/>
  <c r="E81" i="34"/>
  <c r="V81" i="34"/>
  <c r="W81" i="34" s="1"/>
  <c r="F81" i="34"/>
  <c r="J81" i="34"/>
  <c r="AB81" i="34"/>
  <c r="AC81" i="34"/>
  <c r="I81" i="34"/>
  <c r="L81" i="34"/>
  <c r="P81" i="34"/>
  <c r="Q81" i="34" s="1"/>
  <c r="Z81" i="34"/>
  <c r="T81" i="34"/>
  <c r="U81" i="34" s="1"/>
  <c r="M81" i="34"/>
  <c r="AD81" i="34"/>
  <c r="G81" i="34"/>
  <c r="X81" i="34"/>
  <c r="Y81" i="34" s="1"/>
  <c r="AD60" i="34"/>
  <c r="Z60" i="34"/>
  <c r="F60" i="34"/>
  <c r="L60" i="34"/>
  <c r="R60" i="34"/>
  <c r="S60" i="34" s="1"/>
  <c r="N60" i="34"/>
  <c r="O60" i="34" s="1"/>
  <c r="AB60" i="34"/>
  <c r="J60" i="34"/>
  <c r="X60" i="34"/>
  <c r="Y60" i="34" s="1"/>
  <c r="I60" i="34"/>
  <c r="M60" i="34"/>
  <c r="P60" i="34"/>
  <c r="Q60" i="34" s="1"/>
  <c r="AC60" i="34"/>
  <c r="H60" i="34"/>
  <c r="G60" i="34"/>
  <c r="E60" i="34"/>
  <c r="AA60" i="34"/>
  <c r="K60" i="34"/>
  <c r="V60" i="34"/>
  <c r="W60" i="34" s="1"/>
  <c r="T60" i="34"/>
  <c r="U60" i="34" s="1"/>
  <c r="M92" i="34"/>
  <c r="X92" i="34"/>
  <c r="Y92" i="34" s="1"/>
  <c r="G92" i="34"/>
  <c r="AA92" i="34"/>
  <c r="AD92" i="34"/>
  <c r="P92" i="34"/>
  <c r="Q92" i="34" s="1"/>
  <c r="R92" i="34"/>
  <c r="S92" i="34" s="1"/>
  <c r="L92" i="34"/>
  <c r="AC92" i="34"/>
  <c r="V92" i="34"/>
  <c r="W92" i="34" s="1"/>
  <c r="F92" i="34"/>
  <c r="H92" i="34"/>
  <c r="J92" i="34"/>
  <c r="Z92" i="34"/>
  <c r="K92" i="34"/>
  <c r="T92" i="34"/>
  <c r="U92" i="34" s="1"/>
  <c r="N92" i="34"/>
  <c r="O92" i="34" s="1"/>
  <c r="AB92" i="34"/>
  <c r="I92" i="34"/>
  <c r="E92" i="34"/>
  <c r="AD65" i="34"/>
  <c r="E65" i="34"/>
  <c r="T65" i="34"/>
  <c r="U65" i="34" s="1"/>
  <c r="AC65" i="34"/>
  <c r="Z65" i="34"/>
  <c r="L65" i="34"/>
  <c r="I65" i="34"/>
  <c r="F65" i="34"/>
  <c r="M65" i="34"/>
  <c r="J65" i="34"/>
  <c r="H65" i="34"/>
  <c r="G65" i="34"/>
  <c r="X65" i="34"/>
  <c r="Y65" i="34" s="1"/>
  <c r="R65" i="34"/>
  <c r="S65" i="34" s="1"/>
  <c r="N65" i="34"/>
  <c r="O65" i="34" s="1"/>
  <c r="V65" i="34"/>
  <c r="W65" i="34" s="1"/>
  <c r="AA65" i="34"/>
  <c r="AB65" i="34"/>
  <c r="P65" i="34"/>
  <c r="Q65" i="34" s="1"/>
  <c r="K65" i="34"/>
  <c r="N8" i="33"/>
  <c r="X57" i="34" l="1"/>
  <c r="Y57" i="34" s="1"/>
  <c r="AC57" i="34"/>
  <c r="R57" i="34"/>
  <c r="S57" i="34" s="1"/>
  <c r="E57" i="34"/>
  <c r="P57" i="34"/>
  <c r="Q57" i="34" s="1"/>
  <c r="L57" i="34"/>
  <c r="F57" i="34"/>
  <c r="H57" i="34"/>
  <c r="AG8" i="34"/>
  <c r="C56" i="34" s="1"/>
  <c r="AG7" i="34"/>
  <c r="C55" i="34" s="1"/>
  <c r="K55" i="34" s="1"/>
  <c r="I21" i="33"/>
  <c r="N18" i="33"/>
  <c r="N22" i="33" s="1"/>
  <c r="M22" i="33"/>
  <c r="H17" i="33"/>
  <c r="H16" i="33" s="1"/>
  <c r="D23" i="33"/>
  <c r="D21" i="33" s="1"/>
  <c r="I16" i="33"/>
  <c r="M16" i="33"/>
  <c r="M23" i="33"/>
  <c r="N17" i="33"/>
  <c r="AG21" i="35"/>
  <c r="C69" i="35" s="1"/>
  <c r="AB69" i="35" s="1"/>
  <c r="AG22" i="35"/>
  <c r="C70" i="35" s="1"/>
  <c r="Z70" i="35" s="1"/>
  <c r="AG29" i="35"/>
  <c r="C77" i="35" s="1"/>
  <c r="N77" i="35" s="1"/>
  <c r="O77" i="35" s="1"/>
  <c r="AG26" i="35"/>
  <c r="C74" i="35" s="1"/>
  <c r="AA74" i="35" s="1"/>
  <c r="AG11" i="35"/>
  <c r="C59" i="35" s="1"/>
  <c r="I59" i="35" s="1"/>
  <c r="AG13" i="35"/>
  <c r="C61" i="35" s="1"/>
  <c r="G61" i="35" s="1"/>
  <c r="AG28" i="35"/>
  <c r="C76" i="35" s="1"/>
  <c r="N76" i="35" s="1"/>
  <c r="O76" i="35" s="1"/>
  <c r="AG17" i="35"/>
  <c r="C65" i="35" s="1"/>
  <c r="N65" i="35" s="1"/>
  <c r="O65" i="35" s="1"/>
  <c r="AG8" i="35"/>
  <c r="C56" i="35" s="1"/>
  <c r="AG12" i="35"/>
  <c r="C60" i="35" s="1"/>
  <c r="AG27" i="35"/>
  <c r="C75" i="35" s="1"/>
  <c r="AG20" i="35"/>
  <c r="C68" i="35" s="1"/>
  <c r="AG7" i="35"/>
  <c r="C55" i="35" s="1"/>
  <c r="AG15" i="35"/>
  <c r="C63" i="35" s="1"/>
  <c r="AG25" i="35"/>
  <c r="C73" i="35" s="1"/>
  <c r="AG10" i="35"/>
  <c r="C58" i="35" s="1"/>
  <c r="AG19" i="35"/>
  <c r="C67" i="35" s="1"/>
  <c r="AG16" i="35"/>
  <c r="C64" i="35" s="1"/>
  <c r="AG23" i="35"/>
  <c r="C71" i="35" s="1"/>
  <c r="AG24" i="35"/>
  <c r="C72" i="35" s="1"/>
  <c r="AG14" i="35"/>
  <c r="C62" i="35" s="1"/>
  <c r="F62" i="35" s="1"/>
  <c r="AG9" i="35"/>
  <c r="C57" i="35" s="1"/>
  <c r="AG18" i="35"/>
  <c r="C66" i="35" s="1"/>
  <c r="AE90" i="34"/>
  <c r="AE60" i="34"/>
  <c r="C102" i="34" s="1"/>
  <c r="D60" i="34"/>
  <c r="AE63" i="34"/>
  <c r="C105" i="34" s="1"/>
  <c r="D63" i="34"/>
  <c r="AE81" i="34"/>
  <c r="C123" i="34" s="1"/>
  <c r="D81" i="34"/>
  <c r="AE83" i="34"/>
  <c r="C125" i="34" s="1"/>
  <c r="D83" i="34"/>
  <c r="D61" i="34"/>
  <c r="AE61" i="34"/>
  <c r="C103" i="34" s="1"/>
  <c r="D88" i="34"/>
  <c r="AE88" i="34"/>
  <c r="D66" i="34"/>
  <c r="AE66" i="34"/>
  <c r="C108" i="34" s="1"/>
  <c r="AE80" i="34"/>
  <c r="C122" i="34" s="1"/>
  <c r="D80" i="34"/>
  <c r="AE65" i="34"/>
  <c r="C107" i="34" s="1"/>
  <c r="D65" i="34"/>
  <c r="D93" i="34"/>
  <c r="AE93" i="34"/>
  <c r="D76" i="34"/>
  <c r="AE76" i="34"/>
  <c r="C118" i="34" s="1"/>
  <c r="AE87" i="34"/>
  <c r="D87" i="34"/>
  <c r="D67" i="34"/>
  <c r="AE67" i="34"/>
  <c r="C109" i="34" s="1"/>
  <c r="D59" i="34"/>
  <c r="AE59" i="34"/>
  <c r="C101" i="34" s="1"/>
  <c r="AE57" i="34"/>
  <c r="C99" i="34" s="1"/>
  <c r="AE92" i="34"/>
  <c r="D92" i="34"/>
  <c r="AE68" i="34"/>
  <c r="C110" i="34" s="1"/>
  <c r="D68" i="34"/>
  <c r="AE89" i="34"/>
  <c r="D89" i="34"/>
  <c r="D74" i="34"/>
  <c r="AE74" i="34"/>
  <c r="C116" i="34" s="1"/>
  <c r="AE91" i="34"/>
  <c r="D91" i="34"/>
  <c r="D86" i="34"/>
  <c r="AE86" i="34"/>
  <c r="D71" i="34"/>
  <c r="AE71" i="34"/>
  <c r="C113" i="34" s="1"/>
  <c r="D62" i="34"/>
  <c r="AE62" i="34"/>
  <c r="C104" i="34" s="1"/>
  <c r="D72" i="34"/>
  <c r="AE72" i="34"/>
  <c r="C114" i="34" s="1"/>
  <c r="D78" i="34"/>
  <c r="AE78" i="34"/>
  <c r="C120" i="34" s="1"/>
  <c r="AE84" i="34"/>
  <c r="C126" i="34" s="1"/>
  <c r="D84" i="34"/>
  <c r="D58" i="34"/>
  <c r="AE58" i="34"/>
  <c r="C100" i="34" s="1"/>
  <c r="AE77" i="34"/>
  <c r="C119" i="34" s="1"/>
  <c r="D77" i="34"/>
  <c r="AE69" i="34"/>
  <c r="C111" i="34" s="1"/>
  <c r="D69" i="34"/>
  <c r="AE73" i="34"/>
  <c r="C115" i="34" s="1"/>
  <c r="D73" i="34"/>
  <c r="D82" i="34"/>
  <c r="AE82" i="34"/>
  <c r="C124" i="34" s="1"/>
  <c r="D70" i="34"/>
  <c r="AE70" i="34"/>
  <c r="C112" i="34" s="1"/>
  <c r="D79" i="34"/>
  <c r="AE79" i="34"/>
  <c r="C121" i="34" s="1"/>
  <c r="AE85" i="34"/>
  <c r="D85" i="34"/>
  <c r="AE75" i="34"/>
  <c r="C117" i="34" s="1"/>
  <c r="D75" i="34"/>
  <c r="AE64" i="34"/>
  <c r="C106" i="34" s="1"/>
  <c r="AC55" i="34" l="1"/>
  <c r="M55" i="34"/>
  <c r="T55" i="34"/>
  <c r="U55" i="34" s="1"/>
  <c r="AA55" i="34"/>
  <c r="Z56" i="34"/>
  <c r="AA56" i="34"/>
  <c r="N56" i="34"/>
  <c r="O56" i="34" s="1"/>
  <c r="K56" i="34"/>
  <c r="G56" i="34"/>
  <c r="AC56" i="34"/>
  <c r="H56" i="34"/>
  <c r="I56" i="34"/>
  <c r="V56" i="34"/>
  <c r="W56" i="34" s="1"/>
  <c r="AD56" i="34"/>
  <c r="P56" i="34"/>
  <c r="Q56" i="34" s="1"/>
  <c r="L56" i="34"/>
  <c r="R56" i="34"/>
  <c r="S56" i="34" s="1"/>
  <c r="X56" i="34"/>
  <c r="Y56" i="34" s="1"/>
  <c r="AB56" i="34"/>
  <c r="F56" i="34"/>
  <c r="J56" i="34"/>
  <c r="T56" i="34"/>
  <c r="U56" i="34" s="1"/>
  <c r="M56" i="34"/>
  <c r="E56" i="34"/>
  <c r="J55" i="34"/>
  <c r="H55" i="34"/>
  <c r="AD55" i="34"/>
  <c r="D55" i="34" s="1"/>
  <c r="Z55" i="34"/>
  <c r="G55" i="34"/>
  <c r="I55" i="34"/>
  <c r="AB55" i="34"/>
  <c r="L55" i="34"/>
  <c r="F55" i="34"/>
  <c r="V55" i="34"/>
  <c r="W55" i="34" s="1"/>
  <c r="R55" i="34"/>
  <c r="S55" i="34" s="1"/>
  <c r="P55" i="34"/>
  <c r="Q55" i="34" s="1"/>
  <c r="X55" i="34"/>
  <c r="Y55" i="34" s="1"/>
  <c r="N55" i="34"/>
  <c r="O55" i="34" s="1"/>
  <c r="E55" i="34"/>
  <c r="M21" i="33"/>
  <c r="H23" i="33"/>
  <c r="H21" i="33" s="1"/>
  <c r="N16" i="33"/>
  <c r="I24" i="33" s="1"/>
  <c r="FJ52" i="13" s="1"/>
  <c r="EH67" i="13" s="1"/>
  <c r="N23" i="33"/>
  <c r="F69" i="35"/>
  <c r="AC59" i="35"/>
  <c r="Z76" i="35"/>
  <c r="T69" i="35"/>
  <c r="U69" i="35" s="1"/>
  <c r="V69" i="35"/>
  <c r="W69" i="35" s="1"/>
  <c r="L69" i="35"/>
  <c r="K69" i="35"/>
  <c r="G69" i="35"/>
  <c r="AA69" i="35"/>
  <c r="R69" i="35"/>
  <c r="S69" i="35" s="1"/>
  <c r="R65" i="35"/>
  <c r="S65" i="35" s="1"/>
  <c r="T76" i="35"/>
  <c r="U76" i="35" s="1"/>
  <c r="T65" i="35"/>
  <c r="U65" i="35" s="1"/>
  <c r="J69" i="35"/>
  <c r="J59" i="35"/>
  <c r="H69" i="35"/>
  <c r="P69" i="35"/>
  <c r="Q69" i="35" s="1"/>
  <c r="V59" i="35"/>
  <c r="W59" i="35" s="1"/>
  <c r="M65" i="35"/>
  <c r="N69" i="35"/>
  <c r="O69" i="35" s="1"/>
  <c r="M69" i="35"/>
  <c r="P59" i="35"/>
  <c r="Q59" i="35" s="1"/>
  <c r="AC69" i="35"/>
  <c r="F59" i="35"/>
  <c r="X69" i="35"/>
  <c r="Y69" i="35" s="1"/>
  <c r="I69" i="35"/>
  <c r="P76" i="35"/>
  <c r="Q76" i="35" s="1"/>
  <c r="E76" i="35"/>
  <c r="J74" i="35"/>
  <c r="V74" i="35"/>
  <c r="W74" i="35" s="1"/>
  <c r="J65" i="35"/>
  <c r="X65" i="35"/>
  <c r="Y65" i="35" s="1"/>
  <c r="H65" i="35"/>
  <c r="E65" i="35"/>
  <c r="AB65" i="35"/>
  <c r="E69" i="35"/>
  <c r="Z69" i="35"/>
  <c r="L65" i="35"/>
  <c r="Z65" i="35"/>
  <c r="P65" i="35"/>
  <c r="Q65" i="35" s="1"/>
  <c r="I65" i="35"/>
  <c r="F65" i="35"/>
  <c r="V65" i="35"/>
  <c r="W65" i="35" s="1"/>
  <c r="K65" i="35"/>
  <c r="G70" i="35"/>
  <c r="N70" i="35"/>
  <c r="O70" i="35" s="1"/>
  <c r="AB59" i="35"/>
  <c r="X59" i="35"/>
  <c r="Y59" i="35" s="1"/>
  <c r="T77" i="35"/>
  <c r="U77" i="35" s="1"/>
  <c r="AD59" i="35"/>
  <c r="D59" i="35" s="1"/>
  <c r="E77" i="35"/>
  <c r="K59" i="35"/>
  <c r="N59" i="35"/>
  <c r="O59" i="35" s="1"/>
  <c r="L61" i="35"/>
  <c r="Z59" i="35"/>
  <c r="R70" i="35"/>
  <c r="S70" i="35" s="1"/>
  <c r="V70" i="35"/>
  <c r="W70" i="35" s="1"/>
  <c r="E61" i="35"/>
  <c r="L59" i="35"/>
  <c r="H59" i="35"/>
  <c r="R77" i="35"/>
  <c r="S77" i="35" s="1"/>
  <c r="AC65" i="35"/>
  <c r="N74" i="35"/>
  <c r="O74" i="35" s="1"/>
  <c r="M70" i="35"/>
  <c r="AB70" i="35"/>
  <c r="J70" i="35"/>
  <c r="G65" i="35"/>
  <c r="H74" i="35"/>
  <c r="AA70" i="35"/>
  <c r="H70" i="35"/>
  <c r="P77" i="35"/>
  <c r="Q77" i="35" s="1"/>
  <c r="I77" i="35"/>
  <c r="I61" i="35"/>
  <c r="AB77" i="35"/>
  <c r="AC77" i="35"/>
  <c r="J77" i="35"/>
  <c r="V77" i="35"/>
  <c r="W77" i="35" s="1"/>
  <c r="G77" i="35"/>
  <c r="AA77" i="35"/>
  <c r="M77" i="35"/>
  <c r="K77" i="35"/>
  <c r="T70" i="35"/>
  <c r="U70" i="35" s="1"/>
  <c r="F70" i="35"/>
  <c r="L70" i="35"/>
  <c r="K70" i="35"/>
  <c r="I70" i="35"/>
  <c r="H77" i="35"/>
  <c r="L77" i="35"/>
  <c r="X77" i="35"/>
  <c r="Y77" i="35" s="1"/>
  <c r="F77" i="35"/>
  <c r="Z77" i="35"/>
  <c r="AA65" i="35"/>
  <c r="Z74" i="35"/>
  <c r="P70" i="35"/>
  <c r="Q70" i="35" s="1"/>
  <c r="AC70" i="35"/>
  <c r="E70" i="35"/>
  <c r="X70" i="35"/>
  <c r="Y70" i="35" s="1"/>
  <c r="L74" i="35"/>
  <c r="AB74" i="35"/>
  <c r="E74" i="35"/>
  <c r="X74" i="35"/>
  <c r="Y74" i="35" s="1"/>
  <c r="G74" i="35"/>
  <c r="P74" i="35"/>
  <c r="Q74" i="35" s="1"/>
  <c r="M74" i="35"/>
  <c r="AC74" i="35"/>
  <c r="T74" i="35"/>
  <c r="U74" i="35" s="1"/>
  <c r="I74" i="35"/>
  <c r="F74" i="35"/>
  <c r="R74" i="35"/>
  <c r="S74" i="35" s="1"/>
  <c r="K74" i="35"/>
  <c r="V61" i="35"/>
  <c r="W61" i="35" s="1"/>
  <c r="N61" i="35"/>
  <c r="O61" i="35" s="1"/>
  <c r="AC61" i="35"/>
  <c r="J62" i="35"/>
  <c r="G62" i="35"/>
  <c r="J61" i="35"/>
  <c r="T61" i="35"/>
  <c r="U61" i="35" s="1"/>
  <c r="H61" i="35"/>
  <c r="M61" i="35"/>
  <c r="K61" i="35"/>
  <c r="AB61" i="35"/>
  <c r="M76" i="35"/>
  <c r="AA76" i="35"/>
  <c r="I76" i="35"/>
  <c r="K76" i="35"/>
  <c r="V76" i="35"/>
  <c r="W76" i="35" s="1"/>
  <c r="X76" i="35"/>
  <c r="Y76" i="35" s="1"/>
  <c r="F76" i="35"/>
  <c r="H76" i="35"/>
  <c r="J76" i="35"/>
  <c r="R76" i="35"/>
  <c r="S76" i="35" s="1"/>
  <c r="G76" i="35"/>
  <c r="L76" i="35"/>
  <c r="AB76" i="35"/>
  <c r="AC76" i="35"/>
  <c r="G59" i="35"/>
  <c r="T59" i="35"/>
  <c r="U59" i="35" s="1"/>
  <c r="AA59" i="35"/>
  <c r="E59" i="35"/>
  <c r="M59" i="35"/>
  <c r="R59" i="35"/>
  <c r="S59" i="35" s="1"/>
  <c r="M62" i="35"/>
  <c r="AB62" i="35"/>
  <c r="AA61" i="35"/>
  <c r="F61" i="35"/>
  <c r="R61" i="35"/>
  <c r="S61" i="35" s="1"/>
  <c r="P61" i="35"/>
  <c r="Q61" i="35" s="1"/>
  <c r="X61" i="35"/>
  <c r="Y61" i="35" s="1"/>
  <c r="Z61" i="35"/>
  <c r="T62" i="35"/>
  <c r="U62" i="35" s="1"/>
  <c r="R62" i="35"/>
  <c r="S62" i="35" s="1"/>
  <c r="K62" i="35"/>
  <c r="L57" i="35"/>
  <c r="AA57" i="35"/>
  <c r="G57" i="35"/>
  <c r="J57" i="35"/>
  <c r="AD57" i="35"/>
  <c r="AC57" i="35"/>
  <c r="T57" i="35"/>
  <c r="U57" i="35" s="1"/>
  <c r="H57" i="35"/>
  <c r="F57" i="35"/>
  <c r="M57" i="35"/>
  <c r="R57" i="35"/>
  <c r="S57" i="35" s="1"/>
  <c r="V57" i="35"/>
  <c r="W57" i="35" s="1"/>
  <c r="N57" i="35"/>
  <c r="O57" i="35" s="1"/>
  <c r="AB57" i="35"/>
  <c r="Z57" i="35"/>
  <c r="X57" i="35"/>
  <c r="Y57" i="35" s="1"/>
  <c r="P57" i="35"/>
  <c r="Q57" i="35" s="1"/>
  <c r="K57" i="35"/>
  <c r="E57" i="35"/>
  <c r="I57" i="35"/>
  <c r="P73" i="35"/>
  <c r="Q73" i="35" s="1"/>
  <c r="T73" i="35"/>
  <c r="U73" i="35" s="1"/>
  <c r="J73" i="35"/>
  <c r="M73" i="35"/>
  <c r="K73" i="35"/>
  <c r="R73" i="35"/>
  <c r="S73" i="35" s="1"/>
  <c r="AC73" i="35"/>
  <c r="H73" i="35"/>
  <c r="V73" i="35"/>
  <c r="W73" i="35" s="1"/>
  <c r="Z73" i="35"/>
  <c r="I73" i="35"/>
  <c r="N73" i="35"/>
  <c r="O73" i="35" s="1"/>
  <c r="E73" i="35"/>
  <c r="L73" i="35"/>
  <c r="G73" i="35"/>
  <c r="F73" i="35"/>
  <c r="AA73" i="35"/>
  <c r="AB73" i="35"/>
  <c r="X73" i="35"/>
  <c r="Y73" i="35" s="1"/>
  <c r="V56" i="35"/>
  <c r="W56" i="35" s="1"/>
  <c r="L56" i="35"/>
  <c r="F56" i="35"/>
  <c r="I56" i="35"/>
  <c r="AB56" i="35"/>
  <c r="AA56" i="35"/>
  <c r="Z56" i="35"/>
  <c r="P56" i="35"/>
  <c r="Q56" i="35" s="1"/>
  <c r="J56" i="35"/>
  <c r="R56" i="35"/>
  <c r="S56" i="35" s="1"/>
  <c r="X56" i="35"/>
  <c r="Y56" i="35" s="1"/>
  <c r="G56" i="35"/>
  <c r="AC56" i="35"/>
  <c r="M56" i="35"/>
  <c r="N56" i="35"/>
  <c r="O56" i="35" s="1"/>
  <c r="AD56" i="35"/>
  <c r="H56" i="35"/>
  <c r="T56" i="35"/>
  <c r="U56" i="35" s="1"/>
  <c r="E56" i="35"/>
  <c r="K56" i="35"/>
  <c r="X62" i="35"/>
  <c r="Y62" i="35" s="1"/>
  <c r="L62" i="35"/>
  <c r="H62" i="35"/>
  <c r="P62" i="35"/>
  <c r="Q62" i="35" s="1"/>
  <c r="AA62" i="35"/>
  <c r="V62" i="35"/>
  <c r="W62" i="35" s="1"/>
  <c r="P64" i="35"/>
  <c r="Q64" i="35" s="1"/>
  <c r="X64" i="35"/>
  <c r="Y64" i="35" s="1"/>
  <c r="E64" i="35"/>
  <c r="AC64" i="35"/>
  <c r="Z64" i="35"/>
  <c r="M64" i="35"/>
  <c r="T64" i="35"/>
  <c r="U64" i="35" s="1"/>
  <c r="F64" i="35"/>
  <c r="AA64" i="35"/>
  <c r="J64" i="35"/>
  <c r="N64" i="35"/>
  <c r="O64" i="35" s="1"/>
  <c r="R64" i="35"/>
  <c r="S64" i="35" s="1"/>
  <c r="H64" i="35"/>
  <c r="AB64" i="35"/>
  <c r="G64" i="35"/>
  <c r="K64" i="35"/>
  <c r="L64" i="35"/>
  <c r="V64" i="35"/>
  <c r="W64" i="35" s="1"/>
  <c r="I64" i="35"/>
  <c r="I63" i="35"/>
  <c r="H63" i="35"/>
  <c r="F63" i="35"/>
  <c r="X63" i="35"/>
  <c r="Y63" i="35" s="1"/>
  <c r="Z63" i="35"/>
  <c r="AB63" i="35"/>
  <c r="L63" i="35"/>
  <c r="P63" i="35"/>
  <c r="Q63" i="35" s="1"/>
  <c r="M63" i="35"/>
  <c r="J63" i="35"/>
  <c r="V63" i="35"/>
  <c r="W63" i="35" s="1"/>
  <c r="R63" i="35"/>
  <c r="S63" i="35" s="1"/>
  <c r="E63" i="35"/>
  <c r="K63" i="35"/>
  <c r="G63" i="35"/>
  <c r="AA63" i="35"/>
  <c r="T63" i="35"/>
  <c r="U63" i="35" s="1"/>
  <c r="N63" i="35"/>
  <c r="O63" i="35" s="1"/>
  <c r="AC63" i="35"/>
  <c r="G68" i="35"/>
  <c r="K68" i="35"/>
  <c r="AB68" i="35"/>
  <c r="F68" i="35"/>
  <c r="T68" i="35"/>
  <c r="U68" i="35" s="1"/>
  <c r="P68" i="35"/>
  <c r="Q68" i="35" s="1"/>
  <c r="X68" i="35"/>
  <c r="Y68" i="35" s="1"/>
  <c r="V68" i="35"/>
  <c r="W68" i="35" s="1"/>
  <c r="R68" i="35"/>
  <c r="S68" i="35" s="1"/>
  <c r="Z68" i="35"/>
  <c r="E68" i="35"/>
  <c r="L68" i="35"/>
  <c r="I68" i="35"/>
  <c r="M68" i="35"/>
  <c r="J68" i="35"/>
  <c r="N68" i="35"/>
  <c r="O68" i="35" s="1"/>
  <c r="AA68" i="35"/>
  <c r="AC68" i="35"/>
  <c r="H68" i="35"/>
  <c r="I62" i="35"/>
  <c r="AC62" i="35"/>
  <c r="N62" i="35"/>
  <c r="O62" i="35" s="1"/>
  <c r="F72" i="35"/>
  <c r="M72" i="35"/>
  <c r="P72" i="35"/>
  <c r="Q72" i="35" s="1"/>
  <c r="R72" i="35"/>
  <c r="S72" i="35" s="1"/>
  <c r="AB72" i="35"/>
  <c r="AC72" i="35"/>
  <c r="T72" i="35"/>
  <c r="U72" i="35" s="1"/>
  <c r="I72" i="35"/>
  <c r="Z72" i="35"/>
  <c r="L72" i="35"/>
  <c r="H72" i="35"/>
  <c r="AA72" i="35"/>
  <c r="X72" i="35"/>
  <c r="Y72" i="35" s="1"/>
  <c r="N72" i="35"/>
  <c r="O72" i="35" s="1"/>
  <c r="E72" i="35"/>
  <c r="V72" i="35"/>
  <c r="W72" i="35" s="1"/>
  <c r="G72" i="35"/>
  <c r="J72" i="35"/>
  <c r="K72" i="35"/>
  <c r="I67" i="35"/>
  <c r="H67" i="35"/>
  <c r="AB67" i="35"/>
  <c r="M67" i="35"/>
  <c r="Z67" i="35"/>
  <c r="T67" i="35"/>
  <c r="U67" i="35" s="1"/>
  <c r="E67" i="35"/>
  <c r="F67" i="35"/>
  <c r="AA67" i="35"/>
  <c r="J67" i="35"/>
  <c r="N67" i="35"/>
  <c r="O67" i="35" s="1"/>
  <c r="R67" i="35"/>
  <c r="S67" i="35" s="1"/>
  <c r="AC67" i="35"/>
  <c r="V67" i="35"/>
  <c r="W67" i="35" s="1"/>
  <c r="G67" i="35"/>
  <c r="K67" i="35"/>
  <c r="P67" i="35"/>
  <c r="Q67" i="35" s="1"/>
  <c r="X67" i="35"/>
  <c r="Y67" i="35" s="1"/>
  <c r="L67" i="35"/>
  <c r="N55" i="35"/>
  <c r="O55" i="35" s="1"/>
  <c r="V55" i="35"/>
  <c r="W55" i="35" s="1"/>
  <c r="AC55" i="35"/>
  <c r="R55" i="35"/>
  <c r="S55" i="35" s="1"/>
  <c r="I55" i="35"/>
  <c r="AB55" i="35"/>
  <c r="M55" i="35"/>
  <c r="G55" i="35"/>
  <c r="Z55" i="35"/>
  <c r="X55" i="35"/>
  <c r="Y55" i="35" s="1"/>
  <c r="L55" i="35"/>
  <c r="P55" i="35"/>
  <c r="Q55" i="35" s="1"/>
  <c r="H55" i="35"/>
  <c r="T55" i="35"/>
  <c r="U55" i="35" s="1"/>
  <c r="J55" i="35"/>
  <c r="E55" i="35"/>
  <c r="AA55" i="35"/>
  <c r="AD55" i="35"/>
  <c r="F55" i="35"/>
  <c r="K55" i="35"/>
  <c r="L75" i="35"/>
  <c r="H75" i="35"/>
  <c r="E75" i="35"/>
  <c r="I75" i="35"/>
  <c r="F75" i="35"/>
  <c r="M75" i="35"/>
  <c r="N75" i="35"/>
  <c r="O75" i="35" s="1"/>
  <c r="X75" i="35"/>
  <c r="Y75" i="35" s="1"/>
  <c r="J75" i="35"/>
  <c r="R75" i="35"/>
  <c r="S75" i="35" s="1"/>
  <c r="Z75" i="35"/>
  <c r="V75" i="35"/>
  <c r="W75" i="35" s="1"/>
  <c r="AA75" i="35"/>
  <c r="T75" i="35"/>
  <c r="U75" i="35" s="1"/>
  <c r="AB75" i="35"/>
  <c r="K75" i="35"/>
  <c r="AC75" i="35"/>
  <c r="P75" i="35"/>
  <c r="Q75" i="35" s="1"/>
  <c r="G75" i="35"/>
  <c r="Z62" i="35"/>
  <c r="E62" i="35"/>
  <c r="R66" i="35"/>
  <c r="S66" i="35" s="1"/>
  <c r="I66" i="35"/>
  <c r="P66" i="35"/>
  <c r="Q66" i="35" s="1"/>
  <c r="K66" i="35"/>
  <c r="G66" i="35"/>
  <c r="AA66" i="35"/>
  <c r="V66" i="35"/>
  <c r="W66" i="35" s="1"/>
  <c r="L66" i="35"/>
  <c r="AB66" i="35"/>
  <c r="N66" i="35"/>
  <c r="O66" i="35" s="1"/>
  <c r="M66" i="35"/>
  <c r="F66" i="35"/>
  <c r="J66" i="35"/>
  <c r="E66" i="35"/>
  <c r="Z66" i="35"/>
  <c r="H66" i="35"/>
  <c r="AC66" i="35"/>
  <c r="X66" i="35"/>
  <c r="Y66" i="35" s="1"/>
  <c r="T66" i="35"/>
  <c r="U66" i="35" s="1"/>
  <c r="T71" i="35"/>
  <c r="U71" i="35" s="1"/>
  <c r="J71" i="35"/>
  <c r="F71" i="35"/>
  <c r="I71" i="35"/>
  <c r="V71" i="35"/>
  <c r="W71" i="35" s="1"/>
  <c r="AC71" i="35"/>
  <c r="X71" i="35"/>
  <c r="Y71" i="35" s="1"/>
  <c r="M71" i="35"/>
  <c r="K71" i="35"/>
  <c r="P71" i="35"/>
  <c r="Q71" i="35" s="1"/>
  <c r="N71" i="35"/>
  <c r="O71" i="35" s="1"/>
  <c r="R71" i="35"/>
  <c r="S71" i="35" s="1"/>
  <c r="AB71" i="35"/>
  <c r="L71" i="35"/>
  <c r="E71" i="35"/>
  <c r="AA71" i="35"/>
  <c r="Z71" i="35"/>
  <c r="H71" i="35"/>
  <c r="G71" i="35"/>
  <c r="F58" i="35"/>
  <c r="H58" i="35"/>
  <c r="V58" i="35"/>
  <c r="W58" i="35" s="1"/>
  <c r="L58" i="35"/>
  <c r="N58" i="35"/>
  <c r="O58" i="35" s="1"/>
  <c r="AB58" i="35"/>
  <c r="AC58" i="35"/>
  <c r="Z58" i="35"/>
  <c r="E58" i="35"/>
  <c r="T58" i="35"/>
  <c r="U58" i="35" s="1"/>
  <c r="AD58" i="35"/>
  <c r="X58" i="35"/>
  <c r="Y58" i="35" s="1"/>
  <c r="AA58" i="35"/>
  <c r="G58" i="35"/>
  <c r="M58" i="35"/>
  <c r="R58" i="35"/>
  <c r="S58" i="35" s="1"/>
  <c r="J58" i="35"/>
  <c r="K58" i="35"/>
  <c r="P58" i="35"/>
  <c r="Q58" i="35" s="1"/>
  <c r="I58" i="35"/>
  <c r="J60" i="35"/>
  <c r="X60" i="35"/>
  <c r="Y60" i="35" s="1"/>
  <c r="AC60" i="35"/>
  <c r="V60" i="35"/>
  <c r="W60" i="35" s="1"/>
  <c r="I60" i="35"/>
  <c r="G60" i="35"/>
  <c r="T60" i="35"/>
  <c r="U60" i="35" s="1"/>
  <c r="F60" i="35"/>
  <c r="AB60" i="35"/>
  <c r="E60" i="35"/>
  <c r="N60" i="35"/>
  <c r="O60" i="35" s="1"/>
  <c r="R60" i="35"/>
  <c r="S60" i="35" s="1"/>
  <c r="P60" i="35"/>
  <c r="Q60" i="35" s="1"/>
  <c r="AA60" i="35"/>
  <c r="Z60" i="35"/>
  <c r="K60" i="35"/>
  <c r="L60" i="35"/>
  <c r="M60" i="35"/>
  <c r="H60" i="35"/>
  <c r="AE59" i="35"/>
  <c r="N112" i="34"/>
  <c r="O112" i="34" s="1"/>
  <c r="L112" i="34"/>
  <c r="T112" i="34"/>
  <c r="U112" i="34" s="1"/>
  <c r="Z112" i="34"/>
  <c r="AA112" i="34"/>
  <c r="H112" i="34"/>
  <c r="AD112" i="34"/>
  <c r="R112" i="34"/>
  <c r="S112" i="34" s="1"/>
  <c r="F112" i="34"/>
  <c r="M112" i="34"/>
  <c r="X112" i="34"/>
  <c r="Y112" i="34" s="1"/>
  <c r="P112" i="34"/>
  <c r="Q112" i="34" s="1"/>
  <c r="AC112" i="34"/>
  <c r="D112" i="34"/>
  <c r="V112" i="34"/>
  <c r="W112" i="34" s="1"/>
  <c r="K112" i="34"/>
  <c r="AB112" i="34"/>
  <c r="AE112" i="34"/>
  <c r="G112" i="34"/>
  <c r="I112" i="34"/>
  <c r="AF112" i="34"/>
  <c r="J112" i="34"/>
  <c r="E112" i="34"/>
  <c r="AE113" i="34"/>
  <c r="F113" i="34"/>
  <c r="K113" i="34"/>
  <c r="J113" i="34"/>
  <c r="L113" i="34"/>
  <c r="D113" i="34"/>
  <c r="R113" i="34"/>
  <c r="S113" i="34" s="1"/>
  <c r="I113" i="34"/>
  <c r="M113" i="34"/>
  <c r="V113" i="34"/>
  <c r="W113" i="34" s="1"/>
  <c r="AB113" i="34"/>
  <c r="G113" i="34"/>
  <c r="P113" i="34"/>
  <c r="Q113" i="34" s="1"/>
  <c r="N113" i="34"/>
  <c r="O113" i="34" s="1"/>
  <c r="H113" i="34"/>
  <c r="AA113" i="34"/>
  <c r="Z113" i="34"/>
  <c r="AF113" i="34"/>
  <c r="T113" i="34"/>
  <c r="U113" i="34" s="1"/>
  <c r="X113" i="34"/>
  <c r="Y113" i="34" s="1"/>
  <c r="AC113" i="34"/>
  <c r="AD113" i="34"/>
  <c r="E113" i="34"/>
  <c r="E118" i="34"/>
  <c r="AB118" i="34"/>
  <c r="T118" i="34"/>
  <c r="U118" i="34" s="1"/>
  <c r="K118" i="34"/>
  <c r="P118" i="34"/>
  <c r="Q118" i="34" s="1"/>
  <c r="Z118" i="34"/>
  <c r="L118" i="34"/>
  <c r="X118" i="34"/>
  <c r="Y118" i="34" s="1"/>
  <c r="AF118" i="34"/>
  <c r="N118" i="34"/>
  <c r="O118" i="34" s="1"/>
  <c r="R118" i="34"/>
  <c r="S118" i="34" s="1"/>
  <c r="F118" i="34"/>
  <c r="AE118" i="34"/>
  <c r="V118" i="34"/>
  <c r="W118" i="34" s="1"/>
  <c r="J118" i="34"/>
  <c r="AD118" i="34"/>
  <c r="D118" i="34"/>
  <c r="I118" i="34"/>
  <c r="AA118" i="34"/>
  <c r="M118" i="34"/>
  <c r="AC118" i="34"/>
  <c r="H118" i="34"/>
  <c r="G118" i="34"/>
  <c r="AE103" i="34"/>
  <c r="G103" i="34"/>
  <c r="V103" i="34"/>
  <c r="W103" i="34" s="1"/>
  <c r="R103" i="34"/>
  <c r="S103" i="34" s="1"/>
  <c r="AF103" i="34"/>
  <c r="E103" i="34"/>
  <c r="AB103" i="34"/>
  <c r="N103" i="34"/>
  <c r="O103" i="34" s="1"/>
  <c r="D103" i="34"/>
  <c r="X103" i="34"/>
  <c r="Y103" i="34" s="1"/>
  <c r="T103" i="34"/>
  <c r="U103" i="34" s="1"/>
  <c r="H103" i="34"/>
  <c r="L103" i="34"/>
  <c r="Z103" i="34"/>
  <c r="AD103" i="34"/>
  <c r="AA103" i="34"/>
  <c r="J103" i="34"/>
  <c r="M103" i="34"/>
  <c r="K103" i="34"/>
  <c r="F103" i="34"/>
  <c r="P103" i="34"/>
  <c r="Q103" i="34" s="1"/>
  <c r="I103" i="34"/>
  <c r="AC103" i="34"/>
  <c r="E117" i="34"/>
  <c r="I117" i="34"/>
  <c r="M117" i="34"/>
  <c r="H117" i="34"/>
  <c r="AB117" i="34"/>
  <c r="T117" i="34"/>
  <c r="U117" i="34" s="1"/>
  <c r="Z117" i="34"/>
  <c r="P117" i="34"/>
  <c r="Q117" i="34" s="1"/>
  <c r="D117" i="34"/>
  <c r="X117" i="34"/>
  <c r="Y117" i="34" s="1"/>
  <c r="AA117" i="34"/>
  <c r="R117" i="34"/>
  <c r="S117" i="34" s="1"/>
  <c r="AF117" i="34"/>
  <c r="G117" i="34"/>
  <c r="K117" i="34"/>
  <c r="AC117" i="34"/>
  <c r="AD117" i="34"/>
  <c r="AE117" i="34"/>
  <c r="F117" i="34"/>
  <c r="J117" i="34"/>
  <c r="V117" i="34"/>
  <c r="W117" i="34" s="1"/>
  <c r="L117" i="34"/>
  <c r="N117" i="34"/>
  <c r="O117" i="34" s="1"/>
  <c r="N105" i="34"/>
  <c r="O105" i="34" s="1"/>
  <c r="H105" i="34"/>
  <c r="X105" i="34"/>
  <c r="Y105" i="34" s="1"/>
  <c r="G105" i="34"/>
  <c r="M105" i="34"/>
  <c r="P105" i="34"/>
  <c r="Q105" i="34" s="1"/>
  <c r="Z105" i="34"/>
  <c r="V105" i="34"/>
  <c r="W105" i="34" s="1"/>
  <c r="AC105" i="34"/>
  <c r="AF105" i="34"/>
  <c r="AD105" i="34"/>
  <c r="T105" i="34"/>
  <c r="U105" i="34" s="1"/>
  <c r="R105" i="34"/>
  <c r="S105" i="34" s="1"/>
  <c r="K105" i="34"/>
  <c r="AE105" i="34"/>
  <c r="E105" i="34"/>
  <c r="D105" i="34"/>
  <c r="F105" i="34"/>
  <c r="AB105" i="34"/>
  <c r="I105" i="34"/>
  <c r="AA105" i="34"/>
  <c r="L105" i="34"/>
  <c r="J105" i="34"/>
  <c r="R121" i="34"/>
  <c r="S121" i="34" s="1"/>
  <c r="I121" i="34"/>
  <c r="E121" i="34"/>
  <c r="AA121" i="34"/>
  <c r="Z121" i="34"/>
  <c r="N121" i="34"/>
  <c r="O121" i="34" s="1"/>
  <c r="P121" i="34"/>
  <c r="Q121" i="34" s="1"/>
  <c r="D121" i="34"/>
  <c r="J121" i="34"/>
  <c r="AD121" i="34"/>
  <c r="T121" i="34"/>
  <c r="U121" i="34" s="1"/>
  <c r="AF121" i="34"/>
  <c r="G121" i="34"/>
  <c r="H121" i="34"/>
  <c r="L121" i="34"/>
  <c r="AC121" i="34"/>
  <c r="V121" i="34"/>
  <c r="W121" i="34" s="1"/>
  <c r="AE121" i="34"/>
  <c r="F121" i="34"/>
  <c r="X121" i="34"/>
  <c r="Y121" i="34" s="1"/>
  <c r="AB121" i="34"/>
  <c r="M121" i="34"/>
  <c r="K121" i="34"/>
  <c r="AB124" i="34"/>
  <c r="N124" i="34"/>
  <c r="O124" i="34" s="1"/>
  <c r="I124" i="34"/>
  <c r="P124" i="34"/>
  <c r="Q124" i="34" s="1"/>
  <c r="K124" i="34"/>
  <c r="Z124" i="34"/>
  <c r="AC124" i="34"/>
  <c r="L124" i="34"/>
  <c r="T124" i="34"/>
  <c r="U124" i="34" s="1"/>
  <c r="G124" i="34"/>
  <c r="AA124" i="34"/>
  <c r="M124" i="34"/>
  <c r="X124" i="34"/>
  <c r="Y124" i="34" s="1"/>
  <c r="R124" i="34"/>
  <c r="S124" i="34" s="1"/>
  <c r="F124" i="34"/>
  <c r="AD124" i="34"/>
  <c r="AE124" i="34"/>
  <c r="H124" i="34"/>
  <c r="AF124" i="34"/>
  <c r="D124" i="34"/>
  <c r="V124" i="34"/>
  <c r="W124" i="34" s="1"/>
  <c r="J124" i="34"/>
  <c r="E124" i="34"/>
  <c r="AA100" i="34"/>
  <c r="X100" i="34"/>
  <c r="Y100" i="34" s="1"/>
  <c r="AB100" i="34"/>
  <c r="D100" i="34"/>
  <c r="V100" i="34"/>
  <c r="W100" i="34" s="1"/>
  <c r="G100" i="34"/>
  <c r="Z100" i="34"/>
  <c r="T100" i="34"/>
  <c r="U100" i="34" s="1"/>
  <c r="N100" i="34"/>
  <c r="O100" i="34" s="1"/>
  <c r="K100" i="34"/>
  <c r="M100" i="34"/>
  <c r="J100" i="34"/>
  <c r="AE100" i="34"/>
  <c r="AD100" i="34"/>
  <c r="L100" i="34"/>
  <c r="AC100" i="34"/>
  <c r="P100" i="34"/>
  <c r="Q100" i="34" s="1"/>
  <c r="R100" i="34"/>
  <c r="S100" i="34" s="1"/>
  <c r="I100" i="34"/>
  <c r="AF100" i="34"/>
  <c r="E100" i="34"/>
  <c r="F100" i="34"/>
  <c r="H100" i="34"/>
  <c r="AE120" i="34"/>
  <c r="I120" i="34"/>
  <c r="J120" i="34"/>
  <c r="N120" i="34"/>
  <c r="O120" i="34" s="1"/>
  <c r="V120" i="34"/>
  <c r="W120" i="34" s="1"/>
  <c r="AB120" i="34"/>
  <c r="R120" i="34"/>
  <c r="S120" i="34" s="1"/>
  <c r="AA120" i="34"/>
  <c r="Z120" i="34"/>
  <c r="AD120" i="34"/>
  <c r="AF120" i="34"/>
  <c r="M120" i="34"/>
  <c r="E120" i="34"/>
  <c r="K120" i="34"/>
  <c r="H120" i="34"/>
  <c r="AC120" i="34"/>
  <c r="D120" i="34"/>
  <c r="P120" i="34"/>
  <c r="Q120" i="34" s="1"/>
  <c r="L120" i="34"/>
  <c r="F120" i="34"/>
  <c r="X120" i="34"/>
  <c r="Y120" i="34" s="1"/>
  <c r="G120" i="34"/>
  <c r="T120" i="34"/>
  <c r="U120" i="34" s="1"/>
  <c r="AC116" i="34"/>
  <c r="D116" i="34"/>
  <c r="T116" i="34"/>
  <c r="U116" i="34" s="1"/>
  <c r="J116" i="34"/>
  <c r="E116" i="34"/>
  <c r="F116" i="34"/>
  <c r="X116" i="34"/>
  <c r="Y116" i="34" s="1"/>
  <c r="G116" i="34"/>
  <c r="V116" i="34"/>
  <c r="W116" i="34" s="1"/>
  <c r="Z116" i="34"/>
  <c r="K116" i="34"/>
  <c r="I116" i="34"/>
  <c r="N116" i="34"/>
  <c r="O116" i="34" s="1"/>
  <c r="L116" i="34"/>
  <c r="M116" i="34"/>
  <c r="AF116" i="34"/>
  <c r="AA116" i="34"/>
  <c r="AD116" i="34"/>
  <c r="R116" i="34"/>
  <c r="S116" i="34" s="1"/>
  <c r="H116" i="34"/>
  <c r="AB116" i="34"/>
  <c r="AE116" i="34"/>
  <c r="P116" i="34"/>
  <c r="Q116" i="34" s="1"/>
  <c r="G101" i="34"/>
  <c r="AE101" i="34"/>
  <c r="R101" i="34"/>
  <c r="S101" i="34" s="1"/>
  <c r="Z101" i="34"/>
  <c r="D101" i="34"/>
  <c r="J101" i="34"/>
  <c r="E101" i="34"/>
  <c r="V101" i="34"/>
  <c r="W101" i="34" s="1"/>
  <c r="M101" i="34"/>
  <c r="F101" i="34"/>
  <c r="AC101" i="34"/>
  <c r="T101" i="34"/>
  <c r="U101" i="34" s="1"/>
  <c r="H101" i="34"/>
  <c r="AB101" i="34"/>
  <c r="AD101" i="34"/>
  <c r="N101" i="34"/>
  <c r="O101" i="34" s="1"/>
  <c r="AA101" i="34"/>
  <c r="I101" i="34"/>
  <c r="L101" i="34"/>
  <c r="K101" i="34"/>
  <c r="X101" i="34"/>
  <c r="Y101" i="34" s="1"/>
  <c r="AF101" i="34"/>
  <c r="P101" i="34"/>
  <c r="Q101" i="34" s="1"/>
  <c r="E109" i="34"/>
  <c r="H109" i="34"/>
  <c r="AE109" i="34"/>
  <c r="T109" i="34"/>
  <c r="U109" i="34" s="1"/>
  <c r="R109" i="34"/>
  <c r="S109" i="34" s="1"/>
  <c r="AB109" i="34"/>
  <c r="Z109" i="34"/>
  <c r="M109" i="34"/>
  <c r="AA109" i="34"/>
  <c r="K109" i="34"/>
  <c r="G109" i="34"/>
  <c r="L109" i="34"/>
  <c r="P109" i="34"/>
  <c r="Q109" i="34" s="1"/>
  <c r="AF109" i="34"/>
  <c r="I109" i="34"/>
  <c r="X109" i="34"/>
  <c r="Y109" i="34" s="1"/>
  <c r="AC109" i="34"/>
  <c r="F109" i="34"/>
  <c r="N109" i="34"/>
  <c r="O109" i="34" s="1"/>
  <c r="AD109" i="34"/>
  <c r="V109" i="34"/>
  <c r="W109" i="34" s="1"/>
  <c r="J109" i="34"/>
  <c r="D109" i="34"/>
  <c r="H115" i="34"/>
  <c r="X115" i="34"/>
  <c r="Y115" i="34" s="1"/>
  <c r="AA115" i="34"/>
  <c r="D115" i="34"/>
  <c r="I115" i="34"/>
  <c r="T115" i="34"/>
  <c r="U115" i="34" s="1"/>
  <c r="K115" i="34"/>
  <c r="L115" i="34"/>
  <c r="M115" i="34"/>
  <c r="AE115" i="34"/>
  <c r="N115" i="34"/>
  <c r="O115" i="34" s="1"/>
  <c r="AC115" i="34"/>
  <c r="G115" i="34"/>
  <c r="V115" i="34"/>
  <c r="W115" i="34" s="1"/>
  <c r="AB115" i="34"/>
  <c r="R115" i="34"/>
  <c r="S115" i="34" s="1"/>
  <c r="P115" i="34"/>
  <c r="Q115" i="34" s="1"/>
  <c r="Z115" i="34"/>
  <c r="AD115" i="34"/>
  <c r="E115" i="34"/>
  <c r="J115" i="34"/>
  <c r="F115" i="34"/>
  <c r="AF115" i="34"/>
  <c r="AD119" i="34"/>
  <c r="AC119" i="34"/>
  <c r="I119" i="34"/>
  <c r="E119" i="34"/>
  <c r="L119" i="34"/>
  <c r="D119" i="34"/>
  <c r="P119" i="34"/>
  <c r="Q119" i="34" s="1"/>
  <c r="Z119" i="34"/>
  <c r="H119" i="34"/>
  <c r="AB119" i="34"/>
  <c r="G119" i="34"/>
  <c r="AF119" i="34"/>
  <c r="T119" i="34"/>
  <c r="U119" i="34" s="1"/>
  <c r="K119" i="34"/>
  <c r="AA119" i="34"/>
  <c r="J119" i="34"/>
  <c r="X119" i="34"/>
  <c r="Y119" i="34" s="1"/>
  <c r="AE119" i="34"/>
  <c r="R119" i="34"/>
  <c r="S119" i="34" s="1"/>
  <c r="N119" i="34"/>
  <c r="O119" i="34" s="1"/>
  <c r="V119" i="34"/>
  <c r="W119" i="34" s="1"/>
  <c r="M119" i="34"/>
  <c r="F119" i="34"/>
  <c r="M126" i="34"/>
  <c r="AB126" i="34"/>
  <c r="G126" i="34"/>
  <c r="X126" i="34"/>
  <c r="Y126" i="34" s="1"/>
  <c r="AC126" i="34"/>
  <c r="AA126" i="34"/>
  <c r="AE126" i="34"/>
  <c r="K126" i="34"/>
  <c r="L126" i="34"/>
  <c r="F126" i="34"/>
  <c r="AF126" i="34"/>
  <c r="E126" i="34"/>
  <c r="AD126" i="34"/>
  <c r="P126" i="34"/>
  <c r="Q126" i="34" s="1"/>
  <c r="V126" i="34"/>
  <c r="W126" i="34" s="1"/>
  <c r="Z126" i="34"/>
  <c r="H126" i="34"/>
  <c r="J126" i="34"/>
  <c r="R126" i="34"/>
  <c r="S126" i="34" s="1"/>
  <c r="I126" i="34"/>
  <c r="D126" i="34"/>
  <c r="N126" i="34"/>
  <c r="O126" i="34" s="1"/>
  <c r="T126" i="34"/>
  <c r="U126" i="34" s="1"/>
  <c r="I110" i="34"/>
  <c r="J110" i="34"/>
  <c r="N110" i="34"/>
  <c r="O110" i="34" s="1"/>
  <c r="R110" i="34"/>
  <c r="S110" i="34" s="1"/>
  <c r="V110" i="34"/>
  <c r="W110" i="34" s="1"/>
  <c r="T110" i="34"/>
  <c r="U110" i="34" s="1"/>
  <c r="L110" i="34"/>
  <c r="M110" i="34"/>
  <c r="AD110" i="34"/>
  <c r="E110" i="34"/>
  <c r="D110" i="34"/>
  <c r="Z110" i="34"/>
  <c r="AE110" i="34"/>
  <c r="G110" i="34"/>
  <c r="AC110" i="34"/>
  <c r="H110" i="34"/>
  <c r="P110" i="34"/>
  <c r="Q110" i="34" s="1"/>
  <c r="AB110" i="34"/>
  <c r="F110" i="34"/>
  <c r="AF110" i="34"/>
  <c r="K110" i="34"/>
  <c r="AA110" i="34"/>
  <c r="X110" i="34"/>
  <c r="Y110" i="34" s="1"/>
  <c r="AA99" i="34"/>
  <c r="M99" i="34"/>
  <c r="AD99" i="34"/>
  <c r="G99" i="34"/>
  <c r="AF99" i="34"/>
  <c r="V99" i="34"/>
  <c r="W99" i="34" s="1"/>
  <c r="R99" i="34"/>
  <c r="S99" i="34" s="1"/>
  <c r="D99" i="34"/>
  <c r="P99" i="34"/>
  <c r="Q99" i="34" s="1"/>
  <c r="F99" i="34"/>
  <c r="E99" i="34"/>
  <c r="X99" i="34"/>
  <c r="Y99" i="34" s="1"/>
  <c r="K99" i="34"/>
  <c r="I99" i="34"/>
  <c r="AC99" i="34"/>
  <c r="T99" i="34"/>
  <c r="U99" i="34" s="1"/>
  <c r="H99" i="34"/>
  <c r="AB99" i="34"/>
  <c r="N99" i="34"/>
  <c r="O99" i="34" s="1"/>
  <c r="J99" i="34"/>
  <c r="AE99" i="34"/>
  <c r="Z99" i="34"/>
  <c r="L99" i="34"/>
  <c r="AB107" i="34"/>
  <c r="D107" i="34"/>
  <c r="F107" i="34"/>
  <c r="AE107" i="34"/>
  <c r="AA107" i="34"/>
  <c r="K107" i="34"/>
  <c r="H107" i="34"/>
  <c r="P107" i="34"/>
  <c r="Q107" i="34" s="1"/>
  <c r="T107" i="34"/>
  <c r="U107" i="34" s="1"/>
  <c r="N107" i="34"/>
  <c r="O107" i="34" s="1"/>
  <c r="AC107" i="34"/>
  <c r="J107" i="34"/>
  <c r="AF107" i="34"/>
  <c r="M107" i="34"/>
  <c r="G107" i="34"/>
  <c r="R107" i="34"/>
  <c r="S107" i="34" s="1"/>
  <c r="I107" i="34"/>
  <c r="L107" i="34"/>
  <c r="X107" i="34"/>
  <c r="Y107" i="34" s="1"/>
  <c r="V107" i="34"/>
  <c r="W107" i="34" s="1"/>
  <c r="E107" i="34"/>
  <c r="AD107" i="34"/>
  <c r="Z107" i="34"/>
  <c r="AC123" i="34"/>
  <c r="T123" i="34"/>
  <c r="U123" i="34" s="1"/>
  <c r="F123" i="34"/>
  <c r="M123" i="34"/>
  <c r="N123" i="34"/>
  <c r="O123" i="34" s="1"/>
  <c r="P123" i="34"/>
  <c r="Q123" i="34" s="1"/>
  <c r="V123" i="34"/>
  <c r="W123" i="34" s="1"/>
  <c r="E123" i="34"/>
  <c r="L123" i="34"/>
  <c r="D123" i="34"/>
  <c r="AD123" i="34"/>
  <c r="AF123" i="34"/>
  <c r="I123" i="34"/>
  <c r="X123" i="34"/>
  <c r="Y123" i="34" s="1"/>
  <c r="AB123" i="34"/>
  <c r="G123" i="34"/>
  <c r="H123" i="34"/>
  <c r="AE123" i="34"/>
  <c r="R123" i="34"/>
  <c r="S123" i="34" s="1"/>
  <c r="Z123" i="34"/>
  <c r="AA123" i="34"/>
  <c r="J123" i="34"/>
  <c r="K123" i="34"/>
  <c r="V102" i="34"/>
  <c r="W102" i="34" s="1"/>
  <c r="G102" i="34"/>
  <c r="AF102" i="34"/>
  <c r="Z102" i="34"/>
  <c r="AD102" i="34"/>
  <c r="E102" i="34"/>
  <c r="K102" i="34"/>
  <c r="X102" i="34"/>
  <c r="Y102" i="34" s="1"/>
  <c r="AB102" i="34"/>
  <c r="N102" i="34"/>
  <c r="O102" i="34" s="1"/>
  <c r="T102" i="34"/>
  <c r="U102" i="34" s="1"/>
  <c r="D102" i="34"/>
  <c r="P102" i="34"/>
  <c r="Q102" i="34" s="1"/>
  <c r="AE102" i="34"/>
  <c r="AC102" i="34"/>
  <c r="L102" i="34"/>
  <c r="R102" i="34"/>
  <c r="S102" i="34" s="1"/>
  <c r="M102" i="34"/>
  <c r="AA102" i="34"/>
  <c r="F102" i="34"/>
  <c r="J102" i="34"/>
  <c r="H102" i="34"/>
  <c r="I102" i="34"/>
  <c r="AA106" i="34"/>
  <c r="I106" i="34"/>
  <c r="G106" i="34"/>
  <c r="AD106" i="34"/>
  <c r="V106" i="34"/>
  <c r="W106" i="34" s="1"/>
  <c r="K106" i="34"/>
  <c r="Z106" i="34"/>
  <c r="T106" i="34"/>
  <c r="U106" i="34" s="1"/>
  <c r="AF106" i="34"/>
  <c r="P106" i="34"/>
  <c r="Q106" i="34" s="1"/>
  <c r="J106" i="34"/>
  <c r="AE106" i="34"/>
  <c r="M106" i="34"/>
  <c r="X106" i="34"/>
  <c r="Y106" i="34" s="1"/>
  <c r="AB106" i="34"/>
  <c r="H106" i="34"/>
  <c r="E106" i="34"/>
  <c r="R106" i="34"/>
  <c r="S106" i="34" s="1"/>
  <c r="AC106" i="34"/>
  <c r="N106" i="34"/>
  <c r="O106" i="34" s="1"/>
  <c r="L106" i="34"/>
  <c r="F106" i="34"/>
  <c r="D106" i="34"/>
  <c r="N114" i="34"/>
  <c r="O114" i="34" s="1"/>
  <c r="T114" i="34"/>
  <c r="U114" i="34" s="1"/>
  <c r="X114" i="34"/>
  <c r="Y114" i="34" s="1"/>
  <c r="AF114" i="34"/>
  <c r="H114" i="34"/>
  <c r="AA114" i="34"/>
  <c r="D114" i="34"/>
  <c r="L114" i="34"/>
  <c r="F114" i="34"/>
  <c r="J114" i="34"/>
  <c r="K114" i="34"/>
  <c r="E114" i="34"/>
  <c r="G114" i="34"/>
  <c r="P114" i="34"/>
  <c r="Q114" i="34" s="1"/>
  <c r="V114" i="34"/>
  <c r="W114" i="34" s="1"/>
  <c r="Z114" i="34"/>
  <c r="AD114" i="34"/>
  <c r="AE114" i="34"/>
  <c r="R114" i="34"/>
  <c r="S114" i="34" s="1"/>
  <c r="I114" i="34"/>
  <c r="M114" i="34"/>
  <c r="AC114" i="34"/>
  <c r="AB114" i="34"/>
  <c r="AE108" i="34"/>
  <c r="AA108" i="34"/>
  <c r="G108" i="34"/>
  <c r="X108" i="34"/>
  <c r="Y108" i="34" s="1"/>
  <c r="D108" i="34"/>
  <c r="AD108" i="34"/>
  <c r="V108" i="34"/>
  <c r="W108" i="34" s="1"/>
  <c r="E108" i="34"/>
  <c r="F108" i="34"/>
  <c r="T108" i="34"/>
  <c r="U108" i="34" s="1"/>
  <c r="K108" i="34"/>
  <c r="N108" i="34"/>
  <c r="O108" i="34" s="1"/>
  <c r="Z108" i="34"/>
  <c r="R108" i="34"/>
  <c r="S108" i="34" s="1"/>
  <c r="AF108" i="34"/>
  <c r="I108" i="34"/>
  <c r="M108" i="34"/>
  <c r="AC108" i="34"/>
  <c r="AB108" i="34"/>
  <c r="P108" i="34"/>
  <c r="Q108" i="34" s="1"/>
  <c r="L108" i="34"/>
  <c r="J108" i="34"/>
  <c r="AB111" i="34"/>
  <c r="AA111" i="34"/>
  <c r="D111" i="34"/>
  <c r="V111" i="34"/>
  <c r="W111" i="34" s="1"/>
  <c r="P111" i="34"/>
  <c r="Q111" i="34" s="1"/>
  <c r="K111" i="34"/>
  <c r="I111" i="34"/>
  <c r="L111" i="34"/>
  <c r="X111" i="34"/>
  <c r="Y111" i="34" s="1"/>
  <c r="AD111" i="34"/>
  <c r="F111" i="34"/>
  <c r="N111" i="34"/>
  <c r="O111" i="34" s="1"/>
  <c r="M111" i="34"/>
  <c r="AE111" i="34"/>
  <c r="E111" i="34"/>
  <c r="H111" i="34"/>
  <c r="AC111" i="34"/>
  <c r="J111" i="34"/>
  <c r="R111" i="34"/>
  <c r="S111" i="34" s="1"/>
  <c r="T111" i="34"/>
  <c r="U111" i="34" s="1"/>
  <c r="AF111" i="34"/>
  <c r="Z111" i="34"/>
  <c r="G111" i="34"/>
  <c r="T122" i="34"/>
  <c r="U122" i="34" s="1"/>
  <c r="D122" i="34"/>
  <c r="AE122" i="34"/>
  <c r="P122" i="34"/>
  <c r="Q122" i="34" s="1"/>
  <c r="AB122" i="34"/>
  <c r="AD122" i="34"/>
  <c r="G122" i="34"/>
  <c r="AF122" i="34"/>
  <c r="H122" i="34"/>
  <c r="AA122" i="34"/>
  <c r="X122" i="34"/>
  <c r="Y122" i="34" s="1"/>
  <c r="L122" i="34"/>
  <c r="Z122" i="34"/>
  <c r="N122" i="34"/>
  <c r="O122" i="34" s="1"/>
  <c r="R122" i="34"/>
  <c r="S122" i="34" s="1"/>
  <c r="F122" i="34"/>
  <c r="J122" i="34"/>
  <c r="V122" i="34"/>
  <c r="W122" i="34" s="1"/>
  <c r="AC122" i="34"/>
  <c r="E122" i="34"/>
  <c r="I122" i="34"/>
  <c r="M122" i="34"/>
  <c r="K122" i="34"/>
  <c r="G125" i="34"/>
  <c r="M125" i="34"/>
  <c r="J125" i="34"/>
  <c r="E125" i="34"/>
  <c r="I125" i="34"/>
  <c r="V125" i="34"/>
  <c r="W125" i="34" s="1"/>
  <c r="N125" i="34"/>
  <c r="O125" i="34" s="1"/>
  <c r="AC125" i="34"/>
  <c r="R125" i="34"/>
  <c r="S125" i="34" s="1"/>
  <c r="P125" i="34"/>
  <c r="Q125" i="34" s="1"/>
  <c r="X125" i="34"/>
  <c r="Y125" i="34" s="1"/>
  <c r="D125" i="34"/>
  <c r="H125" i="34"/>
  <c r="L125" i="34"/>
  <c r="AF125" i="34"/>
  <c r="Z125" i="34"/>
  <c r="AD125" i="34"/>
  <c r="T125" i="34"/>
  <c r="U125" i="34" s="1"/>
  <c r="K125" i="34"/>
  <c r="AA125" i="34"/>
  <c r="AE125" i="34"/>
  <c r="F125" i="34"/>
  <c r="AB125" i="34"/>
  <c r="V104" i="34"/>
  <c r="W104" i="34" s="1"/>
  <c r="G104" i="34"/>
  <c r="L104" i="34"/>
  <c r="H104" i="34"/>
  <c r="AD104" i="34"/>
  <c r="E104" i="34"/>
  <c r="T104" i="34"/>
  <c r="U104" i="34" s="1"/>
  <c r="D104" i="34"/>
  <c r="F104" i="34"/>
  <c r="AA104" i="34"/>
  <c r="X104" i="34"/>
  <c r="Y104" i="34" s="1"/>
  <c r="AC104" i="34"/>
  <c r="R104" i="34"/>
  <c r="S104" i="34" s="1"/>
  <c r="I104" i="34"/>
  <c r="P104" i="34"/>
  <c r="Q104" i="34" s="1"/>
  <c r="AF104" i="34"/>
  <c r="J104" i="34"/>
  <c r="N104" i="34"/>
  <c r="O104" i="34" s="1"/>
  <c r="Z104" i="34"/>
  <c r="K104" i="34"/>
  <c r="AB104" i="34"/>
  <c r="M104" i="34"/>
  <c r="AE104" i="34"/>
  <c r="H108" i="34"/>
  <c r="AF27" i="36"/>
  <c r="Z27" i="36"/>
  <c r="AB27" i="36"/>
  <c r="AD27" i="36"/>
  <c r="V32" i="36"/>
  <c r="U27" i="36"/>
  <c r="AE55" i="34" l="1"/>
  <c r="C97" i="34" s="1"/>
  <c r="P97" i="34" s="1"/>
  <c r="Q97" i="34" s="1"/>
  <c r="D56" i="34"/>
  <c r="AE56" i="34"/>
  <c r="C98" i="34" s="1"/>
  <c r="N21" i="33"/>
  <c r="EH52" i="13"/>
  <c r="D58" i="35"/>
  <c r="AE58" i="35"/>
  <c r="D55" i="35"/>
  <c r="AE55" i="35"/>
  <c r="AE57" i="35"/>
  <c r="D57" i="35"/>
  <c r="D56" i="35"/>
  <c r="AE56" i="35"/>
  <c r="EH60" i="13"/>
  <c r="EH64" i="13"/>
  <c r="V97" i="34" l="1"/>
  <c r="W97" i="34" s="1"/>
  <c r="AD97" i="34"/>
  <c r="AE97" i="34"/>
  <c r="I97" i="34"/>
  <c r="R97" i="34"/>
  <c r="S97" i="34" s="1"/>
  <c r="AF97" i="34"/>
  <c r="G97" i="34"/>
  <c r="T97" i="34"/>
  <c r="U97" i="34" s="1"/>
  <c r="F97" i="34"/>
  <c r="L97" i="34"/>
  <c r="N97" i="34"/>
  <c r="O97" i="34" s="1"/>
  <c r="D97" i="34"/>
  <c r="H97" i="34"/>
  <c r="J97" i="34"/>
  <c r="K97" i="34"/>
  <c r="E97" i="34"/>
  <c r="M97" i="34"/>
  <c r="AC97" i="34"/>
  <c r="AA97" i="34"/>
  <c r="X97" i="34"/>
  <c r="Y97" i="34" s="1"/>
  <c r="AB97" i="34"/>
  <c r="Z97" i="34"/>
  <c r="J98" i="34"/>
  <c r="L98" i="34"/>
  <c r="P98" i="34"/>
  <c r="Q98" i="34" s="1"/>
  <c r="AC98" i="34"/>
  <c r="T98" i="34"/>
  <c r="U98" i="34" s="1"/>
  <c r="M98" i="34"/>
  <c r="Z98" i="34"/>
  <c r="I98" i="34"/>
  <c r="AE98" i="34"/>
  <c r="K98" i="34"/>
  <c r="X98" i="34"/>
  <c r="Y98" i="34" s="1"/>
  <c r="R98" i="34"/>
  <c r="S98" i="34" s="1"/>
  <c r="AF98" i="34"/>
  <c r="G98" i="34"/>
  <c r="H98" i="34"/>
  <c r="V98" i="34"/>
  <c r="W98" i="34" s="1"/>
  <c r="AA98" i="34"/>
  <c r="E98" i="34"/>
  <c r="F98" i="34"/>
  <c r="AD98" i="34"/>
  <c r="AB98" i="34"/>
  <c r="D98" i="34"/>
  <c r="N98" i="34"/>
  <c r="O98" i="34" s="1"/>
</calcChain>
</file>

<file path=xl/sharedStrings.xml><?xml version="1.0" encoding="utf-8"?>
<sst xmlns="http://schemas.openxmlformats.org/spreadsheetml/2006/main" count="1215" uniqueCount="327">
  <si>
    <t>A</t>
  </si>
  <si>
    <t>ENGLISH</t>
  </si>
  <si>
    <t>S.NO.</t>
  </si>
  <si>
    <t>ROLL NO.</t>
  </si>
  <si>
    <t>S.R.NO.</t>
  </si>
  <si>
    <t xml:space="preserve">NAME </t>
  </si>
  <si>
    <t>F'NAME</t>
  </si>
  <si>
    <t>M'NAME</t>
  </si>
  <si>
    <t>DOB</t>
  </si>
  <si>
    <t>BOY/GIRL</t>
  </si>
  <si>
    <t>CATEGORY</t>
  </si>
  <si>
    <t>ADDRESS</t>
  </si>
  <si>
    <t xml:space="preserve">MOBILE </t>
  </si>
  <si>
    <t>AADHAR</t>
  </si>
  <si>
    <t xml:space="preserve">BANK NAME </t>
  </si>
  <si>
    <t xml:space="preserve">IFSC </t>
  </si>
  <si>
    <t xml:space="preserve">BRANCH </t>
  </si>
  <si>
    <t xml:space="preserve">ROLL NO. </t>
  </si>
  <si>
    <t>SESSION ENDING</t>
  </si>
  <si>
    <t xml:space="preserve">MAXIMUM MARKS </t>
  </si>
  <si>
    <t>D</t>
  </si>
  <si>
    <t>MONTH</t>
  </si>
  <si>
    <t>TOTAL ATT.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</si>
  <si>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</si>
  <si>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</si>
  <si>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</si>
  <si>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</si>
  <si>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</si>
  <si>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</si>
  <si>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</si>
  <si>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</si>
  <si>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</si>
  <si>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</si>
  <si>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</si>
  <si>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</si>
  <si>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MAXIMUM ATT.</t>
  </si>
  <si>
    <t xml:space="preserve">REPORT CARD </t>
  </si>
  <si>
    <t>Art Education</t>
  </si>
  <si>
    <t>91-100</t>
  </si>
  <si>
    <t>81-90</t>
  </si>
  <si>
    <t>41-50</t>
  </si>
  <si>
    <t>TOTAL</t>
  </si>
  <si>
    <t xml:space="preserve">TOTAL APPEARED </t>
  </si>
  <si>
    <t xml:space="preserve">PASSED </t>
  </si>
  <si>
    <t xml:space="preserve">FAIL </t>
  </si>
  <si>
    <t xml:space="preserve">RESULT </t>
  </si>
  <si>
    <t>MATHS</t>
  </si>
  <si>
    <t>&lt;33 %</t>
  </si>
  <si>
    <t>33 - 40</t>
  </si>
  <si>
    <t>51 - 60</t>
  </si>
  <si>
    <t>61 -70</t>
  </si>
  <si>
    <t>71 -80</t>
  </si>
  <si>
    <t>81 - 91</t>
  </si>
  <si>
    <t>I DIV</t>
  </si>
  <si>
    <t>2 DIV</t>
  </si>
  <si>
    <t xml:space="preserve">3 DIV </t>
  </si>
  <si>
    <t>FAIL</t>
  </si>
  <si>
    <t>TEACHERS</t>
  </si>
  <si>
    <t>CLASS</t>
  </si>
  <si>
    <t>PRINCIPAL NAME -</t>
  </si>
  <si>
    <t>LINKS</t>
  </si>
  <si>
    <t xml:space="preserve">CLASS TEACHER'S NAME </t>
  </si>
  <si>
    <t>ATTENDANCE SHEET</t>
  </si>
  <si>
    <t xml:space="preserve">CLASS - </t>
  </si>
  <si>
    <t xml:space="preserve">NAME OF STUDENT </t>
  </si>
  <si>
    <t xml:space="preserve">S. NO. </t>
  </si>
  <si>
    <t xml:space="preserve"> SUBJECT  -  CO-SCHOLOSTIC </t>
  </si>
  <si>
    <t xml:space="preserve">SESSION ENDING </t>
  </si>
  <si>
    <t xml:space="preserve">TOTAL </t>
  </si>
  <si>
    <t xml:space="preserve">WORK EDUCATION </t>
  </si>
  <si>
    <t xml:space="preserve">ART EDUCATION </t>
  </si>
  <si>
    <t xml:space="preserve">HEALTH AND PHYSICAL EDU </t>
  </si>
  <si>
    <t xml:space="preserve">GRAND TOTAL </t>
  </si>
  <si>
    <t xml:space="preserve">POSITION IN CLASS </t>
  </si>
  <si>
    <t>Student's Name :</t>
  </si>
  <si>
    <t>Class/Section:</t>
  </si>
  <si>
    <t>Health &amp; Physical Education</t>
  </si>
  <si>
    <t>THEORY</t>
  </si>
  <si>
    <t>PRACTICAL</t>
  </si>
  <si>
    <t>Date Of Birth :</t>
  </si>
  <si>
    <t xml:space="preserve">SUBJECTS NON PRACTICLE </t>
  </si>
  <si>
    <t xml:space="preserve">SUBJECTS  PRACTICLE </t>
  </si>
  <si>
    <t xml:space="preserve">PHYSICS </t>
  </si>
  <si>
    <t>CHEMISTRY</t>
  </si>
  <si>
    <t xml:space="preserve">BIOLOGY </t>
  </si>
  <si>
    <t xml:space="preserve">PHYSICAL EDUCATION </t>
  </si>
  <si>
    <t>MATHEMATICS</t>
  </si>
  <si>
    <t>SUBJECTS</t>
  </si>
  <si>
    <t>PHYSICS</t>
  </si>
  <si>
    <t>BIOLOGY</t>
  </si>
  <si>
    <t xml:space="preserve">Co-Scholastic Areas </t>
  </si>
  <si>
    <t xml:space="preserve">Work Education </t>
  </si>
  <si>
    <t>General Studies</t>
  </si>
  <si>
    <t xml:space="preserve">Max. Marks </t>
  </si>
  <si>
    <t xml:space="preserve">Periodic Test-1 </t>
  </si>
  <si>
    <t xml:space="preserve">Periodic Test-2 </t>
  </si>
  <si>
    <t xml:space="preserve">Annual Examination     </t>
  </si>
  <si>
    <t>WEIGHTAGE 50%</t>
  </si>
  <si>
    <t>PERIODIC TEST 1</t>
  </si>
  <si>
    <t>HALF YEARLY</t>
  </si>
  <si>
    <t>PERIODIC TEST 2</t>
  </si>
  <si>
    <t xml:space="preserve">THEORY </t>
  </si>
  <si>
    <t xml:space="preserve">PRACTICAL </t>
  </si>
  <si>
    <t xml:space="preserve"> SUBJECT  -  CHEMISTRY </t>
  </si>
  <si>
    <t xml:space="preserve"> SUBJECT  -  BIOLOGY </t>
  </si>
  <si>
    <t xml:space="preserve"> SUBJECT  -  PHYSICAL EDUCATION </t>
  </si>
  <si>
    <t>PRE MID TERM/PT-1</t>
  </si>
  <si>
    <t xml:space="preserve">MID TERM/HALF YEARLY </t>
  </si>
  <si>
    <t>POST MID TERM/PT-2</t>
  </si>
  <si>
    <t>POST MID TERM/PT-1</t>
  </si>
  <si>
    <t>TH</t>
  </si>
  <si>
    <t>PR</t>
  </si>
  <si>
    <t>PRE MT/PT-1 WEIGHTAGE</t>
  </si>
  <si>
    <t>MT/HALF YEARLY WEIGHTAGE</t>
  </si>
  <si>
    <t xml:space="preserve">POST MT/PT-2 WEIGHTAGE </t>
  </si>
  <si>
    <t xml:space="preserve">MID TERM/HALF YEARLY WEIGHTAGE </t>
  </si>
  <si>
    <t>POST MT/PT-2 WEIGHTAGE</t>
  </si>
  <si>
    <t xml:space="preserve">SESSION ENDING WEIGHTAGE </t>
  </si>
  <si>
    <t xml:space="preserve">ATTENDANCE </t>
  </si>
  <si>
    <t xml:space="preserve">GRAND TOTAL ALL SUBJECTS </t>
  </si>
  <si>
    <t>SUBJECTS COUNT</t>
  </si>
  <si>
    <t>% OF MARKS</t>
  </si>
  <si>
    <t>SUPPLIMENTRY</t>
  </si>
  <si>
    <t xml:space="preserve">BIO/MATHS </t>
  </si>
  <si>
    <t xml:space="preserve">GENERAL STUDIES </t>
  </si>
  <si>
    <t xml:space="preserve">TOTAL   </t>
  </si>
  <si>
    <t xml:space="preserve"> PRACTICAL SUBJECTS </t>
  </si>
  <si>
    <t xml:space="preserve">NON PRACTICAL SUBJECTS </t>
  </si>
  <si>
    <t>Father's Name :</t>
  </si>
  <si>
    <t xml:space="preserve">S.R. No.: </t>
  </si>
  <si>
    <t>Roll No. :</t>
  </si>
  <si>
    <t xml:space="preserve">Marks Obtained </t>
  </si>
  <si>
    <t>Half Yearly Examination</t>
  </si>
  <si>
    <t>GRAND TOTAL</t>
  </si>
  <si>
    <t>PHYSICAL EDU.</t>
  </si>
  <si>
    <t>YEAR END ASSESSMENT OF ACTIVITY</t>
  </si>
  <si>
    <t>VIVA-VOCE</t>
  </si>
  <si>
    <t>Activity Performed throughout year and record keeping</t>
  </si>
  <si>
    <t>AVERAGE OF BOST TWO</t>
  </si>
  <si>
    <t>FLUENCY (COHESION, COHERENCE AND SPEED OF DELIVERY)</t>
  </si>
  <si>
    <t>PRONUNCIATION</t>
  </si>
  <si>
    <t>LANGUAGE (ACCURACY AND VOCABULARY)</t>
  </si>
  <si>
    <t xml:space="preserve">INTERACTIVE COMPETENCE </t>
  </si>
  <si>
    <t>FLUENCY</t>
  </si>
  <si>
    <t>INTERACTIVE COMPETENCE (INITIATION &amp; TURN TAKING, RELEVANCE TO THE TOPIC)</t>
  </si>
  <si>
    <t>INTERNAL ASSESSMENT</t>
  </si>
  <si>
    <t>AVERAGE OF BEST TWO PT</t>
  </si>
  <si>
    <t>ACTIVITY &amp; ASSESMENT</t>
  </si>
  <si>
    <t>ANNUAL EXAMINATION</t>
  </si>
  <si>
    <t>TOTAL(ACTIVITY &amp; ASSESMENT)</t>
  </si>
  <si>
    <t>SUBJECT</t>
  </si>
  <si>
    <t>TOTAL INTERNAL ASSSEMMENT</t>
  </si>
  <si>
    <t>INTERNAL</t>
  </si>
  <si>
    <t>NAME OF ADDITIONAL SUBJECT</t>
  </si>
  <si>
    <t>PT-1</t>
  </si>
  <si>
    <t>ACC. NO</t>
  </si>
  <si>
    <t>SUBJECT:-</t>
  </si>
  <si>
    <r>
      <rPr>
        <b/>
        <sz val="12"/>
        <color theme="1"/>
        <rFont val="Times New Roman"/>
        <family val="1"/>
      </rPr>
      <t xml:space="preserve"> SUBJECT  -  PHYSICS</t>
    </r>
    <r>
      <rPr>
        <b/>
        <sz val="18"/>
        <color theme="1"/>
        <rFont val="Times New Roman"/>
        <family val="1"/>
      </rPr>
      <t xml:space="preserve"> </t>
    </r>
  </si>
  <si>
    <t>SUBJECT:-MATHEMATICS</t>
  </si>
  <si>
    <t>GRADE</t>
  </si>
  <si>
    <t>BOYS</t>
  </si>
  <si>
    <t>GIRLS</t>
  </si>
  <si>
    <t>GEN</t>
  </si>
  <si>
    <t>OBC</t>
  </si>
  <si>
    <t>SC</t>
  </si>
  <si>
    <t>ST</t>
  </si>
  <si>
    <t>GT</t>
  </si>
  <si>
    <t>PASS</t>
  </si>
  <si>
    <t>MAIN EXAM</t>
  </si>
  <si>
    <t>COMPATRMENT EXAM</t>
  </si>
  <si>
    <t>SHYAM SUNDER VYAS</t>
  </si>
  <si>
    <t>PHYSICAL EDUCATION</t>
  </si>
  <si>
    <t>MARKS</t>
  </si>
  <si>
    <t>A1</t>
  </si>
  <si>
    <t>PLACE</t>
  </si>
  <si>
    <t xml:space="preserve">         A CBSE AFFILIATED SCHOOL(ENGLISH MEDIUM)</t>
  </si>
  <si>
    <t>AFFILIATION NO. -</t>
  </si>
  <si>
    <t>E-MAIL ID</t>
  </si>
  <si>
    <t xml:space="preserve">SCHOOL CODE- </t>
  </si>
  <si>
    <t>U-DISE CODE</t>
  </si>
  <si>
    <t>Website</t>
  </si>
  <si>
    <t>U-DISE CODE :-</t>
  </si>
  <si>
    <t xml:space="preserve">SCHOOL CODE :- </t>
  </si>
  <si>
    <t>GIRL</t>
  </si>
  <si>
    <t>BOY</t>
  </si>
  <si>
    <t>TC</t>
  </si>
  <si>
    <t xml:space="preserve">XI </t>
  </si>
  <si>
    <t>41 - 50</t>
  </si>
  <si>
    <t>81 - 90</t>
  </si>
  <si>
    <t>I</t>
  </si>
  <si>
    <t>II</t>
  </si>
  <si>
    <t>III</t>
  </si>
  <si>
    <t>STUDENT'S REPORT</t>
  </si>
  <si>
    <t>TOTAL APPEARED</t>
  </si>
  <si>
    <t>NSO</t>
  </si>
  <si>
    <t>TOTAL STUDENT</t>
  </si>
  <si>
    <r>
      <rPr>
        <b/>
        <sz val="10"/>
        <color theme="1"/>
        <rFont val="Times New Roman"/>
        <family val="1"/>
      </rPr>
      <t>TOTAL APPEARED</t>
    </r>
    <r>
      <rPr>
        <b/>
        <sz val="12"/>
        <color theme="1"/>
        <rFont val="Times New Roman"/>
        <family val="1"/>
      </rPr>
      <t xml:space="preserve"> </t>
    </r>
  </si>
  <si>
    <t>PASSED</t>
  </si>
  <si>
    <t>RESULT</t>
  </si>
  <si>
    <t>TOTAL (PASSED)</t>
  </si>
  <si>
    <t xml:space="preserve">GRADE </t>
  </si>
  <si>
    <t xml:space="preserve">DIVISION </t>
  </si>
  <si>
    <t>II DIV</t>
  </si>
  <si>
    <t xml:space="preserve">III DIV </t>
  </si>
  <si>
    <t>SUPPLYMENTRY/FAIL IN SUBJECTS</t>
  </si>
  <si>
    <t>AFTER COMPARTMENT RESULT</t>
  </si>
  <si>
    <t>SUPPLYMENTRY/FAIL IN SUBJECTS                      (AFTER COMPATMENT)</t>
  </si>
  <si>
    <t xml:space="preserve">DATE OF COMPARTMENT RESULT  </t>
  </si>
  <si>
    <t>EXAM INCHARGE'S NAME</t>
  </si>
  <si>
    <t>PHY EDU '</t>
  </si>
  <si>
    <t>ADDITIONAL</t>
  </si>
  <si>
    <t>GREEN SHEET'</t>
  </si>
  <si>
    <t>REPORT CARD'</t>
  </si>
  <si>
    <t>SCHOOL RESULT'</t>
  </si>
  <si>
    <t>HALF YETLY</t>
  </si>
  <si>
    <t xml:space="preserve">MAXIMUM MTKS </t>
  </si>
  <si>
    <t xml:space="preserve">GRAND TOTAL MARKS </t>
  </si>
  <si>
    <t>PERCENT</t>
  </si>
  <si>
    <t xml:space="preserve">OVERALL GRADE </t>
  </si>
  <si>
    <t>RANK WISE RESULT</t>
  </si>
  <si>
    <t>OVERALL</t>
  </si>
  <si>
    <t>RANK</t>
  </si>
  <si>
    <t>H1</t>
  </si>
  <si>
    <t>H2</t>
  </si>
  <si>
    <t>H3</t>
  </si>
  <si>
    <t>MASTER DATA SHEET</t>
  </si>
  <si>
    <t xml:space="preserve">LIST OF THE </t>
  </si>
  <si>
    <t xml:space="preserve">GRADE STUDENTS </t>
  </si>
  <si>
    <t>B1</t>
  </si>
  <si>
    <t>GRADE WISE RESULT</t>
  </si>
  <si>
    <t>ALL MARKS HAVE BEEN TALLIED IN WHICH THERE IS NO ERROR OF ANY KIND, IF ANY ERROR IS FOUND THEN WE WILL BE RESPONSIBLE FOR THEM.</t>
  </si>
  <si>
    <t>SIGN. OF CLASS TEACHER</t>
  </si>
  <si>
    <t>EXAM IN - CHARGE</t>
  </si>
  <si>
    <t>PRINCIPAL</t>
  </si>
  <si>
    <t xml:space="preserve">Scholastic Areas </t>
  </si>
  <si>
    <t xml:space="preserve">Marks Range </t>
  </si>
  <si>
    <t xml:space="preserve">Grade </t>
  </si>
  <si>
    <t>Instructions</t>
  </si>
  <si>
    <t>Co-Scholastic areas</t>
  </si>
  <si>
    <t>A2</t>
  </si>
  <si>
    <t>71-80</t>
  </si>
  <si>
    <t>Outstanding</t>
  </si>
  <si>
    <t>61-70</t>
  </si>
  <si>
    <t>B2</t>
  </si>
  <si>
    <t>B</t>
  </si>
  <si>
    <t xml:space="preserve">Very Good </t>
  </si>
  <si>
    <t>51-60</t>
  </si>
  <si>
    <t>C1</t>
  </si>
  <si>
    <t>C</t>
  </si>
  <si>
    <t xml:space="preserve">Fair </t>
  </si>
  <si>
    <t>C2</t>
  </si>
  <si>
    <t>*</t>
  </si>
  <si>
    <t>Compartment subject</t>
  </si>
  <si>
    <t>33-40</t>
  </si>
  <si>
    <t xml:space="preserve">33 and Below </t>
  </si>
  <si>
    <t>E</t>
  </si>
  <si>
    <t>DATE</t>
  </si>
  <si>
    <t>ADDITIONAL SUBJECT</t>
  </si>
  <si>
    <t>P.T. - II</t>
  </si>
  <si>
    <t>P.T. I</t>
  </si>
  <si>
    <t>MID TERM</t>
  </si>
  <si>
    <t>SING. OF PARENT</t>
  </si>
  <si>
    <t>% EVER</t>
  </si>
  <si>
    <t xml:space="preserve">           PROVISIONAL REPORT CARD </t>
  </si>
  <si>
    <t>PT 1</t>
  </si>
  <si>
    <t>PT 2</t>
  </si>
  <si>
    <t>SESSION ENDING WEIGHT</t>
  </si>
  <si>
    <t>SIGN. OF SUBJECT TEACHER</t>
  </si>
  <si>
    <t>SUPPLYMENTRY / FAIL IN SUBJECTS</t>
  </si>
  <si>
    <t>Class Teacher</t>
  </si>
  <si>
    <t>Exam Incharge</t>
  </si>
  <si>
    <t>Principal</t>
  </si>
  <si>
    <t>NON PRACTICAL SUBJECT</t>
  </si>
  <si>
    <t>PREPARED BY:- EXAM CELL, SVGMS, AMET</t>
  </si>
  <si>
    <t>DESIGNED BY:- SHALA SANGAM TEAM</t>
  </si>
  <si>
    <t>#01##04#7689##</t>
  </si>
  <si>
    <t>&lt;33 % or Supp.</t>
  </si>
  <si>
    <t>FINAL GRADES FOR SCHOOL RESULT</t>
  </si>
  <si>
    <t>FINAL % FOR SCHOOL RESULT</t>
  </si>
  <si>
    <t>MAIN EXAM RESULT</t>
  </si>
  <si>
    <t>TOTAL MARKS</t>
  </si>
  <si>
    <t>TOTAL MARKS AFTER COMPARTMENT</t>
  </si>
  <si>
    <t>% AFTER COMPARTMENT</t>
  </si>
  <si>
    <t>OVERALL GRADE AFTER COMPARTMENT</t>
  </si>
  <si>
    <t>FINAL RESULT SHEET</t>
  </si>
  <si>
    <t>RESULT ANALYSIS (SUBJECT - TEACHER WISE)</t>
  </si>
  <si>
    <t>SCHOOL RESULT</t>
  </si>
  <si>
    <t xml:space="preserve">SWAMI VIVEKANAND GOVT. MODEL SCHOOL,  </t>
  </si>
  <si>
    <t>PT-2</t>
  </si>
  <si>
    <t>इस रिजल्ट सॉफ्टवेयर को बनाने में पूर्ण सावधानी रखी गई है फिर भी किसी तरह की त्रुटी के लिए निर्माणकर्ता जिम्मेदार नहीं होगा |</t>
  </si>
  <si>
    <t>अपनी स्कूल में परीक्षा बैठक व्यवस्था (SEATING ARRANGEMENT) बनाने के लिए हमारी वेबसाइट पर जाकर EXAM SEATING PLAN GENERATER का इस्तेमाल अवश्य करें | आपके समय और संसाधन दोनों की बचत होगी |</t>
  </si>
  <si>
    <t>http://www.shalasangam.com</t>
  </si>
  <si>
    <t>TEAM SHALASANGAM</t>
  </si>
  <si>
    <t xml:space="preserve">AMET, BLOCK-AMET, RAJSAMAND                                                                </t>
  </si>
  <si>
    <t>08250315401</t>
  </si>
  <si>
    <t>ametsvgms@gmail.com</t>
  </si>
  <si>
    <t>https://www.svgmsamet.com</t>
  </si>
  <si>
    <t>NILESH KUMAR KHATIK</t>
  </si>
  <si>
    <t>SUREKHA</t>
  </si>
  <si>
    <t>KAMLESH KUMAR</t>
  </si>
  <si>
    <t>Devendra Sharma</t>
  </si>
  <si>
    <t>Suresh Sharma</t>
  </si>
  <si>
    <t>Devkanya Sharma</t>
  </si>
  <si>
    <t>BSNL OFFICE ,AMET,,313332</t>
  </si>
  <si>
    <t>DHARA SALVI</t>
  </si>
  <si>
    <t>HITESH LAL</t>
  </si>
  <si>
    <t>MEENA DEVI</t>
  </si>
  <si>
    <t>NADI DARWAJA,AMET,,313332</t>
  </si>
  <si>
    <t>HARSHIKA RAO</t>
  </si>
  <si>
    <t>DEVI SINGH RAO</t>
  </si>
  <si>
    <t>NIRMALA RAO</t>
  </si>
  <si>
    <t>GUGLI, AIDANA,AMET,,313332</t>
  </si>
  <si>
    <t xml:space="preserve">A </t>
  </si>
  <si>
    <t>MID TERM / H.Y. WEIGHTAGE</t>
  </si>
  <si>
    <t>SVGMS, AMET</t>
  </si>
  <si>
    <t>SR. NO.</t>
  </si>
  <si>
    <t>NAME</t>
  </si>
  <si>
    <t>FATHER'S NAME</t>
  </si>
  <si>
    <t>SIGNATURE</t>
  </si>
  <si>
    <t>30.03.2026</t>
  </si>
  <si>
    <t>SESSION    -  2025-26</t>
  </si>
  <si>
    <t>10.04.2026</t>
  </si>
  <si>
    <t xml:space="preserve">S.R. No. :  </t>
  </si>
  <si>
    <t>Class/Section :</t>
  </si>
  <si>
    <t>MARKSHEET DISTRIBUTION</t>
  </si>
  <si>
    <t xml:space="preserve">DATE OF MAIN RESULT </t>
  </si>
  <si>
    <t>UPDATED ON :- 14.02.2026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</si>
</sst>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4009]dd\-mm\-yyyy;@"/>
    <numFmt numFmtId="165" formatCode="dd\.mm\.yyyy;@"/>
  </numFmts>
  <fonts count="1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0" tint="-4.9989318521683403E-2"/>
      <name val="Calibri"/>
      <family val="2"/>
      <scheme val="minor"/>
    </font>
    <font>
      <sz val="16"/>
      <color theme="9" tint="-0.249977111117893"/>
      <name val="Calibri"/>
      <family val="2"/>
    </font>
    <font>
      <b/>
      <sz val="20"/>
      <color theme="9" tint="-0.249977111117893"/>
      <name val="Calibri"/>
      <family val="2"/>
    </font>
    <font>
      <b/>
      <sz val="26"/>
      <color theme="9" tint="-0.249977111117893"/>
      <name val="Calibri"/>
      <family val="2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0" tint="-4.9989318521683403E-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  <font>
      <b/>
      <sz val="18"/>
      <name val="Times New Roman"/>
      <family val="1"/>
    </font>
    <font>
      <b/>
      <sz val="26"/>
      <color theme="9" tint="0.79998168889431442"/>
      <name val="Times New Roman"/>
      <family val="1"/>
    </font>
    <font>
      <b/>
      <sz val="24"/>
      <color theme="9" tint="0.79998168889431442"/>
      <name val="Times New Roman"/>
      <family val="1"/>
    </font>
    <font>
      <b/>
      <sz val="14"/>
      <color theme="9" tint="0.79998168889431442"/>
      <name val="Times New Roman"/>
      <family val="1"/>
    </font>
    <font>
      <b/>
      <sz val="16"/>
      <color theme="9" tint="0.79998168889431442"/>
      <name val="Times New Roman"/>
      <family val="1"/>
    </font>
    <font>
      <b/>
      <i/>
      <sz val="12"/>
      <name val="Times New Roman"/>
      <family val="1"/>
    </font>
    <font>
      <b/>
      <i/>
      <sz val="14"/>
      <name val="Times New Roman"/>
      <family val="1"/>
    </font>
    <font>
      <b/>
      <i/>
      <sz val="18"/>
      <name val="Times New Roman"/>
      <family val="1"/>
    </font>
    <font>
      <b/>
      <sz val="14"/>
      <color theme="0"/>
      <name val="Times New Roman"/>
      <family val="1"/>
    </font>
    <font>
      <b/>
      <sz val="11"/>
      <color theme="0"/>
      <name val="Times New Roman"/>
      <family val="1"/>
    </font>
    <font>
      <b/>
      <sz val="12"/>
      <color theme="9" tint="0.79998168889431442"/>
      <name val="Times New Roman"/>
      <family val="1"/>
    </font>
    <font>
      <b/>
      <sz val="14"/>
      <name val="Times New Roman"/>
      <family val="1"/>
    </font>
    <font>
      <b/>
      <sz val="26"/>
      <color theme="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22"/>
      <color theme="0" tint="-4.9989318521683403E-2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rgb="FFFF0000"/>
      <name val="Times New Roman"/>
      <family val="1"/>
    </font>
    <font>
      <b/>
      <sz val="20"/>
      <color theme="1"/>
      <name val="Times New Roman"/>
      <family val="1"/>
    </font>
    <font>
      <b/>
      <sz val="20"/>
      <color theme="0" tint="-4.9989318521683403E-2"/>
      <name val="Times New Roman"/>
      <family val="1"/>
    </font>
    <font>
      <b/>
      <sz val="18"/>
      <color theme="0" tint="-4.9989318521683403E-2"/>
      <name val="Times New Roman"/>
      <family val="1"/>
    </font>
    <font>
      <b/>
      <sz val="24"/>
      <color theme="0" tint="-4.9989318521683403E-2"/>
      <name val="Times New Roman"/>
      <family val="1"/>
    </font>
    <font>
      <b/>
      <sz val="8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36"/>
      <color theme="1"/>
      <name val="Times New Roman"/>
      <family val="1"/>
    </font>
    <font>
      <sz val="9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9"/>
      <color theme="1"/>
      <name val="Times New Roman"/>
      <family val="1"/>
    </font>
    <font>
      <b/>
      <sz val="12"/>
      <color rgb="FF002060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1"/>
      <color theme="9" tint="-0.249977111117893"/>
      <name val="Times New Roman"/>
      <family val="1"/>
    </font>
    <font>
      <b/>
      <i/>
      <sz val="14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4"/>
      <color rgb="FFFFFF00"/>
      <name val="Times New Roman"/>
      <family val="1"/>
    </font>
    <font>
      <b/>
      <sz val="15"/>
      <name val="Times New Roman"/>
      <family val="1"/>
    </font>
    <font>
      <u/>
      <sz val="18"/>
      <color theme="1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 tint="-4.9989318521683403E-2"/>
      <name val="Times New Roman"/>
      <family val="1"/>
    </font>
    <font>
      <b/>
      <sz val="22"/>
      <color theme="1"/>
      <name val="Times New Roman"/>
      <family val="1"/>
    </font>
    <font>
      <b/>
      <sz val="48"/>
      <color theme="1"/>
      <name val="Times New Roman"/>
      <family val="1"/>
    </font>
    <font>
      <b/>
      <sz val="30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color theme="1"/>
      <name val="Calibri"/>
      <family val="2"/>
      <scheme val="minor"/>
    </font>
    <font>
      <sz val="14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sz val="20"/>
      <color theme="9" tint="-0.249977111117893"/>
      <name val="Times New Roman"/>
      <family val="1"/>
    </font>
    <font>
      <sz val="11"/>
      <color theme="9" tint="-0.249977111117893"/>
      <name val="Times New Roman"/>
      <family val="1"/>
    </font>
    <font>
      <b/>
      <sz val="28"/>
      <color rgb="FFFF0000"/>
      <name val="Times New Roman"/>
      <family val="1"/>
    </font>
    <font>
      <b/>
      <sz val="28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sz val="18"/>
      <color theme="9" tint="-0.249977111117893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4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4.5"/>
      <color theme="0" tint="-4.9989318521683403E-2"/>
      <name val="Times New Roman"/>
      <family val="1"/>
    </font>
    <font>
      <b/>
      <i/>
      <u/>
      <sz val="16"/>
      <color theme="8" tint="0.39997558519241921"/>
      <name val="Times New Roman"/>
      <family val="1"/>
    </font>
    <font>
      <b/>
      <i/>
      <sz val="1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9" tint="-0.249977111117893"/>
      <name val="Times New Roman"/>
      <family val="1"/>
    </font>
    <font>
      <sz val="11"/>
      <color theme="0"/>
      <name val="Calibri"/>
      <family val="2"/>
      <scheme val="minor"/>
    </font>
    <font>
      <b/>
      <sz val="18"/>
      <color theme="0"/>
      <name val="Times New Roman"/>
      <family val="1"/>
    </font>
    <font>
      <b/>
      <sz val="14"/>
      <color rgb="FFFF0000"/>
      <name val="Times New Roman"/>
      <family val="1"/>
    </font>
    <font>
      <b/>
      <i/>
      <sz val="18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theme="1" tint="4.9989318521683403E-2"/>
      <name val="Times New Roman"/>
      <family val="1"/>
    </font>
    <font>
      <b/>
      <i/>
      <sz val="12"/>
      <color theme="0"/>
      <name val="Times New Roman"/>
      <family val="1"/>
    </font>
    <font>
      <sz val="10"/>
      <color rgb="FF00B0F0"/>
      <name val="Times New Roman"/>
      <family val="1"/>
    </font>
    <font>
      <b/>
      <sz val="11"/>
      <color theme="0"/>
      <name val="Calibri"/>
      <family val="2"/>
      <scheme val="minor"/>
    </font>
    <font>
      <b/>
      <sz val="28"/>
      <name val="Times New Roman"/>
      <family val="1"/>
    </font>
    <font>
      <b/>
      <sz val="26"/>
      <color theme="1"/>
      <name val="Times New Roman"/>
      <family val="1"/>
    </font>
    <font>
      <b/>
      <sz val="26"/>
      <color theme="7"/>
      <name val="Times New Roman"/>
      <family val="1"/>
    </font>
    <font>
      <b/>
      <i/>
      <sz val="13"/>
      <name val="Times New Roman"/>
      <family val="1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Times New Roman"/>
      <family val="1"/>
    </font>
    <font>
      <b/>
      <sz val="12"/>
      <color theme="1"/>
      <name val="Trebuchet MS"/>
      <family val="2"/>
    </font>
    <font>
      <sz val="11"/>
      <color rgb="FFFFFF00"/>
      <name val="Calibri"/>
      <family val="2"/>
      <scheme val="minor"/>
    </font>
    <font>
      <u/>
      <sz val="18"/>
      <color theme="10"/>
      <name val="Calibri"/>
      <family val="2"/>
    </font>
    <font>
      <b/>
      <sz val="12"/>
      <color theme="0" tint="-4.9989318521683403E-2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90">
    <xf numFmtId="0" fontId="0" fillId="0" borderId="0" xfId="0"/>
    <xf numFmtId="0" fontId="0" fillId="0" borderId="0" xfId="0" applyProtection="1">
      <protection locked="0"/>
    </xf>
    <xf numFmtId="0" fontId="0" fillId="4" borderId="0" xfId="0" applyFill="1" applyProtection="1">
      <protection locked="0"/>
    </xf>
    <xf numFmtId="0" fontId="0" fillId="0" borderId="0" xfId="0" applyProtection="1"/>
    <xf numFmtId="0" fontId="0" fillId="4" borderId="0" xfId="0" applyFill="1" applyProtection="1">
      <protection hidden="1"/>
    </xf>
    <xf numFmtId="0" fontId="3" fillId="4" borderId="0" xfId="1" applyFont="1" applyFill="1" applyAlignment="1" applyProtection="1">
      <alignment horizontal="center" vertical="center"/>
      <protection hidden="1"/>
    </xf>
    <xf numFmtId="0" fontId="0" fillId="4" borderId="0" xfId="0" applyFill="1" applyBorder="1" applyProtection="1">
      <protection hidden="1"/>
    </xf>
    <xf numFmtId="0" fontId="0" fillId="0" borderId="0" xfId="0" applyFill="1" applyBorder="1" applyProtection="1">
      <protection locked="0"/>
    </xf>
    <xf numFmtId="0" fontId="4" fillId="4" borderId="0" xfId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5" fillId="4" borderId="0" xfId="1" applyFont="1" applyFill="1" applyAlignment="1" applyProtection="1">
      <alignment horizontal="center" vertical="center"/>
      <protection hidden="1"/>
    </xf>
    <xf numFmtId="0" fontId="2" fillId="4" borderId="0" xfId="0" applyFont="1" applyFill="1" applyAlignment="1" applyProtection="1">
      <alignment vertical="center" wrapText="1"/>
      <protection hidden="1"/>
    </xf>
    <xf numFmtId="0" fontId="6" fillId="4" borderId="0" xfId="0" applyFont="1" applyFill="1" applyBorder="1" applyProtection="1">
      <protection hidden="1"/>
    </xf>
    <xf numFmtId="0" fontId="6" fillId="0" borderId="0" xfId="0" applyFont="1" applyProtection="1"/>
    <xf numFmtId="0" fontId="23" fillId="4" borderId="2" xfId="0" applyFont="1" applyFill="1" applyBorder="1" applyAlignment="1" applyProtection="1">
      <alignment horizontal="center" vertical="center" wrapText="1"/>
      <protection locked="0"/>
    </xf>
    <xf numFmtId="0" fontId="28" fillId="4" borderId="2" xfId="0" applyFont="1" applyFill="1" applyBorder="1" applyAlignment="1" applyProtection="1">
      <alignment horizontal="center" vertical="center"/>
      <protection hidden="1"/>
    </xf>
    <xf numFmtId="0" fontId="29" fillId="4" borderId="2" xfId="0" applyFont="1" applyFill="1" applyBorder="1" applyAlignment="1" applyProtection="1">
      <alignment horizontal="center" vertical="center"/>
      <protection hidden="1"/>
    </xf>
    <xf numFmtId="0" fontId="30" fillId="7" borderId="2" xfId="0" applyFont="1" applyFill="1" applyBorder="1" applyAlignment="1" applyProtection="1">
      <alignment horizontal="center" vertical="center" wrapText="1"/>
      <protection locked="0"/>
    </xf>
    <xf numFmtId="164" fontId="30" fillId="7" borderId="2" xfId="0" applyNumberFormat="1" applyFont="1" applyFill="1" applyBorder="1" applyAlignment="1" applyProtection="1">
      <alignment horizontal="center" vertical="center"/>
      <protection locked="0"/>
    </xf>
    <xf numFmtId="1" fontId="30" fillId="7" borderId="2" xfId="0" applyNumberFormat="1" applyFont="1" applyFill="1" applyBorder="1" applyAlignment="1" applyProtection="1">
      <alignment horizontal="center" vertical="center" wrapText="1"/>
      <protection locked="0"/>
    </xf>
    <xf numFmtId="164" fontId="30" fillId="7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Protection="1">
      <protection hidden="1"/>
    </xf>
    <xf numFmtId="0" fontId="7" fillId="4" borderId="0" xfId="0" applyFont="1" applyFill="1" applyProtection="1">
      <protection hidden="1"/>
    </xf>
    <xf numFmtId="0" fontId="32" fillId="4" borderId="0" xfId="0" applyFont="1" applyFill="1" applyBorder="1" applyAlignment="1" applyProtection="1">
      <protection hidden="1"/>
    </xf>
    <xf numFmtId="0" fontId="32" fillId="4" borderId="0" xfId="0" applyFont="1" applyFill="1" applyBorder="1" applyAlignment="1" applyProtection="1">
      <alignment horizontal="right"/>
      <protection hidden="1"/>
    </xf>
    <xf numFmtId="0" fontId="30" fillId="7" borderId="2" xfId="0" applyFont="1" applyFill="1" applyBorder="1" applyAlignment="1" applyProtection="1">
      <alignment horizontal="center" vertical="center" wrapText="1"/>
      <protection hidden="1"/>
    </xf>
    <xf numFmtId="0" fontId="29" fillId="7" borderId="2" xfId="0" applyFont="1" applyFill="1" applyBorder="1" applyAlignment="1" applyProtection="1">
      <alignment horizontal="center" vertical="center" wrapText="1"/>
      <protection hidden="1"/>
    </xf>
    <xf numFmtId="0" fontId="27" fillId="7" borderId="2" xfId="0" applyFont="1" applyFill="1" applyBorder="1" applyAlignment="1" applyProtection="1">
      <alignment horizontal="center" vertical="center" wrapText="1"/>
      <protection locked="0"/>
    </xf>
    <xf numFmtId="0" fontId="28" fillId="7" borderId="5" xfId="0" applyFont="1" applyFill="1" applyBorder="1" applyAlignment="1" applyProtection="1">
      <alignment horizontal="center" vertical="center"/>
      <protection hidden="1"/>
    </xf>
    <xf numFmtId="0" fontId="28" fillId="7" borderId="2" xfId="0" applyFont="1" applyFill="1" applyBorder="1" applyAlignment="1" applyProtection="1">
      <alignment horizontal="center" vertical="center"/>
      <protection hidden="1"/>
    </xf>
    <xf numFmtId="0" fontId="26" fillId="7" borderId="2" xfId="0" applyFont="1" applyFill="1" applyBorder="1" applyAlignment="1" applyProtection="1">
      <alignment horizontal="center" vertical="center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28" fillId="7" borderId="9" xfId="0" applyFont="1" applyFill="1" applyBorder="1" applyAlignment="1" applyProtection="1">
      <alignment horizontal="center" vertical="center"/>
      <protection hidden="1"/>
    </xf>
    <xf numFmtId="0" fontId="28" fillId="7" borderId="10" xfId="0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/>
    <xf numFmtId="0" fontId="7" fillId="0" borderId="0" xfId="0" applyFont="1" applyProtection="1">
      <protection locked="0"/>
    </xf>
    <xf numFmtId="0" fontId="24" fillId="7" borderId="5" xfId="0" applyFont="1" applyFill="1" applyBorder="1" applyAlignment="1" applyProtection="1">
      <alignment horizontal="center" vertical="center"/>
      <protection hidden="1"/>
    </xf>
    <xf numFmtId="0" fontId="24" fillId="7" borderId="2" xfId="0" applyFont="1" applyFill="1" applyBorder="1" applyAlignment="1" applyProtection="1">
      <alignment horizontal="center" vertical="center"/>
      <protection hidden="1"/>
    </xf>
    <xf numFmtId="0" fontId="24" fillId="7" borderId="2" xfId="0" applyFont="1" applyFill="1" applyBorder="1" applyAlignment="1" applyProtection="1">
      <alignment horizontal="center" vertical="center"/>
      <protection locked="0"/>
    </xf>
    <xf numFmtId="0" fontId="33" fillId="4" borderId="0" xfId="0" applyFont="1" applyFill="1" applyBorder="1" applyProtection="1">
      <protection hidden="1"/>
    </xf>
    <xf numFmtId="0" fontId="32" fillId="7" borderId="5" xfId="0" applyFont="1" applyFill="1" applyBorder="1" applyAlignment="1" applyProtection="1">
      <alignment horizontal="center" vertical="center"/>
      <protection hidden="1"/>
    </xf>
    <xf numFmtId="0" fontId="28" fillId="7" borderId="10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Protection="1">
      <protection locked="0"/>
    </xf>
    <xf numFmtId="0" fontId="32" fillId="4" borderId="0" xfId="0" applyFont="1" applyFill="1" applyBorder="1" applyAlignment="1" applyProtection="1">
      <alignment horizontal="center"/>
      <protection hidden="1"/>
    </xf>
    <xf numFmtId="0" fontId="29" fillId="7" borderId="11" xfId="0" applyFont="1" applyFill="1" applyBorder="1" applyAlignment="1" applyProtection="1">
      <alignment horizontal="center" vertical="center" wrapText="1"/>
      <protection hidden="1"/>
    </xf>
    <xf numFmtId="0" fontId="30" fillId="7" borderId="2" xfId="0" applyFont="1" applyFill="1" applyBorder="1" applyAlignment="1" applyProtection="1">
      <alignment horizontal="center" vertical="center"/>
      <protection hidden="1"/>
    </xf>
    <xf numFmtId="0" fontId="29" fillId="7" borderId="2" xfId="0" applyFont="1" applyFill="1" applyBorder="1" applyAlignment="1" applyProtection="1">
      <alignment horizontal="center" vertical="center"/>
      <protection locked="0"/>
    </xf>
    <xf numFmtId="0" fontId="13" fillId="7" borderId="5" xfId="0" applyFont="1" applyFill="1" applyBorder="1" applyAlignment="1" applyProtection="1">
      <alignment horizontal="center" vertical="center"/>
      <protection hidden="1"/>
    </xf>
    <xf numFmtId="0" fontId="40" fillId="2" borderId="2" xfId="0" applyFont="1" applyFill="1" applyBorder="1" applyAlignment="1" applyProtection="1">
      <alignment horizontal="center" vertical="center" wrapText="1"/>
      <protection hidden="1"/>
    </xf>
    <xf numFmtId="0" fontId="7" fillId="4" borderId="0" xfId="0" applyFont="1" applyFill="1" applyBorder="1" applyProtection="1">
      <protection hidden="1"/>
    </xf>
    <xf numFmtId="0" fontId="35" fillId="4" borderId="21" xfId="0" applyFont="1" applyFill="1" applyBorder="1" applyAlignment="1" applyProtection="1">
      <protection hidden="1"/>
    </xf>
    <xf numFmtId="0" fontId="35" fillId="4" borderId="0" xfId="0" applyFont="1" applyFill="1" applyBorder="1" applyAlignment="1" applyProtection="1">
      <alignment horizontal="right"/>
      <protection hidden="1"/>
    </xf>
    <xf numFmtId="0" fontId="35" fillId="4" borderId="0" xfId="0" applyFont="1" applyFill="1" applyBorder="1" applyAlignment="1" applyProtection="1">
      <protection hidden="1"/>
    </xf>
    <xf numFmtId="0" fontId="26" fillId="4" borderId="0" xfId="0" applyFont="1" applyFill="1" applyBorder="1" applyAlignment="1" applyProtection="1">
      <protection hidden="1"/>
    </xf>
    <xf numFmtId="0" fontId="41" fillId="7" borderId="5" xfId="0" applyFont="1" applyFill="1" applyBorder="1" applyAlignment="1" applyProtection="1">
      <alignment horizontal="center" vertical="center"/>
      <protection hidden="1"/>
    </xf>
    <xf numFmtId="0" fontId="41" fillId="7" borderId="2" xfId="0" applyFont="1" applyFill="1" applyBorder="1" applyAlignment="1" applyProtection="1">
      <alignment horizontal="center" vertical="center"/>
      <protection hidden="1"/>
    </xf>
    <xf numFmtId="0" fontId="24" fillId="7" borderId="2" xfId="0" applyFont="1" applyFill="1" applyBorder="1" applyAlignment="1" applyProtection="1">
      <alignment horizontal="center"/>
      <protection locked="0"/>
    </xf>
    <xf numFmtId="0" fontId="41" fillId="7" borderId="9" xfId="0" applyFont="1" applyFill="1" applyBorder="1" applyAlignment="1" applyProtection="1">
      <alignment horizontal="center" vertical="center"/>
      <protection hidden="1"/>
    </xf>
    <xf numFmtId="0" fontId="24" fillId="7" borderId="1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Protection="1">
      <protection hidden="1"/>
    </xf>
    <xf numFmtId="0" fontId="7" fillId="0" borderId="0" xfId="0" applyFont="1" applyFill="1" applyBorder="1" applyProtection="1">
      <protection locked="0"/>
    </xf>
    <xf numFmtId="2" fontId="7" fillId="4" borderId="0" xfId="0" applyNumberFormat="1" applyFont="1" applyFill="1" applyBorder="1" applyProtection="1">
      <protection hidden="1"/>
    </xf>
    <xf numFmtId="0" fontId="43" fillId="10" borderId="2" xfId="0" applyFont="1" applyFill="1" applyBorder="1" applyAlignment="1" applyProtection="1">
      <alignment horizontal="center" vertical="center" textRotation="90"/>
      <protection hidden="1"/>
    </xf>
    <xf numFmtId="0" fontId="43" fillId="14" borderId="2" xfId="0" applyFont="1" applyFill="1" applyBorder="1" applyAlignment="1" applyProtection="1">
      <alignment horizontal="center" vertical="center" textRotation="90"/>
      <protection hidden="1"/>
    </xf>
    <xf numFmtId="0" fontId="43" fillId="9" borderId="2" xfId="0" applyFont="1" applyFill="1" applyBorder="1" applyAlignment="1" applyProtection="1">
      <alignment horizontal="center" vertical="center" textRotation="90"/>
      <protection hidden="1"/>
    </xf>
    <xf numFmtId="2" fontId="43" fillId="9" borderId="2" xfId="0" applyNumberFormat="1" applyFont="1" applyFill="1" applyBorder="1" applyAlignment="1" applyProtection="1">
      <alignment horizontal="center" vertical="center" textRotation="90"/>
      <protection hidden="1"/>
    </xf>
    <xf numFmtId="0" fontId="43" fillId="9" borderId="2" xfId="0" applyFont="1" applyFill="1" applyBorder="1" applyAlignment="1" applyProtection="1">
      <alignment horizontal="center" vertical="center" textRotation="90" wrapText="1"/>
      <protection hidden="1"/>
    </xf>
    <xf numFmtId="0" fontId="43" fillId="11" borderId="2" xfId="0" applyFont="1" applyFill="1" applyBorder="1" applyAlignment="1" applyProtection="1">
      <alignment horizontal="center" vertical="center" textRotation="90"/>
      <protection hidden="1"/>
    </xf>
    <xf numFmtId="0" fontId="43" fillId="12" borderId="2" xfId="0" applyFont="1" applyFill="1" applyBorder="1" applyAlignment="1" applyProtection="1">
      <alignment horizontal="center" vertical="center" textRotation="90"/>
      <protection hidden="1"/>
    </xf>
    <xf numFmtId="0" fontId="44" fillId="7" borderId="2" xfId="0" applyFont="1" applyFill="1" applyBorder="1" applyAlignment="1" applyProtection="1">
      <alignment horizontal="center" vertical="center"/>
      <protection hidden="1"/>
    </xf>
    <xf numFmtId="0" fontId="40" fillId="8" borderId="2" xfId="0" applyFont="1" applyFill="1" applyBorder="1" applyAlignment="1" applyProtection="1">
      <alignment horizontal="center" vertical="center" wrapText="1"/>
      <protection hidden="1"/>
    </xf>
    <xf numFmtId="0" fontId="40" fillId="8" borderId="2" xfId="0" applyFont="1" applyFill="1" applyBorder="1" applyAlignment="1" applyProtection="1">
      <alignment horizontal="center" vertical="center"/>
      <protection hidden="1"/>
    </xf>
    <xf numFmtId="0" fontId="40" fillId="16" borderId="2" xfId="0" applyFont="1" applyFill="1" applyBorder="1" applyAlignment="1" applyProtection="1">
      <alignment horizontal="center" vertical="center" wrapText="1"/>
      <protection hidden="1"/>
    </xf>
    <xf numFmtId="0" fontId="40" fillId="10" borderId="2" xfId="0" applyFont="1" applyFill="1" applyBorder="1" applyAlignment="1" applyProtection="1">
      <alignment horizontal="center" vertical="center" wrapText="1"/>
      <protection hidden="1"/>
    </xf>
    <xf numFmtId="0" fontId="46" fillId="13" borderId="2" xfId="0" applyFont="1" applyFill="1" applyBorder="1" applyAlignment="1" applyProtection="1">
      <alignment horizontal="center" vertical="center" wrapText="1"/>
      <protection hidden="1"/>
    </xf>
    <xf numFmtId="0" fontId="40" fillId="13" borderId="2" xfId="0" applyFont="1" applyFill="1" applyBorder="1" applyAlignment="1" applyProtection="1">
      <alignment horizontal="center" vertical="center"/>
      <protection hidden="1"/>
    </xf>
    <xf numFmtId="0" fontId="40" fillId="13" borderId="2" xfId="0" applyFont="1" applyFill="1" applyBorder="1" applyAlignment="1" applyProtection="1">
      <alignment horizontal="center" vertical="center" wrapText="1"/>
      <protection hidden="1"/>
    </xf>
    <xf numFmtId="0" fontId="46" fillId="11" borderId="2" xfId="0" applyFont="1" applyFill="1" applyBorder="1" applyAlignment="1" applyProtection="1">
      <alignment horizontal="center" vertical="center" wrapText="1"/>
      <protection hidden="1"/>
    </xf>
    <xf numFmtId="0" fontId="45" fillId="11" borderId="2" xfId="0" applyFont="1" applyFill="1" applyBorder="1" applyAlignment="1" applyProtection="1">
      <alignment horizontal="center" vertical="center" wrapText="1"/>
      <protection hidden="1"/>
    </xf>
    <xf numFmtId="10" fontId="46" fillId="11" borderId="2" xfId="0" applyNumberFormat="1" applyFont="1" applyFill="1" applyBorder="1" applyAlignment="1" applyProtection="1">
      <alignment horizontal="center" vertical="center" wrapText="1"/>
      <protection hidden="1"/>
    </xf>
    <xf numFmtId="0" fontId="46" fillId="12" borderId="2" xfId="0" applyFont="1" applyFill="1" applyBorder="1" applyAlignment="1" applyProtection="1">
      <alignment horizontal="center" vertical="center" wrapText="1"/>
      <protection hidden="1"/>
    </xf>
    <xf numFmtId="0" fontId="40" fillId="10" borderId="2" xfId="0" applyFont="1" applyFill="1" applyBorder="1" applyAlignment="1" applyProtection="1">
      <alignment horizontal="center" vertical="center"/>
      <protection hidden="1"/>
    </xf>
    <xf numFmtId="0" fontId="30" fillId="7" borderId="26" xfId="0" applyFont="1" applyFill="1" applyBorder="1" applyAlignment="1" applyProtection="1">
      <alignment horizontal="center" vertical="center" wrapText="1"/>
      <protection hidden="1"/>
    </xf>
    <xf numFmtId="0" fontId="30" fillId="7" borderId="26" xfId="0" applyFont="1" applyFill="1" applyBorder="1" applyAlignment="1" applyProtection="1">
      <alignment horizontal="center" vertical="center"/>
      <protection hidden="1"/>
    </xf>
    <xf numFmtId="1" fontId="40" fillId="8" borderId="2" xfId="0" applyNumberFormat="1" applyFont="1" applyFill="1" applyBorder="1" applyAlignment="1" applyProtection="1">
      <alignment horizontal="center" vertical="center" wrapText="1"/>
      <protection hidden="1"/>
    </xf>
    <xf numFmtId="1" fontId="40" fillId="8" borderId="2" xfId="0" applyNumberFormat="1" applyFont="1" applyFill="1" applyBorder="1" applyAlignment="1" applyProtection="1">
      <alignment horizontal="center" vertical="center"/>
      <protection hidden="1"/>
    </xf>
    <xf numFmtId="0" fontId="40" fillId="11" borderId="2" xfId="0" applyFont="1" applyFill="1" applyBorder="1" applyAlignment="1" applyProtection="1">
      <alignment horizontal="center" vertical="center" wrapText="1"/>
      <protection hidden="1"/>
    </xf>
    <xf numFmtId="0" fontId="43" fillId="12" borderId="26" xfId="0" applyFont="1" applyFill="1" applyBorder="1" applyAlignment="1" applyProtection="1">
      <alignment horizontal="center" vertical="center" textRotation="90"/>
      <protection hidden="1"/>
    </xf>
    <xf numFmtId="0" fontId="40" fillId="8" borderId="27" xfId="0" applyFont="1" applyFill="1" applyBorder="1" applyAlignment="1" applyProtection="1">
      <alignment horizontal="center" vertical="center" wrapText="1"/>
      <protection hidden="1"/>
    </xf>
    <xf numFmtId="0" fontId="43" fillId="12" borderId="2" xfId="0" applyFont="1" applyFill="1" applyBorder="1" applyAlignment="1" applyProtection="1">
      <alignment horizontal="center" vertical="center" wrapText="1"/>
      <protection hidden="1"/>
    </xf>
    <xf numFmtId="0" fontId="26" fillId="15" borderId="12" xfId="0" applyFont="1" applyFill="1" applyBorder="1" applyAlignment="1" applyProtection="1">
      <alignment vertical="center" wrapText="1"/>
      <protection hidden="1"/>
    </xf>
    <xf numFmtId="0" fontId="26" fillId="15" borderId="15" xfId="0" applyFont="1" applyFill="1" applyBorder="1" applyAlignment="1" applyProtection="1">
      <alignment vertical="center" wrapText="1"/>
      <protection hidden="1"/>
    </xf>
    <xf numFmtId="0" fontId="7" fillId="15" borderId="15" xfId="0" applyFont="1" applyFill="1" applyBorder="1" applyProtection="1">
      <protection hidden="1"/>
    </xf>
    <xf numFmtId="0" fontId="30" fillId="15" borderId="0" xfId="0" applyFont="1" applyFill="1" applyBorder="1" applyProtection="1">
      <protection hidden="1"/>
    </xf>
    <xf numFmtId="0" fontId="50" fillId="15" borderId="0" xfId="0" applyFont="1" applyFill="1" applyBorder="1" applyAlignment="1" applyProtection="1">
      <alignment vertical="center" wrapText="1"/>
      <protection hidden="1"/>
    </xf>
    <xf numFmtId="0" fontId="32" fillId="15" borderId="0" xfId="0" applyFont="1" applyFill="1" applyBorder="1" applyAlignment="1" applyProtection="1">
      <alignment vertical="center" wrapText="1"/>
      <protection hidden="1"/>
    </xf>
    <xf numFmtId="0" fontId="7" fillId="15" borderId="16" xfId="0" applyFont="1" applyFill="1" applyBorder="1" applyProtection="1">
      <protection hidden="1"/>
    </xf>
    <xf numFmtId="0" fontId="7" fillId="15" borderId="0" xfId="0" applyFont="1" applyFill="1" applyBorder="1" applyProtection="1">
      <protection hidden="1"/>
    </xf>
    <xf numFmtId="0" fontId="7" fillId="15" borderId="0" xfId="0" applyFont="1" applyFill="1" applyBorder="1" applyAlignment="1" applyProtection="1">
      <alignment horizontal="center"/>
      <protection hidden="1"/>
    </xf>
    <xf numFmtId="0" fontId="30" fillId="15" borderId="0" xfId="0" applyFont="1" applyFill="1" applyBorder="1" applyAlignment="1" applyProtection="1">
      <protection hidden="1"/>
    </xf>
    <xf numFmtId="0" fontId="30" fillId="15" borderId="15" xfId="0" applyFont="1" applyFill="1" applyBorder="1" applyAlignment="1" applyProtection="1">
      <protection hidden="1"/>
    </xf>
    <xf numFmtId="0" fontId="7" fillId="15" borderId="16" xfId="0" applyFont="1" applyFill="1" applyBorder="1" applyAlignment="1" applyProtection="1">
      <alignment horizontal="center" vertical="center" wrapText="1"/>
      <protection hidden="1"/>
    </xf>
    <xf numFmtId="0" fontId="30" fillId="15" borderId="16" xfId="0" applyFont="1" applyFill="1" applyBorder="1" applyProtection="1">
      <protection hidden="1"/>
    </xf>
    <xf numFmtId="0" fontId="7" fillId="15" borderId="15" xfId="0" applyFont="1" applyFill="1" applyBorder="1" applyAlignment="1" applyProtection="1">
      <protection hidden="1"/>
    </xf>
    <xf numFmtId="0" fontId="30" fillId="15" borderId="15" xfId="0" applyFont="1" applyFill="1" applyBorder="1" applyAlignment="1" applyProtection="1">
      <alignment vertical="center"/>
      <protection hidden="1"/>
    </xf>
    <xf numFmtId="0" fontId="30" fillId="15" borderId="0" xfId="0" applyFont="1" applyFill="1" applyBorder="1" applyAlignment="1" applyProtection="1">
      <alignment vertical="center"/>
      <protection hidden="1"/>
    </xf>
    <xf numFmtId="0" fontId="30" fillId="7" borderId="4" xfId="0" applyFont="1" applyFill="1" applyBorder="1" applyAlignment="1" applyProtection="1">
      <alignment horizontal="center" vertical="center" wrapText="1"/>
      <protection hidden="1"/>
    </xf>
    <xf numFmtId="0" fontId="30" fillId="7" borderId="17" xfId="0" applyFont="1" applyFill="1" applyBorder="1" applyAlignment="1" applyProtection="1">
      <alignment horizontal="center" vertical="center" wrapText="1"/>
      <protection hidden="1"/>
    </xf>
    <xf numFmtId="0" fontId="26" fillId="7" borderId="2" xfId="0" applyFont="1" applyFill="1" applyBorder="1" applyAlignment="1" applyProtection="1">
      <alignment horizontal="center" vertical="center"/>
      <protection hidden="1"/>
    </xf>
    <xf numFmtId="0" fontId="26" fillId="7" borderId="10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Border="1" applyAlignment="1" applyProtection="1">
      <protection hidden="1"/>
    </xf>
    <xf numFmtId="0" fontId="32" fillId="4" borderId="0" xfId="0" applyFont="1" applyFill="1" applyBorder="1" applyAlignment="1" applyProtection="1">
      <alignment horizontal="center" vertical="center"/>
      <protection hidden="1"/>
    </xf>
    <xf numFmtId="0" fontId="13" fillId="4" borderId="2" xfId="0" applyFont="1" applyFill="1" applyBorder="1" applyAlignment="1" applyProtection="1">
      <alignment horizontal="left" vertical="center"/>
      <protection locked="0"/>
    </xf>
    <xf numFmtId="0" fontId="24" fillId="4" borderId="2" xfId="0" applyFont="1" applyFill="1" applyBorder="1" applyAlignment="1" applyProtection="1">
      <alignment horizontal="center" vertical="center"/>
      <protection hidden="1"/>
    </xf>
    <xf numFmtId="0" fontId="60" fillId="7" borderId="2" xfId="0" applyFont="1" applyFill="1" applyBorder="1" applyAlignment="1" applyProtection="1">
      <alignment horizontal="center" vertical="center"/>
      <protection locked="0"/>
    </xf>
    <xf numFmtId="0" fontId="47" fillId="20" borderId="1" xfId="0" applyFont="1" applyFill="1" applyBorder="1" applyAlignment="1" applyProtection="1">
      <alignment vertical="center"/>
      <protection hidden="1"/>
    </xf>
    <xf numFmtId="0" fontId="47" fillId="20" borderId="11" xfId="0" applyFont="1" applyFill="1" applyBorder="1" applyAlignment="1" applyProtection="1">
      <alignment vertical="center"/>
      <protection hidden="1"/>
    </xf>
    <xf numFmtId="0" fontId="43" fillId="20" borderId="2" xfId="0" applyFont="1" applyFill="1" applyBorder="1" applyAlignment="1" applyProtection="1">
      <alignment horizontal="center" vertical="center" textRotation="90"/>
      <protection hidden="1"/>
    </xf>
    <xf numFmtId="2" fontId="43" fillId="20" borderId="2" xfId="0" applyNumberFormat="1" applyFont="1" applyFill="1" applyBorder="1" applyAlignment="1" applyProtection="1">
      <alignment horizontal="center" vertical="center" textRotation="90"/>
      <protection hidden="1"/>
    </xf>
    <xf numFmtId="0" fontId="43" fillId="20" borderId="2" xfId="0" applyFont="1" applyFill="1" applyBorder="1" applyAlignment="1" applyProtection="1">
      <alignment horizontal="center" vertical="center" wrapText="1"/>
      <protection hidden="1"/>
    </xf>
    <xf numFmtId="0" fontId="43" fillId="20" borderId="2" xfId="0" applyFont="1" applyFill="1" applyBorder="1" applyAlignment="1" applyProtection="1">
      <alignment horizontal="center" vertical="center" textRotation="90" wrapText="1"/>
      <protection hidden="1"/>
    </xf>
    <xf numFmtId="0" fontId="43" fillId="20" borderId="6" xfId="0" applyFont="1" applyFill="1" applyBorder="1" applyAlignment="1" applyProtection="1">
      <alignment horizontal="center" vertical="center" textRotation="90" wrapText="1"/>
      <protection hidden="1"/>
    </xf>
    <xf numFmtId="0" fontId="63" fillId="20" borderId="32" xfId="0" applyFont="1" applyFill="1" applyBorder="1" applyAlignment="1" applyProtection="1">
      <alignment vertical="center"/>
      <protection hidden="1"/>
    </xf>
    <xf numFmtId="0" fontId="30" fillId="19" borderId="2" xfId="0" applyFont="1" applyFill="1" applyBorder="1" applyAlignment="1" applyProtection="1">
      <alignment horizontal="center" vertical="center"/>
      <protection hidden="1"/>
    </xf>
    <xf numFmtId="0" fontId="30" fillId="17" borderId="2" xfId="0" applyFont="1" applyFill="1" applyBorder="1" applyAlignment="1" applyProtection="1">
      <alignment horizontal="center" vertical="center"/>
      <protection hidden="1"/>
    </xf>
    <xf numFmtId="0" fontId="30" fillId="11" borderId="2" xfId="0" applyFont="1" applyFill="1" applyBorder="1" applyAlignment="1" applyProtection="1">
      <alignment horizontal="center" vertical="center"/>
      <protection hidden="1"/>
    </xf>
    <xf numFmtId="0" fontId="30" fillId="3" borderId="2" xfId="0" applyFont="1" applyFill="1" applyBorder="1" applyAlignment="1" applyProtection="1">
      <alignment horizontal="center" vertical="center"/>
      <protection hidden="1"/>
    </xf>
    <xf numFmtId="0" fontId="30" fillId="2" borderId="2" xfId="0" applyFont="1" applyFill="1" applyBorder="1" applyAlignment="1" applyProtection="1">
      <alignment horizontal="center" vertical="center"/>
      <protection hidden="1"/>
    </xf>
    <xf numFmtId="0" fontId="46" fillId="14" borderId="2" xfId="0" applyFont="1" applyFill="1" applyBorder="1" applyAlignment="1" applyProtection="1">
      <alignment horizontal="center" vertical="center" wrapText="1"/>
      <protection hidden="1"/>
    </xf>
    <xf numFmtId="0" fontId="46" fillId="2" borderId="2" xfId="0" applyFont="1" applyFill="1" applyBorder="1" applyAlignment="1" applyProtection="1">
      <alignment horizontal="center" vertical="center" wrapText="1"/>
      <protection hidden="1"/>
    </xf>
    <xf numFmtId="0" fontId="40" fillId="14" borderId="2" xfId="0" applyFont="1" applyFill="1" applyBorder="1" applyAlignment="1" applyProtection="1">
      <alignment horizontal="center" vertical="center" wrapText="1"/>
      <protection hidden="1"/>
    </xf>
    <xf numFmtId="0" fontId="11" fillId="7" borderId="2" xfId="0" applyFont="1" applyFill="1" applyBorder="1" applyAlignment="1" applyProtection="1">
      <alignment horizontal="center" vertical="center"/>
      <protection hidden="1"/>
    </xf>
    <xf numFmtId="0" fontId="32" fillId="7" borderId="2" xfId="0" applyFont="1" applyFill="1" applyBorder="1" applyAlignment="1" applyProtection="1">
      <alignment horizontal="center" vertical="center"/>
      <protection locked="0"/>
    </xf>
    <xf numFmtId="0" fontId="66" fillId="7" borderId="2" xfId="0" applyFont="1" applyFill="1" applyBorder="1" applyAlignment="1" applyProtection="1">
      <alignment horizontal="center" vertical="center" wrapText="1"/>
      <protection hidden="1"/>
    </xf>
    <xf numFmtId="0" fontId="13" fillId="7" borderId="2" xfId="0" applyFont="1" applyFill="1" applyBorder="1" applyAlignment="1" applyProtection="1">
      <alignment horizontal="center" vertical="center"/>
      <protection locked="0"/>
    </xf>
    <xf numFmtId="0" fontId="0" fillId="4" borderId="0" xfId="0" applyFill="1"/>
    <xf numFmtId="0" fontId="30" fillId="21" borderId="2" xfId="0" applyFont="1" applyFill="1" applyBorder="1" applyAlignment="1" applyProtection="1">
      <alignment horizontal="center" vertical="center"/>
      <protection hidden="1"/>
    </xf>
    <xf numFmtId="0" fontId="43" fillId="12" borderId="26" xfId="0" applyFont="1" applyFill="1" applyBorder="1" applyAlignment="1" applyProtection="1">
      <alignment horizontal="center" vertical="center" wrapText="1"/>
      <protection hidden="1"/>
    </xf>
    <xf numFmtId="0" fontId="32" fillId="4" borderId="0" xfId="0" applyFont="1" applyFill="1" applyBorder="1" applyAlignment="1" applyProtection="1">
      <alignment horizontal="center"/>
      <protection hidden="1"/>
    </xf>
    <xf numFmtId="2" fontId="46" fillId="11" borderId="2" xfId="0" applyNumberFormat="1" applyFont="1" applyFill="1" applyBorder="1" applyAlignment="1" applyProtection="1">
      <alignment horizontal="center" vertical="center" wrapText="1"/>
      <protection hidden="1"/>
    </xf>
    <xf numFmtId="0" fontId="45" fillId="5" borderId="2" xfId="0" applyFont="1" applyFill="1" applyBorder="1" applyAlignment="1" applyProtection="1">
      <alignment horizontal="center" vertical="center" wrapText="1"/>
      <protection hidden="1"/>
    </xf>
    <xf numFmtId="0" fontId="30" fillId="15" borderId="15" xfId="0" applyFont="1" applyFill="1" applyBorder="1" applyProtection="1">
      <protection hidden="1"/>
    </xf>
    <xf numFmtId="0" fontId="29" fillId="15" borderId="0" xfId="0" applyFont="1" applyFill="1" applyBorder="1" applyAlignment="1" applyProtection="1">
      <alignment vertical="center"/>
      <protection hidden="1"/>
    </xf>
    <xf numFmtId="0" fontId="28" fillId="15" borderId="0" xfId="0" applyFont="1" applyFill="1" applyBorder="1" applyAlignment="1" applyProtection="1">
      <alignment vertical="center"/>
      <protection hidden="1"/>
    </xf>
    <xf numFmtId="0" fontId="28" fillId="15" borderId="0" xfId="0" applyFont="1" applyFill="1" applyBorder="1" applyAlignment="1" applyProtection="1">
      <alignment horizontal="center"/>
      <protection hidden="1"/>
    </xf>
    <xf numFmtId="0" fontId="43" fillId="15" borderId="0" xfId="0" applyFont="1" applyFill="1" applyBorder="1" applyProtection="1">
      <protection hidden="1"/>
    </xf>
    <xf numFmtId="0" fontId="30" fillId="15" borderId="23" xfId="0" applyFont="1" applyFill="1" applyBorder="1" applyProtection="1">
      <protection hidden="1"/>
    </xf>
    <xf numFmtId="0" fontId="30" fillId="15" borderId="21" xfId="0" applyFont="1" applyFill="1" applyBorder="1" applyProtection="1">
      <protection hidden="1"/>
    </xf>
    <xf numFmtId="0" fontId="30" fillId="15" borderId="21" xfId="0" applyFont="1" applyFill="1" applyBorder="1" applyAlignment="1" applyProtection="1">
      <alignment horizontal="center"/>
      <protection hidden="1"/>
    </xf>
    <xf numFmtId="0" fontId="35" fillId="15" borderId="16" xfId="0" applyFont="1" applyFill="1" applyBorder="1" applyAlignment="1" applyProtection="1">
      <alignment vertical="center" wrapText="1"/>
      <protection hidden="1"/>
    </xf>
    <xf numFmtId="0" fontId="28" fillId="15" borderId="16" xfId="0" applyFont="1" applyFill="1" applyBorder="1" applyAlignment="1" applyProtection="1">
      <alignment horizontal="center" vertical="center"/>
      <protection locked="0"/>
    </xf>
    <xf numFmtId="0" fontId="28" fillId="15" borderId="16" xfId="0" applyFont="1" applyFill="1" applyBorder="1" applyAlignment="1" applyProtection="1">
      <alignment horizontal="center"/>
      <protection hidden="1"/>
    </xf>
    <xf numFmtId="0" fontId="43" fillId="15" borderId="16" xfId="0" applyFont="1" applyFill="1" applyBorder="1" applyAlignment="1" applyProtection="1">
      <alignment horizontal="center"/>
      <protection hidden="1"/>
    </xf>
    <xf numFmtId="0" fontId="70" fillId="4" borderId="0" xfId="1" applyFont="1" applyFill="1" applyBorder="1" applyAlignment="1" applyProtection="1">
      <alignment horizontal="center" vertical="center"/>
      <protection hidden="1"/>
    </xf>
    <xf numFmtId="0" fontId="71" fillId="4" borderId="0" xfId="0" applyFont="1" applyFill="1" applyBorder="1" applyProtection="1">
      <protection hidden="1"/>
    </xf>
    <xf numFmtId="0" fontId="71" fillId="4" borderId="0" xfId="0" applyFont="1" applyFill="1" applyBorder="1" applyAlignment="1" applyProtection="1">
      <alignment wrapText="1"/>
      <protection hidden="1"/>
    </xf>
    <xf numFmtId="2" fontId="71" fillId="4" borderId="0" xfId="0" applyNumberFormat="1" applyFont="1" applyFill="1" applyBorder="1" applyProtection="1">
      <protection hidden="1"/>
    </xf>
    <xf numFmtId="0" fontId="71" fillId="4" borderId="0" xfId="0" applyFont="1" applyFill="1" applyBorder="1" applyAlignment="1" applyProtection="1">
      <alignment horizontal="center"/>
      <protection hidden="1"/>
    </xf>
    <xf numFmtId="0" fontId="71" fillId="22" borderId="0" xfId="0" applyFont="1" applyFill="1" applyBorder="1" applyProtection="1">
      <protection hidden="1"/>
    </xf>
    <xf numFmtId="0" fontId="72" fillId="7" borderId="0" xfId="0" applyFont="1" applyFill="1" applyBorder="1" applyAlignment="1" applyProtection="1">
      <alignment vertical="center" wrapText="1"/>
      <protection hidden="1"/>
    </xf>
    <xf numFmtId="0" fontId="72" fillId="7" borderId="25" xfId="0" applyFont="1" applyFill="1" applyBorder="1" applyAlignment="1" applyProtection="1">
      <alignment vertical="center" wrapText="1"/>
      <protection hidden="1"/>
    </xf>
    <xf numFmtId="0" fontId="72" fillId="7" borderId="1" xfId="0" applyFont="1" applyFill="1" applyBorder="1" applyAlignment="1" applyProtection="1">
      <alignment vertical="center" wrapText="1"/>
      <protection hidden="1"/>
    </xf>
    <xf numFmtId="0" fontId="72" fillId="7" borderId="11" xfId="0" applyFont="1" applyFill="1" applyBorder="1" applyAlignment="1" applyProtection="1">
      <alignment vertical="center" wrapText="1"/>
      <protection hidden="1"/>
    </xf>
    <xf numFmtId="0" fontId="44" fillId="5" borderId="2" xfId="0" applyFont="1" applyFill="1" applyBorder="1" applyAlignment="1" applyProtection="1">
      <alignment horizontal="center" vertical="center" textRotation="90" wrapText="1"/>
      <protection hidden="1"/>
    </xf>
    <xf numFmtId="0" fontId="44" fillId="7" borderId="2" xfId="0" applyFont="1" applyFill="1" applyBorder="1" applyAlignment="1" applyProtection="1">
      <alignment horizontal="center" vertical="center" textRotation="90" wrapText="1"/>
      <protection hidden="1"/>
    </xf>
    <xf numFmtId="0" fontId="74" fillId="7" borderId="2" xfId="0" applyFont="1" applyFill="1" applyBorder="1" applyAlignment="1" applyProtection="1">
      <alignment horizontal="center" vertical="center"/>
      <protection hidden="1"/>
    </xf>
    <xf numFmtId="0" fontId="49" fillId="5" borderId="2" xfId="0" applyFont="1" applyFill="1" applyBorder="1" applyAlignment="1" applyProtection="1">
      <alignment horizontal="center" vertical="center"/>
      <protection hidden="1"/>
    </xf>
    <xf numFmtId="0" fontId="49" fillId="19" borderId="2" xfId="0" applyFont="1" applyFill="1" applyBorder="1" applyAlignment="1" applyProtection="1">
      <alignment horizontal="center" vertical="center"/>
      <protection hidden="1"/>
    </xf>
    <xf numFmtId="0" fontId="49" fillId="5" borderId="2" xfId="0" applyFont="1" applyFill="1" applyBorder="1" applyAlignment="1" applyProtection="1">
      <alignment horizontal="center" vertical="center" wrapText="1"/>
      <protection hidden="1"/>
    </xf>
    <xf numFmtId="0" fontId="49" fillId="23" borderId="2" xfId="0" applyFont="1" applyFill="1" applyBorder="1" applyAlignment="1" applyProtection="1">
      <alignment horizontal="center" vertical="center"/>
      <protection hidden="1"/>
    </xf>
    <xf numFmtId="2" fontId="49" fillId="23" borderId="2" xfId="0" applyNumberFormat="1" applyFont="1" applyFill="1" applyBorder="1" applyAlignment="1" applyProtection="1">
      <alignment horizontal="center" vertical="center"/>
      <protection hidden="1"/>
    </xf>
    <xf numFmtId="0" fontId="40" fillId="23" borderId="2" xfId="0" applyFont="1" applyFill="1" applyBorder="1" applyAlignment="1" applyProtection="1">
      <alignment horizontal="center" vertical="center" wrapText="1"/>
      <protection hidden="1"/>
    </xf>
    <xf numFmtId="0" fontId="75" fillId="7" borderId="2" xfId="0" applyFont="1" applyFill="1" applyBorder="1" applyAlignment="1" applyProtection="1">
      <alignment horizontal="center"/>
      <protection hidden="1"/>
    </xf>
    <xf numFmtId="1" fontId="30" fillId="7" borderId="2" xfId="0" applyNumberFormat="1" applyFont="1" applyFill="1" applyBorder="1" applyAlignment="1" applyProtection="1">
      <alignment horizontal="center" vertical="center" wrapText="1"/>
      <protection hidden="1"/>
    </xf>
    <xf numFmtId="0" fontId="30" fillId="7" borderId="2" xfId="0" applyFont="1" applyFill="1" applyBorder="1" applyAlignment="1" applyProtection="1">
      <alignment horizontal="center"/>
      <protection hidden="1"/>
    </xf>
    <xf numFmtId="0" fontId="30" fillId="14" borderId="2" xfId="0" applyFont="1" applyFill="1" applyBorder="1" applyAlignment="1" applyProtection="1">
      <alignment horizontal="center" vertical="center" wrapText="1"/>
      <protection hidden="1"/>
    </xf>
    <xf numFmtId="0" fontId="30" fillId="14" borderId="26" xfId="0" applyFont="1" applyFill="1" applyBorder="1" applyAlignment="1" applyProtection="1">
      <alignment horizontal="center" vertical="center"/>
      <protection hidden="1"/>
    </xf>
    <xf numFmtId="0" fontId="30" fillId="14" borderId="2" xfId="0" applyFont="1" applyFill="1" applyBorder="1" applyAlignment="1" applyProtection="1">
      <alignment horizontal="center" vertical="center"/>
      <protection hidden="1"/>
    </xf>
    <xf numFmtId="164" fontId="30" fillId="14" borderId="2" xfId="0" applyNumberFormat="1" applyFont="1" applyFill="1" applyBorder="1" applyAlignment="1" applyProtection="1">
      <alignment horizontal="center" vertical="center"/>
      <protection hidden="1"/>
    </xf>
    <xf numFmtId="0" fontId="29" fillId="14" borderId="26" xfId="0" applyFont="1" applyFill="1" applyBorder="1" applyAlignment="1" applyProtection="1">
      <alignment horizontal="center" vertical="center"/>
      <protection hidden="1"/>
    </xf>
    <xf numFmtId="0" fontId="45" fillId="14" borderId="26" xfId="0" applyFont="1" applyFill="1" applyBorder="1" applyAlignment="1" applyProtection="1">
      <alignment horizontal="center" vertical="center"/>
      <protection hidden="1"/>
    </xf>
    <xf numFmtId="0" fontId="29" fillId="14" borderId="26" xfId="0" applyFont="1" applyFill="1" applyBorder="1" applyAlignment="1" applyProtection="1">
      <alignment horizontal="center" vertical="center" wrapText="1"/>
      <protection hidden="1"/>
    </xf>
    <xf numFmtId="2" fontId="29" fillId="14" borderId="26" xfId="0" applyNumberFormat="1" applyFont="1" applyFill="1" applyBorder="1" applyAlignment="1" applyProtection="1">
      <alignment horizontal="center" vertical="center"/>
      <protection hidden="1"/>
    </xf>
    <xf numFmtId="0" fontId="30" fillId="14" borderId="2" xfId="0" applyFont="1" applyFill="1" applyBorder="1" applyAlignment="1" applyProtection="1">
      <alignment horizontal="center"/>
      <protection hidden="1"/>
    </xf>
    <xf numFmtId="0" fontId="72" fillId="7" borderId="53" xfId="0" applyFont="1" applyFill="1" applyBorder="1" applyAlignment="1" applyProtection="1">
      <alignment horizontal="center" vertical="center" wrapText="1"/>
      <protection locked="0"/>
    </xf>
    <xf numFmtId="0" fontId="35" fillId="7" borderId="7" xfId="0" applyFont="1" applyFill="1" applyBorder="1" applyAlignment="1" applyProtection="1">
      <alignment vertical="center" wrapText="1"/>
      <protection hidden="1"/>
    </xf>
    <xf numFmtId="0" fontId="35" fillId="7" borderId="22" xfId="0" applyFont="1" applyFill="1" applyBorder="1" applyAlignment="1" applyProtection="1">
      <alignment vertical="center" wrapText="1"/>
      <protection hidden="1"/>
    </xf>
    <xf numFmtId="164" fontId="30" fillId="7" borderId="2" xfId="0" applyNumberFormat="1" applyFont="1" applyFill="1" applyBorder="1" applyAlignment="1" applyProtection="1">
      <alignment horizontal="center" vertical="center"/>
      <protection hidden="1"/>
    </xf>
    <xf numFmtId="0" fontId="40" fillId="19" borderId="2" xfId="0" applyFont="1" applyFill="1" applyBorder="1" applyAlignment="1" applyProtection="1">
      <alignment horizontal="center" vertical="center"/>
      <protection hidden="1"/>
    </xf>
    <xf numFmtId="0" fontId="49" fillId="23" borderId="27" xfId="0" applyFont="1" applyFill="1" applyBorder="1" applyAlignment="1" applyProtection="1">
      <alignment horizontal="center" vertical="center" textRotation="90" wrapText="1"/>
      <protection hidden="1"/>
    </xf>
    <xf numFmtId="0" fontId="30" fillId="7" borderId="22" xfId="0" applyFont="1" applyFill="1" applyBorder="1" applyAlignment="1" applyProtection="1">
      <alignment horizontal="center"/>
      <protection hidden="1"/>
    </xf>
    <xf numFmtId="0" fontId="53" fillId="22" borderId="2" xfId="0" applyFont="1" applyFill="1" applyBorder="1" applyAlignment="1" applyProtection="1">
      <alignment horizontal="center"/>
      <protection hidden="1"/>
    </xf>
    <xf numFmtId="0" fontId="30" fillId="25" borderId="2" xfId="0" applyFont="1" applyFill="1" applyBorder="1" applyAlignment="1" applyProtection="1">
      <alignment horizontal="center"/>
      <protection hidden="1"/>
    </xf>
    <xf numFmtId="0" fontId="7" fillId="25" borderId="0" xfId="0" applyFont="1" applyFill="1" applyBorder="1" applyProtection="1">
      <protection hidden="1"/>
    </xf>
    <xf numFmtId="0" fontId="7" fillId="25" borderId="0" xfId="0" applyFont="1" applyFill="1" applyProtection="1">
      <protection hidden="1"/>
    </xf>
    <xf numFmtId="0" fontId="30" fillId="7" borderId="27" xfId="0" applyFont="1" applyFill="1" applyBorder="1" applyAlignment="1" applyProtection="1">
      <alignment horizontal="center" vertical="center" wrapText="1"/>
      <protection hidden="1"/>
    </xf>
    <xf numFmtId="0" fontId="30" fillId="7" borderId="27" xfId="0" applyFont="1" applyFill="1" applyBorder="1" applyAlignment="1" applyProtection="1">
      <alignment horizontal="center" vertical="center"/>
      <protection hidden="1"/>
    </xf>
    <xf numFmtId="164" fontId="30" fillId="7" borderId="27" xfId="0" applyNumberFormat="1" applyFont="1" applyFill="1" applyBorder="1" applyAlignment="1" applyProtection="1">
      <alignment horizontal="center" vertical="center"/>
      <protection hidden="1"/>
    </xf>
    <xf numFmtId="0" fontId="49" fillId="23" borderId="27" xfId="0" applyFont="1" applyFill="1" applyBorder="1" applyAlignment="1" applyProtection="1">
      <alignment horizontal="center" vertical="center"/>
      <protection hidden="1"/>
    </xf>
    <xf numFmtId="0" fontId="75" fillId="25" borderId="2" xfId="0" applyFont="1" applyFill="1" applyBorder="1" applyAlignment="1" applyProtection="1">
      <alignment horizontal="center"/>
      <protection hidden="1"/>
    </xf>
    <xf numFmtId="0" fontId="71" fillId="4" borderId="0" xfId="0" applyFont="1" applyFill="1" applyBorder="1" applyAlignment="1" applyProtection="1">
      <protection hidden="1"/>
    </xf>
    <xf numFmtId="2" fontId="71" fillId="4" borderId="0" xfId="0" applyNumberFormat="1" applyFont="1" applyFill="1" applyBorder="1" applyAlignment="1" applyProtection="1">
      <protection hidden="1"/>
    </xf>
    <xf numFmtId="0" fontId="7" fillId="4" borderId="0" xfId="0" applyFont="1" applyFill="1" applyBorder="1" applyAlignment="1" applyProtection="1">
      <alignment wrapText="1"/>
      <protection hidden="1"/>
    </xf>
    <xf numFmtId="2" fontId="7" fillId="4" borderId="0" xfId="0" applyNumberFormat="1" applyFont="1" applyFill="1" applyBorder="1" applyAlignment="1" applyProtection="1">
      <protection hidden="1"/>
    </xf>
    <xf numFmtId="0" fontId="7" fillId="4" borderId="0" xfId="0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protection hidden="1"/>
    </xf>
    <xf numFmtId="0" fontId="7" fillId="0" borderId="0" xfId="0" applyFont="1" applyFill="1" applyBorder="1" applyAlignment="1" applyProtection="1">
      <alignment wrapText="1"/>
      <protection hidden="1"/>
    </xf>
    <xf numFmtId="2" fontId="7" fillId="0" borderId="0" xfId="0" applyNumberFormat="1" applyFont="1" applyFill="1" applyBorder="1" applyProtection="1"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22" fillId="4" borderId="2" xfId="0" applyFont="1" applyFill="1" applyBorder="1" applyAlignment="1" applyProtection="1">
      <alignment horizontal="center" vertical="center" wrapText="1"/>
      <protection locked="0"/>
    </xf>
    <xf numFmtId="0" fontId="28" fillId="7" borderId="26" xfId="0" applyFont="1" applyFill="1" applyBorder="1" applyAlignment="1" applyProtection="1">
      <alignment horizontal="center" vertical="center"/>
      <protection locked="0"/>
    </xf>
    <xf numFmtId="0" fontId="46" fillId="5" borderId="2" xfId="0" applyFont="1" applyFill="1" applyBorder="1" applyAlignment="1" applyProtection="1">
      <alignment horizontal="center" vertical="center"/>
      <protection hidden="1"/>
    </xf>
    <xf numFmtId="0" fontId="41" fillId="5" borderId="2" xfId="0" applyFont="1" applyFill="1" applyBorder="1" applyAlignment="1" applyProtection="1">
      <alignment horizontal="center" vertical="center" wrapText="1"/>
      <protection hidden="1"/>
    </xf>
    <xf numFmtId="0" fontId="46" fillId="5" borderId="2" xfId="0" applyFont="1" applyFill="1" applyBorder="1" applyAlignment="1" applyProtection="1">
      <alignment vertical="center"/>
      <protection hidden="1"/>
    </xf>
    <xf numFmtId="14" fontId="30" fillId="7" borderId="2" xfId="0" applyNumberFormat="1" applyFont="1" applyFill="1" applyBorder="1" applyAlignment="1" applyProtection="1">
      <alignment horizontal="center" vertical="center" wrapText="1"/>
      <protection hidden="1"/>
    </xf>
    <xf numFmtId="0" fontId="53" fillId="15" borderId="16" xfId="0" applyFont="1" applyFill="1" applyBorder="1" applyAlignment="1" applyProtection="1">
      <alignment horizontal="center" vertical="center" wrapText="1"/>
      <protection hidden="1"/>
    </xf>
    <xf numFmtId="0" fontId="52" fillId="15" borderId="16" xfId="0" applyFont="1" applyFill="1" applyBorder="1" applyAlignment="1" applyProtection="1">
      <alignment horizontal="center"/>
      <protection hidden="1"/>
    </xf>
    <xf numFmtId="0" fontId="29" fillId="15" borderId="0" xfId="0" applyFont="1" applyFill="1" applyBorder="1" applyAlignment="1" applyProtection="1">
      <alignment horizontal="center" vertical="center"/>
      <protection hidden="1"/>
    </xf>
    <xf numFmtId="0" fontId="43" fillId="15" borderId="0" xfId="0" applyFont="1" applyFill="1" applyBorder="1" applyAlignment="1" applyProtection="1">
      <alignment horizontal="center"/>
      <protection hidden="1"/>
    </xf>
    <xf numFmtId="0" fontId="30" fillId="0" borderId="16" xfId="0" applyFont="1" applyBorder="1" applyAlignment="1" applyProtection="1">
      <alignment horizontal="center"/>
      <protection locked="0"/>
    </xf>
    <xf numFmtId="0" fontId="30" fillId="15" borderId="16" xfId="0" applyFont="1" applyFill="1" applyBorder="1" applyAlignment="1" applyProtection="1">
      <alignment horizontal="center"/>
      <protection hidden="1"/>
    </xf>
    <xf numFmtId="0" fontId="29" fillId="15" borderId="15" xfId="0" applyFont="1" applyFill="1" applyBorder="1" applyAlignment="1" applyProtection="1">
      <alignment horizontal="center" vertical="center"/>
      <protection hidden="1"/>
    </xf>
    <xf numFmtId="0" fontId="51" fillId="15" borderId="16" xfId="0" applyFont="1" applyFill="1" applyBorder="1" applyAlignment="1" applyProtection="1">
      <alignment horizontal="left" vertical="center"/>
      <protection hidden="1"/>
    </xf>
    <xf numFmtId="0" fontId="32" fillId="4" borderId="0" xfId="0" applyFont="1" applyFill="1" applyBorder="1" applyAlignment="1" applyProtection="1">
      <alignment horizontal="center"/>
      <protection hidden="1"/>
    </xf>
    <xf numFmtId="0" fontId="29" fillId="15" borderId="0" xfId="0" applyFont="1" applyFill="1" applyBorder="1" applyAlignment="1" applyProtection="1">
      <alignment horizontal="center" vertical="center"/>
      <protection hidden="1"/>
    </xf>
    <xf numFmtId="0" fontId="0" fillId="4" borderId="0" xfId="0" applyFill="1" applyAlignment="1" applyProtection="1">
      <protection locked="0"/>
    </xf>
    <xf numFmtId="0" fontId="77" fillId="4" borderId="0" xfId="1" applyFont="1" applyFill="1" applyAlignment="1" applyProtection="1">
      <alignment horizontal="center" vertical="center"/>
      <protection hidden="1"/>
    </xf>
    <xf numFmtId="0" fontId="43" fillId="4" borderId="0" xfId="0" applyFont="1" applyFill="1" applyBorder="1" applyAlignment="1" applyProtection="1">
      <alignment vertical="center" wrapText="1"/>
      <protection hidden="1"/>
    </xf>
    <xf numFmtId="0" fontId="7" fillId="0" borderId="0" xfId="0" applyFont="1" applyBorder="1" applyProtection="1">
      <protection hidden="1"/>
    </xf>
    <xf numFmtId="0" fontId="43" fillId="4" borderId="0" xfId="0" applyFont="1" applyFill="1" applyBorder="1" applyAlignment="1" applyProtection="1">
      <alignment horizontal="center" vertical="center" wrapText="1"/>
      <protection hidden="1"/>
    </xf>
    <xf numFmtId="0" fontId="7" fillId="0" borderId="21" xfId="0" applyFont="1" applyBorder="1" applyProtection="1">
      <protection hidden="1"/>
    </xf>
    <xf numFmtId="0" fontId="7" fillId="15" borderId="12" xfId="0" applyFont="1" applyFill="1" applyBorder="1" applyAlignment="1" applyProtection="1">
      <alignment horizontal="center" vertical="center"/>
      <protection hidden="1"/>
    </xf>
    <xf numFmtId="0" fontId="7" fillId="15" borderId="13" xfId="0" applyFont="1" applyFill="1" applyBorder="1" applyAlignment="1" applyProtection="1">
      <alignment horizontal="center" vertical="center"/>
      <protection hidden="1"/>
    </xf>
    <xf numFmtId="0" fontId="68" fillId="0" borderId="0" xfId="0" applyFont="1" applyBorder="1" applyAlignment="1" applyProtection="1">
      <alignment vertical="center"/>
      <protection hidden="1"/>
    </xf>
    <xf numFmtId="0" fontId="68" fillId="0" borderId="21" xfId="0" applyFont="1" applyBorder="1" applyAlignment="1" applyProtection="1">
      <alignment horizontal="center" vertical="center"/>
      <protection hidden="1"/>
    </xf>
    <xf numFmtId="0" fontId="26" fillId="15" borderId="0" xfId="0" applyFont="1" applyFill="1" applyBorder="1" applyAlignment="1" applyProtection="1">
      <alignment vertical="center" wrapText="1"/>
      <protection hidden="1"/>
    </xf>
    <xf numFmtId="0" fontId="26" fillId="0" borderId="0" xfId="0" applyFont="1" applyBorder="1" applyAlignment="1" applyProtection="1">
      <alignment vertical="top"/>
      <protection hidden="1"/>
    </xf>
    <xf numFmtId="0" fontId="7" fillId="15" borderId="0" xfId="0" applyFont="1" applyFill="1" applyProtection="1">
      <protection locked="0"/>
    </xf>
    <xf numFmtId="0" fontId="43" fillId="15" borderId="0" xfId="0" applyFont="1" applyFill="1" applyBorder="1" applyAlignment="1" applyProtection="1">
      <alignment horizontal="center" vertical="center" wrapText="1"/>
      <protection hidden="1"/>
    </xf>
    <xf numFmtId="0" fontId="43" fillId="15" borderId="0" xfId="0" applyFont="1" applyFill="1" applyBorder="1" applyAlignment="1" applyProtection="1">
      <alignment vertical="center" wrapText="1"/>
      <protection hidden="1"/>
    </xf>
    <xf numFmtId="0" fontId="43" fillId="15" borderId="13" xfId="0" applyFont="1" applyFill="1" applyBorder="1" applyAlignment="1" applyProtection="1">
      <alignment horizontal="center" vertical="center" wrapText="1"/>
      <protection hidden="1"/>
    </xf>
    <xf numFmtId="0" fontId="43" fillId="15" borderId="14" xfId="0" applyFont="1" applyFill="1" applyBorder="1" applyAlignment="1" applyProtection="1">
      <alignment horizontal="center" vertical="center" wrapText="1"/>
      <protection hidden="1"/>
    </xf>
    <xf numFmtId="0" fontId="43" fillId="15" borderId="16" xfId="0" applyFont="1" applyFill="1" applyBorder="1" applyAlignment="1" applyProtection="1">
      <alignment vertical="center" wrapText="1"/>
      <protection hidden="1"/>
    </xf>
    <xf numFmtId="0" fontId="43" fillId="15" borderId="21" xfId="0" applyFont="1" applyFill="1" applyBorder="1" applyAlignment="1" applyProtection="1">
      <alignment vertical="center" wrapText="1"/>
      <protection hidden="1"/>
    </xf>
    <xf numFmtId="0" fontId="43" fillId="15" borderId="24" xfId="0" applyFont="1" applyFill="1" applyBorder="1" applyAlignment="1" applyProtection="1">
      <alignment vertical="center" wrapText="1"/>
      <protection hidden="1"/>
    </xf>
    <xf numFmtId="0" fontId="29" fillId="15" borderId="16" xfId="0" applyFont="1" applyFill="1" applyBorder="1" applyAlignment="1" applyProtection="1">
      <alignment horizontal="center" vertical="center"/>
      <protection hidden="1"/>
    </xf>
    <xf numFmtId="0" fontId="28" fillId="15" borderId="21" xfId="0" applyFont="1" applyFill="1" applyBorder="1" applyAlignment="1" applyProtection="1">
      <alignment vertical="center"/>
      <protection hidden="1"/>
    </xf>
    <xf numFmtId="0" fontId="29" fillId="4" borderId="0" xfId="0" applyFont="1" applyFill="1" applyAlignment="1" applyProtection="1">
      <alignment horizontal="center" vertical="center"/>
      <protection locked="0"/>
    </xf>
    <xf numFmtId="0" fontId="0" fillId="15" borderId="0" xfId="0" applyFill="1" applyBorder="1"/>
    <xf numFmtId="0" fontId="7" fillId="4" borderId="0" xfId="0" applyFont="1" applyFill="1" applyBorder="1" applyAlignment="1" applyProtection="1">
      <alignment horizontal="center"/>
      <protection locked="0"/>
    </xf>
    <xf numFmtId="0" fontId="29" fillId="4" borderId="0" xfId="0" applyFont="1" applyFill="1" applyBorder="1" applyAlignment="1" applyProtection="1">
      <alignment horizontal="right" vertical="center"/>
      <protection locked="0"/>
    </xf>
    <xf numFmtId="0" fontId="0" fillId="15" borderId="12" xfId="0" applyFill="1" applyBorder="1" applyAlignment="1" applyProtection="1">
      <protection locked="0"/>
    </xf>
    <xf numFmtId="0" fontId="7" fillId="15" borderId="13" xfId="0" applyFont="1" applyFill="1" applyBorder="1" applyAlignment="1" applyProtection="1">
      <alignment horizontal="center"/>
      <protection locked="0"/>
    </xf>
    <xf numFmtId="0" fontId="7" fillId="15" borderId="14" xfId="0" applyFont="1" applyFill="1" applyBorder="1" applyAlignment="1" applyProtection="1">
      <alignment horizontal="center"/>
      <protection locked="0"/>
    </xf>
    <xf numFmtId="0" fontId="0" fillId="15" borderId="15" xfId="0" applyFill="1" applyBorder="1" applyAlignment="1" applyProtection="1">
      <protection locked="0"/>
    </xf>
    <xf numFmtId="0" fontId="50" fillId="15" borderId="16" xfId="0" applyFont="1" applyFill="1" applyBorder="1" applyAlignment="1" applyProtection="1">
      <alignment horizontal="center" vertical="center" wrapText="1"/>
      <protection hidden="1"/>
    </xf>
    <xf numFmtId="0" fontId="30" fillId="15" borderId="16" xfId="0" applyFont="1" applyFill="1" applyBorder="1" applyAlignment="1" applyProtection="1">
      <alignment vertical="center" textRotation="90" wrapText="1"/>
      <protection hidden="1"/>
    </xf>
    <xf numFmtId="0" fontId="28" fillId="15" borderId="16" xfId="0" applyFont="1" applyFill="1" applyBorder="1" applyAlignment="1" applyProtection="1">
      <alignment horizontal="center" vertical="center" wrapText="1"/>
      <protection hidden="1"/>
    </xf>
    <xf numFmtId="1" fontId="28" fillId="15" borderId="16" xfId="0" applyNumberFormat="1" applyFont="1" applyFill="1" applyBorder="1" applyAlignment="1" applyProtection="1">
      <alignment horizontal="center"/>
      <protection hidden="1"/>
    </xf>
    <xf numFmtId="0" fontId="29" fillId="15" borderId="16" xfId="0" applyFont="1" applyFill="1" applyBorder="1" applyAlignment="1" applyProtection="1">
      <alignment horizontal="center" vertical="center" textRotation="90"/>
      <protection hidden="1"/>
    </xf>
    <xf numFmtId="1" fontId="28" fillId="15" borderId="16" xfId="0" applyNumberFormat="1" applyFont="1" applyFill="1" applyBorder="1" applyAlignment="1" applyProtection="1">
      <alignment horizontal="center" vertical="top" wrapText="1"/>
      <protection hidden="1"/>
    </xf>
    <xf numFmtId="0" fontId="29" fillId="15" borderId="16" xfId="0" applyFont="1" applyFill="1" applyBorder="1" applyAlignment="1" applyProtection="1">
      <alignment vertical="center" wrapText="1"/>
      <protection hidden="1"/>
    </xf>
    <xf numFmtId="0" fontId="81" fillId="15" borderId="16" xfId="0" applyFont="1" applyFill="1" applyBorder="1" applyAlignment="1" applyProtection="1">
      <alignment horizontal="center" vertical="center"/>
      <protection hidden="1"/>
    </xf>
    <xf numFmtId="0" fontId="0" fillId="15" borderId="23" xfId="0" applyFill="1" applyBorder="1" applyAlignment="1" applyProtection="1">
      <protection locked="0"/>
    </xf>
    <xf numFmtId="0" fontId="7" fillId="15" borderId="24" xfId="0" applyFont="1" applyFill="1" applyBorder="1" applyAlignment="1" applyProtection="1">
      <alignment horizontal="center"/>
      <protection locked="0"/>
    </xf>
    <xf numFmtId="0" fontId="28" fillId="15" borderId="15" xfId="0" applyFont="1" applyFill="1" applyBorder="1" applyAlignment="1" applyProtection="1">
      <alignment vertical="center"/>
      <protection hidden="1"/>
    </xf>
    <xf numFmtId="0" fontId="28" fillId="15" borderId="23" xfId="0" applyFont="1" applyFill="1" applyBorder="1" applyAlignment="1" applyProtection="1">
      <alignment vertical="center"/>
      <protection hidden="1"/>
    </xf>
    <xf numFmtId="0" fontId="7" fillId="15" borderId="0" xfId="0" applyFont="1" applyFill="1" applyBorder="1" applyAlignment="1" applyProtection="1">
      <alignment horizontal="left" vertical="center"/>
      <protection hidden="1"/>
    </xf>
    <xf numFmtId="0" fontId="29" fillId="15" borderId="0" xfId="0" applyFont="1" applyFill="1" applyBorder="1" applyAlignment="1" applyProtection="1">
      <alignment horizontal="left"/>
      <protection hidden="1"/>
    </xf>
    <xf numFmtId="0" fontId="79" fillId="0" borderId="21" xfId="0" applyFont="1" applyBorder="1" applyAlignment="1" applyProtection="1">
      <alignment horizontal="center" vertical="center"/>
      <protection hidden="1"/>
    </xf>
    <xf numFmtId="0" fontId="33" fillId="0" borderId="21" xfId="0" applyFont="1" applyBorder="1" applyAlignment="1" applyProtection="1">
      <alignment horizontal="center" vertical="center" wrapText="1"/>
      <protection hidden="1"/>
    </xf>
    <xf numFmtId="0" fontId="0" fillId="15" borderId="12" xfId="0" applyFill="1" applyBorder="1" applyAlignment="1" applyProtection="1">
      <alignment horizontal="center" vertical="center"/>
      <protection hidden="1"/>
    </xf>
    <xf numFmtId="0" fontId="0" fillId="15" borderId="15" xfId="0" applyFill="1" applyBorder="1" applyProtection="1">
      <protection hidden="1"/>
    </xf>
    <xf numFmtId="0" fontId="0" fillId="15" borderId="23" xfId="0" applyFill="1" applyBorder="1" applyProtection="1">
      <protection hidden="1"/>
    </xf>
    <xf numFmtId="0" fontId="7" fillId="15" borderId="21" xfId="0" applyFont="1" applyFill="1" applyBorder="1" applyProtection="1">
      <protection hidden="1"/>
    </xf>
    <xf numFmtId="0" fontId="0" fillId="15" borderId="15" xfId="0" applyFill="1" applyBorder="1" applyAlignment="1" applyProtection="1">
      <alignment horizontal="center" vertical="center"/>
      <protection hidden="1"/>
    </xf>
    <xf numFmtId="0" fontId="43" fillId="15" borderId="16" xfId="0" applyFont="1" applyFill="1" applyBorder="1" applyAlignment="1" applyProtection="1">
      <alignment horizontal="center" vertical="center" wrapText="1"/>
      <protection hidden="1"/>
    </xf>
    <xf numFmtId="0" fontId="7" fillId="15" borderId="23" xfId="0" applyFont="1" applyFill="1" applyBorder="1" applyProtection="1">
      <protection hidden="1"/>
    </xf>
    <xf numFmtId="0" fontId="68" fillId="0" borderId="21" xfId="0" applyFont="1" applyBorder="1" applyAlignment="1" applyProtection="1">
      <alignment vertical="center"/>
      <protection hidden="1"/>
    </xf>
    <xf numFmtId="0" fontId="29" fillId="15" borderId="0" xfId="0" applyFont="1" applyFill="1" applyBorder="1" applyAlignment="1" applyProtection="1">
      <alignment horizontal="center" vertical="center"/>
      <protection locked="0"/>
    </xf>
    <xf numFmtId="0" fontId="82" fillId="4" borderId="0" xfId="0" applyFont="1" applyFill="1" applyAlignment="1">
      <alignment horizontal="center" vertical="center"/>
    </xf>
    <xf numFmtId="0" fontId="82" fillId="15" borderId="15" xfId="0" applyFont="1" applyFill="1" applyBorder="1" applyAlignment="1" applyProtection="1">
      <alignment horizontal="center" vertical="center"/>
      <protection locked="0"/>
    </xf>
    <xf numFmtId="0" fontId="41" fillId="15" borderId="16" xfId="0" applyFont="1" applyFill="1" applyBorder="1" applyAlignment="1" applyProtection="1">
      <alignment horizontal="center" vertical="center"/>
      <protection hidden="1"/>
    </xf>
    <xf numFmtId="0" fontId="82" fillId="15" borderId="0" xfId="0" applyFont="1" applyFill="1" applyBorder="1" applyAlignment="1">
      <alignment horizontal="center" vertical="center"/>
    </xf>
    <xf numFmtId="0" fontId="38" fillId="4" borderId="0" xfId="0" applyFont="1" applyFill="1" applyAlignment="1" applyProtection="1">
      <alignment vertical="center" wrapText="1"/>
      <protection hidden="1"/>
    </xf>
    <xf numFmtId="0" fontId="6" fillId="4" borderId="0" xfId="0" applyFont="1" applyFill="1" applyBorder="1" applyAlignment="1" applyProtection="1">
      <alignment horizontal="center" vertical="center"/>
      <protection hidden="1"/>
    </xf>
    <xf numFmtId="0" fontId="32" fillId="4" borderId="1" xfId="0" applyFont="1" applyFill="1" applyBorder="1" applyAlignment="1" applyProtection="1">
      <alignment horizontal="center" vertical="center"/>
      <protection hidden="1"/>
    </xf>
    <xf numFmtId="0" fontId="33" fillId="4" borderId="0" xfId="0" applyFont="1" applyFill="1" applyBorder="1" applyAlignment="1" applyProtection="1">
      <alignment horizontal="center" vertical="center"/>
      <protection hidden="1"/>
    </xf>
    <xf numFmtId="0" fontId="33" fillId="0" borderId="0" xfId="0" applyFont="1" applyAlignment="1" applyProtection="1">
      <alignment horizontal="center" vertical="center"/>
    </xf>
    <xf numFmtId="0" fontId="32" fillId="4" borderId="0" xfId="0" applyFont="1" applyFill="1" applyBorder="1" applyAlignment="1" applyProtection="1">
      <alignment horizontal="right" vertical="center"/>
      <protection hidden="1"/>
    </xf>
    <xf numFmtId="0" fontId="69" fillId="15" borderId="13" xfId="0" applyFont="1" applyFill="1" applyBorder="1" applyAlignment="1" applyProtection="1">
      <alignment horizontal="center" vertical="top" wrapText="1"/>
      <protection hidden="1"/>
    </xf>
    <xf numFmtId="0" fontId="7" fillId="15" borderId="13" xfId="0" applyFont="1" applyFill="1" applyBorder="1" applyProtection="1">
      <protection hidden="1"/>
    </xf>
    <xf numFmtId="0" fontId="82" fillId="15" borderId="15" xfId="0" applyFont="1" applyFill="1" applyBorder="1" applyAlignment="1">
      <alignment horizontal="center" vertical="center"/>
    </xf>
    <xf numFmtId="0" fontId="61" fillId="4" borderId="0" xfId="0" applyFont="1" applyFill="1" applyAlignment="1" applyProtection="1">
      <alignment vertical="center" wrapText="1"/>
      <protection hidden="1"/>
    </xf>
    <xf numFmtId="0" fontId="37" fillId="4" borderId="0" xfId="0" applyFont="1" applyFill="1" applyAlignment="1" applyProtection="1">
      <alignment vertical="center" wrapText="1"/>
      <protection hidden="1"/>
    </xf>
    <xf numFmtId="0" fontId="82" fillId="4" borderId="0" xfId="0" applyFont="1" applyFill="1" applyProtection="1">
      <protection hidden="1"/>
    </xf>
    <xf numFmtId="0" fontId="29" fillId="7" borderId="5" xfId="0" applyFont="1" applyFill="1" applyBorder="1" applyAlignment="1" applyProtection="1">
      <alignment horizontal="center" vertical="center"/>
      <protection hidden="1"/>
    </xf>
    <xf numFmtId="0" fontId="29" fillId="7" borderId="2" xfId="0" applyFont="1" applyFill="1" applyBorder="1" applyAlignment="1" applyProtection="1">
      <alignment horizontal="center" vertical="center"/>
      <protection hidden="1"/>
    </xf>
    <xf numFmtId="0" fontId="82" fillId="0" borderId="0" xfId="0" applyFont="1" applyProtection="1"/>
    <xf numFmtId="0" fontId="29" fillId="15" borderId="14" xfId="0" applyFont="1" applyFill="1" applyBorder="1" applyAlignment="1" applyProtection="1">
      <alignment horizontal="center" vertical="center" wrapText="1"/>
      <protection hidden="1"/>
    </xf>
    <xf numFmtId="0" fontId="29" fillId="15" borderId="16" xfId="0" applyFont="1" applyFill="1" applyBorder="1" applyProtection="1">
      <protection hidden="1"/>
    </xf>
    <xf numFmtId="0" fontId="29" fillId="15" borderId="16" xfId="0" applyFont="1" applyFill="1" applyBorder="1" applyAlignment="1" applyProtection="1">
      <alignment horizontal="center" vertical="center"/>
      <protection locked="0"/>
    </xf>
    <xf numFmtId="0" fontId="29" fillId="15" borderId="16" xfId="0" applyFont="1" applyFill="1" applyBorder="1" applyAlignment="1" applyProtection="1">
      <alignment horizontal="center"/>
      <protection hidden="1"/>
    </xf>
    <xf numFmtId="0" fontId="29" fillId="15" borderId="40" xfId="0" applyFont="1" applyFill="1" applyBorder="1" applyAlignment="1" applyProtection="1">
      <alignment horizontal="center" vertical="center" wrapText="1"/>
      <protection hidden="1"/>
    </xf>
    <xf numFmtId="1" fontId="29" fillId="15" borderId="40" xfId="0" applyNumberFormat="1" applyFont="1" applyFill="1" applyBorder="1" applyAlignment="1" applyProtection="1">
      <alignment horizontal="center"/>
      <protection hidden="1"/>
    </xf>
    <xf numFmtId="1" fontId="29" fillId="15" borderId="8" xfId="0" applyNumberFormat="1" applyFont="1" applyFill="1" applyBorder="1" applyAlignment="1" applyProtection="1">
      <alignment horizontal="center" vertical="top" wrapText="1"/>
      <protection hidden="1"/>
    </xf>
    <xf numFmtId="1" fontId="29" fillId="15" borderId="52" xfId="0" applyNumberFormat="1" applyFont="1" applyFill="1" applyBorder="1" applyAlignment="1" applyProtection="1">
      <alignment horizontal="center" vertical="top" wrapText="1"/>
      <protection hidden="1"/>
    </xf>
    <xf numFmtId="0" fontId="29" fillId="15" borderId="24" xfId="0" applyFont="1" applyFill="1" applyBorder="1" applyAlignment="1" applyProtection="1">
      <alignment horizontal="center"/>
      <protection hidden="1"/>
    </xf>
    <xf numFmtId="0" fontId="29" fillId="15" borderId="13" xfId="0" applyFont="1" applyFill="1" applyBorder="1" applyAlignment="1" applyProtection="1">
      <alignment horizontal="center" vertical="center" wrapText="1"/>
      <protection hidden="1"/>
    </xf>
    <xf numFmtId="0" fontId="29" fillId="15" borderId="24" xfId="0" applyFont="1" applyFill="1" applyBorder="1" applyAlignment="1" applyProtection="1">
      <alignment vertical="center" wrapText="1"/>
      <protection hidden="1"/>
    </xf>
    <xf numFmtId="0" fontId="29" fillId="15" borderId="21" xfId="0" applyFont="1" applyFill="1" applyBorder="1" applyAlignment="1" applyProtection="1">
      <alignment vertical="center" wrapText="1"/>
      <protection hidden="1"/>
    </xf>
    <xf numFmtId="0" fontId="29" fillId="4" borderId="0" xfId="0" applyFont="1" applyFill="1" applyBorder="1" applyAlignment="1" applyProtection="1">
      <alignment vertical="center" wrapText="1"/>
      <protection hidden="1"/>
    </xf>
    <xf numFmtId="0" fontId="29" fillId="15" borderId="13" xfId="0" applyFont="1" applyFill="1" applyBorder="1" applyAlignment="1" applyProtection="1">
      <alignment horizontal="center"/>
      <protection locked="0"/>
    </xf>
    <xf numFmtId="1" fontId="29" fillId="15" borderId="8" xfId="0" applyNumberFormat="1" applyFont="1" applyFill="1" applyBorder="1" applyAlignment="1" applyProtection="1">
      <alignment horizontal="center" vertical="center" wrapText="1"/>
      <protection hidden="1"/>
    </xf>
    <xf numFmtId="1" fontId="29" fillId="15" borderId="55" xfId="0" applyNumberFormat="1" applyFont="1" applyFill="1" applyBorder="1" applyAlignment="1" applyProtection="1">
      <alignment horizontal="center" vertical="center" wrapText="1"/>
      <protection hidden="1"/>
    </xf>
    <xf numFmtId="0" fontId="29" fillId="15" borderId="14" xfId="0" applyFont="1" applyFill="1" applyBorder="1" applyProtection="1">
      <protection hidden="1"/>
    </xf>
    <xf numFmtId="0" fontId="29" fillId="4" borderId="0" xfId="0" applyFont="1" applyFill="1" applyProtection="1">
      <protection locked="0"/>
    </xf>
    <xf numFmtId="0" fontId="29" fillId="15" borderId="0" xfId="0" applyFont="1" applyFill="1" applyProtection="1">
      <protection locked="0"/>
    </xf>
    <xf numFmtId="0" fontId="29" fillId="0" borderId="0" xfId="0" applyFont="1" applyProtection="1">
      <protection locked="0"/>
    </xf>
    <xf numFmtId="0" fontId="41" fillId="15" borderId="16" xfId="0" applyFont="1" applyFill="1" applyBorder="1" applyAlignment="1" applyProtection="1">
      <alignment horizontal="center" vertical="center"/>
      <protection hidden="1"/>
    </xf>
    <xf numFmtId="0" fontId="30" fillId="15" borderId="0" xfId="0" applyFont="1" applyFill="1" applyBorder="1" applyAlignment="1" applyProtection="1">
      <alignment horizontal="center"/>
      <protection hidden="1"/>
    </xf>
    <xf numFmtId="0" fontId="30" fillId="15" borderId="16" xfId="0" applyFont="1" applyFill="1" applyBorder="1" applyAlignment="1" applyProtection="1">
      <alignment horizontal="center"/>
      <protection hidden="1"/>
    </xf>
    <xf numFmtId="0" fontId="28" fillId="15" borderId="16" xfId="0" applyFont="1" applyFill="1" applyBorder="1" applyAlignment="1" applyProtection="1">
      <alignment horizontal="center" vertical="center" wrapText="1"/>
      <protection hidden="1"/>
    </xf>
    <xf numFmtId="0" fontId="29" fillId="15" borderId="0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Border="1" applyAlignment="1" applyProtection="1">
      <alignment horizontal="center"/>
      <protection hidden="1"/>
    </xf>
    <xf numFmtId="0" fontId="29" fillId="15" borderId="15" xfId="0" applyFont="1" applyFill="1" applyBorder="1" applyAlignment="1" applyProtection="1">
      <alignment horizontal="center" vertical="center"/>
      <protection hidden="1"/>
    </xf>
    <xf numFmtId="0" fontId="7" fillId="15" borderId="13" xfId="0" applyFont="1" applyFill="1" applyBorder="1" applyAlignment="1" applyProtection="1">
      <alignment horizontal="center"/>
      <protection hidden="1"/>
    </xf>
    <xf numFmtId="0" fontId="7" fillId="15" borderId="13" xfId="0" applyFont="1" applyFill="1" applyBorder="1" applyAlignment="1" applyProtection="1">
      <protection hidden="1"/>
    </xf>
    <xf numFmtId="0" fontId="87" fillId="15" borderId="16" xfId="0" applyFont="1" applyFill="1" applyBorder="1" applyAlignment="1" applyProtection="1">
      <alignment horizontal="center" vertical="center" wrapText="1"/>
      <protection hidden="1"/>
    </xf>
    <xf numFmtId="0" fontId="87" fillId="15" borderId="16" xfId="0" applyFont="1" applyFill="1" applyBorder="1" applyAlignment="1" applyProtection="1">
      <alignment horizontal="center"/>
      <protection hidden="1"/>
    </xf>
    <xf numFmtId="1" fontId="28" fillId="15" borderId="16" xfId="0" applyNumberFormat="1" applyFont="1" applyFill="1" applyBorder="1" applyAlignment="1" applyProtection="1">
      <alignment horizontal="center" vertical="center" wrapText="1"/>
      <protection hidden="1"/>
    </xf>
    <xf numFmtId="0" fontId="29" fillId="15" borderId="47" xfId="0" applyFont="1" applyFill="1" applyBorder="1" applyAlignment="1" applyProtection="1">
      <alignment vertical="center" wrapText="1"/>
      <protection hidden="1"/>
    </xf>
    <xf numFmtId="0" fontId="29" fillId="15" borderId="48" xfId="0" applyFont="1" applyFill="1" applyBorder="1" applyAlignment="1" applyProtection="1">
      <alignment vertical="center" wrapText="1"/>
      <protection hidden="1"/>
    </xf>
    <xf numFmtId="0" fontId="29" fillId="15" borderId="49" xfId="0" applyFont="1" applyFill="1" applyBorder="1" applyAlignment="1" applyProtection="1">
      <alignment vertical="center" wrapText="1"/>
      <protection hidden="1"/>
    </xf>
    <xf numFmtId="0" fontId="43" fillId="15" borderId="21" xfId="0" applyFont="1" applyFill="1" applyBorder="1" applyAlignment="1" applyProtection="1">
      <alignment horizontal="center"/>
      <protection hidden="1"/>
    </xf>
    <xf numFmtId="0" fontId="7" fillId="15" borderId="14" xfId="0" applyFont="1" applyFill="1" applyBorder="1" applyAlignment="1" applyProtection="1">
      <alignment horizontal="center"/>
      <protection hidden="1"/>
    </xf>
    <xf numFmtId="0" fontId="0" fillId="4" borderId="0" xfId="0" applyFill="1" applyAlignment="1" applyProtection="1">
      <protection hidden="1"/>
    </xf>
    <xf numFmtId="0" fontId="0" fillId="15" borderId="0" xfId="0" applyFill="1" applyBorder="1" applyProtection="1">
      <protection hidden="1"/>
    </xf>
    <xf numFmtId="0" fontId="0" fillId="15" borderId="12" xfId="0" applyFill="1" applyBorder="1" applyAlignment="1" applyProtection="1">
      <protection hidden="1"/>
    </xf>
    <xf numFmtId="0" fontId="0" fillId="15" borderId="15" xfId="0" applyFill="1" applyBorder="1" applyAlignment="1" applyProtection="1">
      <protection hidden="1"/>
    </xf>
    <xf numFmtId="0" fontId="86" fillId="4" borderId="0" xfId="0" applyFont="1" applyFill="1" applyProtection="1">
      <protection hidden="1"/>
    </xf>
    <xf numFmtId="0" fontId="86" fillId="15" borderId="15" xfId="0" applyFont="1" applyFill="1" applyBorder="1" applyAlignment="1" applyProtection="1">
      <protection hidden="1"/>
    </xf>
    <xf numFmtId="0" fontId="28" fillId="15" borderId="16" xfId="0" applyFont="1" applyFill="1" applyBorder="1" applyAlignment="1" applyProtection="1">
      <alignment horizontal="center" vertical="center"/>
      <protection hidden="1"/>
    </xf>
    <xf numFmtId="0" fontId="86" fillId="15" borderId="0" xfId="0" applyFont="1" applyFill="1" applyBorder="1" applyProtection="1">
      <protection hidden="1"/>
    </xf>
    <xf numFmtId="0" fontId="30" fillId="0" borderId="16" xfId="0" applyFont="1" applyBorder="1" applyAlignment="1" applyProtection="1">
      <alignment horizont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0" fontId="7" fillId="15" borderId="15" xfId="0" applyFont="1" applyFill="1" applyBorder="1" applyAlignment="1" applyProtection="1">
      <alignment horizontal="center" vertical="center"/>
      <protection hidden="1"/>
    </xf>
    <xf numFmtId="0" fontId="7" fillId="15" borderId="0" xfId="0" applyFont="1" applyFill="1" applyBorder="1" applyAlignment="1" applyProtection="1">
      <alignment horizontal="center" vertical="center"/>
      <protection hidden="1"/>
    </xf>
    <xf numFmtId="0" fontId="82" fillId="4" borderId="0" xfId="0" applyFont="1" applyFill="1" applyAlignment="1" applyProtection="1">
      <alignment horizontal="center" vertical="center"/>
      <protection hidden="1"/>
    </xf>
    <xf numFmtId="0" fontId="82" fillId="15" borderId="15" xfId="0" applyFont="1" applyFill="1" applyBorder="1" applyAlignment="1" applyProtection="1">
      <alignment horizontal="center" vertical="center"/>
      <protection hidden="1"/>
    </xf>
    <xf numFmtId="0" fontId="82" fillId="15" borderId="0" xfId="0" applyFont="1" applyFill="1" applyBorder="1" applyAlignment="1" applyProtection="1">
      <alignment horizontal="center" vertical="center"/>
      <protection hidden="1"/>
    </xf>
    <xf numFmtId="0" fontId="0" fillId="15" borderId="23" xfId="0" applyFill="1" applyBorder="1" applyAlignment="1" applyProtection="1">
      <protection hidden="1"/>
    </xf>
    <xf numFmtId="0" fontId="7" fillId="15" borderId="24" xfId="0" applyFont="1" applyFill="1" applyBorder="1" applyAlignment="1" applyProtection="1">
      <alignment horizontal="center"/>
      <protection hidden="1"/>
    </xf>
    <xf numFmtId="0" fontId="29" fillId="4" borderId="0" xfId="0" applyFont="1" applyFill="1" applyBorder="1" applyAlignment="1" applyProtection="1">
      <alignment horizontal="right" vertical="center"/>
      <protection hidden="1"/>
    </xf>
    <xf numFmtId="0" fontId="28" fillId="15" borderId="2" xfId="0" applyFont="1" applyFill="1" applyBorder="1" applyAlignment="1" applyProtection="1">
      <alignment horizontal="center" vertical="center" wrapText="1"/>
      <protection hidden="1"/>
    </xf>
    <xf numFmtId="0" fontId="28" fillId="15" borderId="10" xfId="0" applyFont="1" applyFill="1" applyBorder="1" applyAlignment="1" applyProtection="1">
      <alignment horizontal="center" vertical="center" wrapText="1"/>
      <protection hidden="1"/>
    </xf>
    <xf numFmtId="0" fontId="29" fillId="15" borderId="17" xfId="0" applyFont="1" applyFill="1" applyBorder="1" applyAlignment="1" applyProtection="1">
      <alignment vertical="center" wrapText="1"/>
      <protection hidden="1"/>
    </xf>
    <xf numFmtId="0" fontId="29" fillId="15" borderId="40" xfId="0" applyFont="1" applyFill="1" applyBorder="1" applyAlignment="1" applyProtection="1">
      <alignment vertical="center" wrapText="1"/>
      <protection hidden="1"/>
    </xf>
    <xf numFmtId="1" fontId="28" fillId="15" borderId="19" xfId="0" applyNumberFormat="1" applyFont="1" applyFill="1" applyBorder="1" applyAlignment="1" applyProtection="1">
      <alignment vertical="center" wrapText="1"/>
      <protection hidden="1"/>
    </xf>
    <xf numFmtId="1" fontId="28" fillId="15" borderId="40" xfId="0" applyNumberFormat="1" applyFont="1" applyFill="1" applyBorder="1" applyAlignment="1" applyProtection="1">
      <alignment vertical="center" wrapText="1"/>
      <protection hidden="1"/>
    </xf>
    <xf numFmtId="0" fontId="28" fillId="15" borderId="3" xfId="0" applyFont="1" applyFill="1" applyBorder="1" applyAlignment="1" applyProtection="1">
      <alignment horizontal="center" vertical="center" wrapText="1"/>
      <protection hidden="1"/>
    </xf>
    <xf numFmtId="0" fontId="32" fillId="15" borderId="16" xfId="0" applyFont="1" applyFill="1" applyBorder="1" applyAlignment="1" applyProtection="1">
      <alignment vertical="center"/>
      <protection hidden="1"/>
    </xf>
    <xf numFmtId="0" fontId="89" fillId="15" borderId="0" xfId="0" applyFont="1" applyFill="1" applyBorder="1" applyAlignment="1" applyProtection="1">
      <alignment horizontal="center" vertical="center" wrapText="1"/>
      <protection hidden="1"/>
    </xf>
    <xf numFmtId="0" fontId="89" fillId="4" borderId="0" xfId="0" applyFont="1" applyFill="1" applyBorder="1" applyAlignment="1" applyProtection="1">
      <alignment horizontal="center" vertical="center" wrapText="1"/>
      <protection hidden="1"/>
    </xf>
    <xf numFmtId="1" fontId="29" fillId="15" borderId="16" xfId="0" applyNumberFormat="1" applyFont="1" applyFill="1" applyBorder="1" applyAlignment="1" applyProtection="1">
      <alignment horizontal="center" vertical="top" wrapText="1"/>
      <protection hidden="1"/>
    </xf>
    <xf numFmtId="0" fontId="29" fillId="15" borderId="15" xfId="0" applyFont="1" applyFill="1" applyBorder="1" applyAlignment="1" applyProtection="1">
      <alignment vertical="center" wrapText="1"/>
      <protection hidden="1"/>
    </xf>
    <xf numFmtId="0" fontId="29" fillId="15" borderId="0" xfId="0" applyFont="1" applyFill="1" applyBorder="1" applyAlignment="1" applyProtection="1">
      <alignment vertical="center" wrapText="1"/>
      <protection hidden="1"/>
    </xf>
    <xf numFmtId="0" fontId="39" fillId="15" borderId="47" xfId="0" applyFont="1" applyFill="1" applyBorder="1" applyAlignment="1" applyProtection="1">
      <alignment horizontal="center" vertical="center" wrapText="1"/>
      <protection hidden="1"/>
    </xf>
    <xf numFmtId="0" fontId="39" fillId="15" borderId="48" xfId="0" applyFont="1" applyFill="1" applyBorder="1" applyAlignment="1" applyProtection="1">
      <alignment horizontal="center" vertical="center" wrapText="1"/>
      <protection hidden="1"/>
    </xf>
    <xf numFmtId="1" fontId="28" fillId="15" borderId="48" xfId="0" applyNumberFormat="1" applyFont="1" applyFill="1" applyBorder="1" applyAlignment="1" applyProtection="1">
      <alignment horizontal="center" vertical="top" wrapText="1"/>
      <protection hidden="1"/>
    </xf>
    <xf numFmtId="1" fontId="29" fillId="15" borderId="49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8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8" xfId="0" applyNumberFormat="1" applyFont="1" applyFill="1" applyBorder="1" applyAlignment="1" applyProtection="1">
      <alignment horizontal="center" vertical="center" wrapText="1"/>
      <protection hidden="1"/>
    </xf>
    <xf numFmtId="1" fontId="28" fillId="15" borderId="55" xfId="0" applyNumberFormat="1" applyFont="1" applyFill="1" applyBorder="1" applyAlignment="1" applyProtection="1">
      <alignment horizontal="center" vertical="center" wrapText="1"/>
      <protection hidden="1"/>
    </xf>
    <xf numFmtId="0" fontId="28" fillId="7" borderId="36" xfId="0" applyFont="1" applyFill="1" applyBorder="1" applyAlignment="1" applyProtection="1">
      <alignment horizontal="center" vertical="center"/>
      <protection hidden="1"/>
    </xf>
    <xf numFmtId="0" fontId="28" fillId="7" borderId="26" xfId="0" applyFont="1" applyFill="1" applyBorder="1" applyAlignment="1" applyProtection="1">
      <alignment horizontal="center" vertical="center"/>
      <protection hidden="1"/>
    </xf>
    <xf numFmtId="0" fontId="86" fillId="0" borderId="0" xfId="0" applyFont="1" applyProtection="1"/>
    <xf numFmtId="0" fontId="26" fillId="7" borderId="26" xfId="0" applyFont="1" applyFill="1" applyBorder="1" applyAlignment="1" applyProtection="1">
      <alignment horizontal="center" vertical="center"/>
      <protection hidden="1"/>
    </xf>
    <xf numFmtId="0" fontId="32" fillId="7" borderId="26" xfId="0" applyFont="1" applyFill="1" applyBorder="1" applyAlignment="1" applyProtection="1">
      <alignment horizontal="center" vertical="center"/>
      <protection locked="0"/>
    </xf>
    <xf numFmtId="0" fontId="26" fillId="7" borderId="2" xfId="0" applyFont="1" applyFill="1" applyBorder="1" applyAlignment="1" applyProtection="1">
      <alignment horizontal="center" vertical="center" wrapText="1"/>
      <protection locked="0"/>
    </xf>
    <xf numFmtId="0" fontId="29" fillId="15" borderId="16" xfId="0" applyFont="1" applyFill="1" applyBorder="1" applyAlignment="1" applyProtection="1">
      <alignment horizontal="center" vertical="center" wrapText="1"/>
      <protection hidden="1"/>
    </xf>
    <xf numFmtId="0" fontId="39" fillId="15" borderId="15" xfId="0" applyFont="1" applyFill="1" applyBorder="1" applyAlignment="1" applyProtection="1">
      <alignment horizontal="center" vertical="center" wrapText="1"/>
      <protection hidden="1"/>
    </xf>
    <xf numFmtId="0" fontId="39" fillId="15" borderId="0" xfId="0" applyFont="1" applyFill="1" applyBorder="1" applyAlignment="1" applyProtection="1">
      <alignment horizontal="center" vertical="center" wrapText="1"/>
      <protection hidden="1"/>
    </xf>
    <xf numFmtId="1" fontId="28" fillId="15" borderId="16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0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0" xfId="0" applyNumberFormat="1" applyFont="1" applyFill="1" applyBorder="1" applyAlignment="1">
      <alignment horizontal="center" vertical="center"/>
    </xf>
    <xf numFmtId="0" fontId="29" fillId="15" borderId="12" xfId="0" applyFont="1" applyFill="1" applyBorder="1" applyAlignment="1" applyProtection="1">
      <alignment vertical="center" wrapText="1"/>
      <protection hidden="1"/>
    </xf>
    <xf numFmtId="0" fontId="29" fillId="15" borderId="13" xfId="0" applyFont="1" applyFill="1" applyBorder="1" applyAlignment="1" applyProtection="1">
      <alignment vertical="center" wrapText="1"/>
      <protection hidden="1"/>
    </xf>
    <xf numFmtId="0" fontId="29" fillId="15" borderId="14" xfId="0" applyFont="1" applyFill="1" applyBorder="1" applyAlignment="1" applyProtection="1">
      <alignment vertical="center" wrapText="1"/>
      <protection hidden="1"/>
    </xf>
    <xf numFmtId="0" fontId="30" fillId="15" borderId="23" xfId="0" applyFont="1" applyFill="1" applyBorder="1" applyAlignment="1" applyProtection="1">
      <protection hidden="1"/>
    </xf>
    <xf numFmtId="0" fontId="30" fillId="15" borderId="21" xfId="0" applyFont="1" applyFill="1" applyBorder="1" applyAlignment="1" applyProtection="1">
      <protection hidden="1"/>
    </xf>
    <xf numFmtId="0" fontId="7" fillId="15" borderId="21" xfId="0" applyFont="1" applyFill="1" applyBorder="1" applyProtection="1">
      <protection locked="0"/>
    </xf>
    <xf numFmtId="0" fontId="29" fillId="15" borderId="24" xfId="0" applyFont="1" applyFill="1" applyBorder="1" applyProtection="1">
      <protection hidden="1"/>
    </xf>
    <xf numFmtId="0" fontId="11" fillId="7" borderId="2" xfId="0" applyFont="1" applyFill="1" applyBorder="1" applyAlignment="1" applyProtection="1">
      <alignment horizontal="center" vertical="center"/>
      <protection locked="0"/>
    </xf>
    <xf numFmtId="0" fontId="44" fillId="26" borderId="2" xfId="0" applyFont="1" applyFill="1" applyBorder="1" applyAlignment="1" applyProtection="1">
      <alignment horizontal="center" vertical="center"/>
      <protection hidden="1"/>
    </xf>
    <xf numFmtId="14" fontId="30" fillId="7" borderId="26" xfId="0" applyNumberFormat="1" applyFont="1" applyFill="1" applyBorder="1" applyAlignment="1" applyProtection="1">
      <alignment horizontal="center" vertical="center" wrapText="1"/>
      <protection hidden="1"/>
    </xf>
    <xf numFmtId="0" fontId="46" fillId="13" borderId="26" xfId="0" applyFont="1" applyFill="1" applyBorder="1" applyAlignment="1" applyProtection="1">
      <alignment horizontal="center" vertical="center" wrapText="1"/>
      <protection hidden="1"/>
    </xf>
    <xf numFmtId="0" fontId="40" fillId="13" borderId="26" xfId="0" applyFont="1" applyFill="1" applyBorder="1" applyAlignment="1" applyProtection="1">
      <alignment horizontal="center" vertical="center" wrapText="1"/>
      <protection hidden="1"/>
    </xf>
    <xf numFmtId="0" fontId="40" fillId="16" borderId="26" xfId="0" applyFont="1" applyFill="1" applyBorder="1" applyAlignment="1" applyProtection="1">
      <alignment horizontal="center" vertical="center" wrapText="1"/>
      <protection hidden="1"/>
    </xf>
    <xf numFmtId="0" fontId="46" fillId="11" borderId="26" xfId="0" applyFont="1" applyFill="1" applyBorder="1" applyAlignment="1" applyProtection="1">
      <alignment horizontal="center" vertical="center" wrapText="1"/>
      <protection hidden="1"/>
    </xf>
    <xf numFmtId="0" fontId="40" fillId="11" borderId="26" xfId="0" applyFont="1" applyFill="1" applyBorder="1" applyAlignment="1" applyProtection="1">
      <alignment horizontal="center" vertical="center" wrapText="1"/>
      <protection hidden="1"/>
    </xf>
    <xf numFmtId="0" fontId="45" fillId="11" borderId="26" xfId="0" applyFont="1" applyFill="1" applyBorder="1" applyAlignment="1" applyProtection="1">
      <alignment horizontal="center" vertical="center" wrapText="1"/>
      <protection hidden="1"/>
    </xf>
    <xf numFmtId="10" fontId="46" fillId="11" borderId="26" xfId="0" applyNumberFormat="1" applyFont="1" applyFill="1" applyBorder="1" applyAlignment="1" applyProtection="1">
      <alignment horizontal="center" vertical="center" wrapText="1"/>
      <protection hidden="1"/>
    </xf>
    <xf numFmtId="2" fontId="46" fillId="11" borderId="26" xfId="0" applyNumberFormat="1" applyFont="1" applyFill="1" applyBorder="1" applyAlignment="1" applyProtection="1">
      <alignment horizontal="center" vertical="center" wrapText="1"/>
      <protection hidden="1"/>
    </xf>
    <xf numFmtId="0" fontId="46" fillId="12" borderId="26" xfId="0" applyFont="1" applyFill="1" applyBorder="1" applyAlignment="1" applyProtection="1">
      <alignment horizontal="center" vertical="center" wrapText="1"/>
      <protection hidden="1"/>
    </xf>
    <xf numFmtId="0" fontId="46" fillId="2" borderId="26" xfId="0" applyFont="1" applyFill="1" applyBorder="1" applyAlignment="1" applyProtection="1">
      <alignment horizontal="center" vertical="center" wrapText="1"/>
      <protection hidden="1"/>
    </xf>
    <xf numFmtId="0" fontId="29" fillId="15" borderId="0" xfId="0" applyFont="1" applyFill="1" applyBorder="1" applyAlignment="1" applyProtection="1">
      <alignment horizontal="center" vertical="center"/>
      <protection hidden="1"/>
    </xf>
    <xf numFmtId="1" fontId="28" fillId="15" borderId="16" xfId="0" applyNumberFormat="1" applyFont="1" applyFill="1" applyBorder="1" applyAlignment="1" applyProtection="1">
      <alignment horizontal="center" vertical="top" wrapText="1"/>
      <protection hidden="1"/>
    </xf>
    <xf numFmtId="0" fontId="7" fillId="15" borderId="13" xfId="0" applyFont="1" applyFill="1" applyBorder="1" applyAlignment="1" applyProtection="1">
      <alignment horizontal="center"/>
      <protection hidden="1"/>
    </xf>
    <xf numFmtId="0" fontId="7" fillId="15" borderId="14" xfId="0" applyFont="1" applyFill="1" applyBorder="1" applyAlignment="1" applyProtection="1">
      <alignment horizontal="center"/>
      <protection hidden="1"/>
    </xf>
    <xf numFmtId="0" fontId="30" fillId="15" borderId="0" xfId="0" applyFont="1" applyFill="1" applyBorder="1" applyAlignment="1" applyProtection="1">
      <alignment horizontal="center"/>
      <protection hidden="1"/>
    </xf>
    <xf numFmtId="0" fontId="43" fillId="15" borderId="16" xfId="0" applyFont="1" applyFill="1" applyBorder="1" applyAlignment="1" applyProtection="1">
      <alignment horizontal="center"/>
      <protection hidden="1"/>
    </xf>
    <xf numFmtId="0" fontId="28" fillId="15" borderId="16" xfId="0" applyFont="1" applyFill="1" applyBorder="1" applyAlignment="1" applyProtection="1">
      <alignment horizontal="center" vertical="center" wrapText="1"/>
      <protection hidden="1"/>
    </xf>
    <xf numFmtId="0" fontId="7" fillId="4" borderId="0" xfId="0" applyFont="1" applyFill="1" applyBorder="1" applyAlignment="1" applyProtection="1">
      <alignment horizontal="center"/>
      <protection hidden="1"/>
    </xf>
    <xf numFmtId="0" fontId="29" fillId="15" borderId="15" xfId="0" applyFont="1" applyFill="1" applyBorder="1" applyAlignment="1" applyProtection="1">
      <alignment horizontal="center" vertical="center"/>
      <protection hidden="1"/>
    </xf>
    <xf numFmtId="0" fontId="30" fillId="0" borderId="16" xfId="0" applyFont="1" applyBorder="1" applyAlignment="1" applyProtection="1">
      <alignment horizontal="center"/>
      <protection hidden="1"/>
    </xf>
    <xf numFmtId="0" fontId="29" fillId="15" borderId="14" xfId="0" applyFont="1" applyFill="1" applyBorder="1" applyAlignment="1" applyProtection="1">
      <alignment horizontal="center" vertical="center" wrapText="1"/>
      <protection hidden="1"/>
    </xf>
    <xf numFmtId="0" fontId="41" fillId="15" borderId="16" xfId="0" applyFont="1" applyFill="1" applyBorder="1" applyAlignment="1" applyProtection="1">
      <alignment horizontal="center" vertical="center"/>
      <protection hidden="1"/>
    </xf>
    <xf numFmtId="0" fontId="30" fillId="15" borderId="16" xfId="0" applyFont="1" applyFill="1" applyBorder="1" applyAlignment="1" applyProtection="1">
      <alignment horizontal="center"/>
      <protection hidden="1"/>
    </xf>
    <xf numFmtId="0" fontId="81" fillId="15" borderId="16" xfId="0" applyFont="1" applyFill="1" applyBorder="1" applyAlignment="1" applyProtection="1">
      <alignment horizontal="center" vertical="center"/>
      <protection hidden="1"/>
    </xf>
    <xf numFmtId="0" fontId="53" fillId="15" borderId="16" xfId="0" applyFont="1" applyFill="1" applyBorder="1" applyAlignment="1" applyProtection="1">
      <alignment horizontal="center" vertical="center" wrapText="1"/>
      <protection hidden="1"/>
    </xf>
    <xf numFmtId="0" fontId="52" fillId="15" borderId="16" xfId="0" applyFont="1" applyFill="1" applyBorder="1" applyAlignment="1" applyProtection="1">
      <alignment horizontal="center"/>
      <protection hidden="1"/>
    </xf>
    <xf numFmtId="0" fontId="51" fillId="15" borderId="16" xfId="0" applyFont="1" applyFill="1" applyBorder="1" applyAlignment="1" applyProtection="1">
      <alignment horizontal="left" vertical="center"/>
      <protection hidden="1"/>
    </xf>
    <xf numFmtId="0" fontId="30" fillId="15" borderId="16" xfId="0" applyFont="1" applyFill="1" applyBorder="1" applyAlignment="1" applyProtection="1">
      <alignment horizontal="center" vertical="center" wrapText="1"/>
      <protection hidden="1"/>
    </xf>
    <xf numFmtId="0" fontId="30" fillId="4" borderId="0" xfId="0" applyFont="1" applyFill="1" applyBorder="1" applyAlignment="1" applyProtection="1">
      <alignment vertical="center" wrapText="1"/>
      <protection hidden="1"/>
    </xf>
    <xf numFmtId="0" fontId="0" fillId="15" borderId="15" xfId="0" applyFont="1" applyFill="1" applyBorder="1" applyProtection="1">
      <protection hidden="1"/>
    </xf>
    <xf numFmtId="0" fontId="30" fillId="0" borderId="0" xfId="0" applyFont="1" applyBorder="1" applyAlignment="1" applyProtection="1">
      <alignment vertical="top"/>
      <protection hidden="1"/>
    </xf>
    <xf numFmtId="0" fontId="30" fillId="15" borderId="16" xfId="0" applyFont="1" applyFill="1" applyBorder="1" applyAlignment="1" applyProtection="1">
      <alignment vertical="center" wrapText="1"/>
      <protection hidden="1"/>
    </xf>
    <xf numFmtId="0" fontId="30" fillId="15" borderId="0" xfId="0" applyFont="1" applyFill="1" applyBorder="1" applyAlignment="1" applyProtection="1">
      <alignment vertical="center" wrapText="1"/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0" fillId="4" borderId="0" xfId="0" applyFill="1" applyBorder="1" applyAlignment="1" applyProtection="1">
      <protection hidden="1"/>
    </xf>
    <xf numFmtId="0" fontId="29" fillId="15" borderId="13" xfId="0" applyFont="1" applyFill="1" applyBorder="1" applyAlignment="1" applyProtection="1">
      <alignment horizontal="center"/>
      <protection hidden="1"/>
    </xf>
    <xf numFmtId="0" fontId="29" fillId="4" borderId="0" xfId="0" applyFont="1" applyFill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0" fillId="15" borderId="0" xfId="0" applyFill="1" applyBorder="1" applyAlignment="1" applyProtection="1">
      <alignment horizontal="center" vertical="center"/>
      <protection hidden="1"/>
    </xf>
    <xf numFmtId="1" fontId="28" fillId="15" borderId="48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ont="1" applyFill="1" applyProtection="1">
      <protection hidden="1"/>
    </xf>
    <xf numFmtId="0" fontId="0" fillId="15" borderId="15" xfId="0" applyFont="1" applyFill="1" applyBorder="1" applyAlignment="1" applyProtection="1">
      <protection hidden="1"/>
    </xf>
    <xf numFmtId="0" fontId="0" fillId="15" borderId="0" xfId="0" applyFont="1" applyFill="1" applyBorder="1" applyProtection="1">
      <protection hidden="1"/>
    </xf>
    <xf numFmtId="0" fontId="7" fillId="15" borderId="21" xfId="0" applyFont="1" applyFill="1" applyBorder="1" applyAlignment="1" applyProtection="1">
      <protection hidden="1"/>
    </xf>
    <xf numFmtId="0" fontId="29" fillId="0" borderId="0" xfId="0" applyFont="1" applyProtection="1">
      <protection hidden="1"/>
    </xf>
    <xf numFmtId="0" fontId="0" fillId="15" borderId="0" xfId="0" applyFill="1" applyProtection="1">
      <protection hidden="1"/>
    </xf>
    <xf numFmtId="0" fontId="7" fillId="15" borderId="0" xfId="0" applyFont="1" applyFill="1" applyProtection="1">
      <protection hidden="1"/>
    </xf>
    <xf numFmtId="0" fontId="29" fillId="15" borderId="0" xfId="0" applyFont="1" applyFill="1" applyBorder="1" applyAlignment="1" applyProtection="1">
      <alignment horizontal="right" vertical="center"/>
      <protection hidden="1"/>
    </xf>
    <xf numFmtId="0" fontId="29" fillId="15" borderId="0" xfId="0" applyFont="1" applyFill="1" applyProtection="1">
      <protection hidden="1"/>
    </xf>
    <xf numFmtId="0" fontId="7" fillId="4" borderId="0" xfId="0" applyFont="1" applyFill="1" applyBorder="1" applyAlignment="1" applyProtection="1">
      <alignment horizontal="center" vertical="center"/>
      <protection hidden="1"/>
    </xf>
    <xf numFmtId="0" fontId="0" fillId="3" borderId="0" xfId="0" applyFill="1" applyBorder="1" applyProtection="1">
      <protection hidden="1"/>
    </xf>
    <xf numFmtId="0" fontId="2" fillId="6" borderId="0" xfId="0" applyFont="1" applyFill="1" applyAlignment="1" applyProtection="1">
      <alignment vertical="center" wrapText="1"/>
      <protection hidden="1"/>
    </xf>
    <xf numFmtId="0" fontId="0" fillId="0" borderId="0" xfId="0" applyBorder="1" applyProtection="1"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24" fillId="4" borderId="2" xfId="0" applyFont="1" applyFill="1" applyBorder="1" applyAlignment="1" applyProtection="1">
      <alignment horizontal="center" vertical="center"/>
      <protection locked="0"/>
    </xf>
    <xf numFmtId="0" fontId="45" fillId="26" borderId="2" xfId="0" applyFont="1" applyFill="1" applyBorder="1" applyAlignment="1" applyProtection="1">
      <alignment horizontal="center" vertical="center" wrapText="1"/>
      <protection hidden="1"/>
    </xf>
    <xf numFmtId="0" fontId="32" fillId="4" borderId="0" xfId="0" applyFont="1" applyFill="1" applyBorder="1" applyAlignment="1" applyProtection="1">
      <alignment horizontal="center"/>
      <protection hidden="1"/>
    </xf>
    <xf numFmtId="0" fontId="29" fillId="7" borderId="22" xfId="0" applyFont="1" applyFill="1" applyBorder="1" applyAlignment="1" applyProtection="1">
      <alignment horizontal="center" vertical="center" wrapText="1"/>
      <protection hidden="1"/>
    </xf>
    <xf numFmtId="0" fontId="32" fillId="10" borderId="22" xfId="0" applyFont="1" applyFill="1" applyBorder="1" applyAlignment="1" applyProtection="1">
      <alignment horizontal="center" vertical="center"/>
      <protection hidden="1"/>
    </xf>
    <xf numFmtId="0" fontId="35" fillId="10" borderId="22" xfId="0" applyFont="1" applyFill="1" applyBorder="1" applyAlignment="1" applyProtection="1">
      <alignment horizontal="center" vertical="center"/>
      <protection hidden="1"/>
    </xf>
    <xf numFmtId="0" fontId="32" fillId="9" borderId="22" xfId="0" applyFont="1" applyFill="1" applyBorder="1" applyAlignment="1" applyProtection="1">
      <alignment horizontal="center" vertical="center"/>
      <protection hidden="1"/>
    </xf>
    <xf numFmtId="0" fontId="35" fillId="9" borderId="22" xfId="0" applyFont="1" applyFill="1" applyBorder="1" applyAlignment="1" applyProtection="1">
      <alignment horizontal="center" vertical="center"/>
      <protection hidden="1"/>
    </xf>
    <xf numFmtId="0" fontId="43" fillId="20" borderId="7" xfId="0" applyFont="1" applyFill="1" applyBorder="1" applyAlignment="1" applyProtection="1">
      <alignment horizontal="center" vertical="center"/>
      <protection hidden="1"/>
    </xf>
    <xf numFmtId="0" fontId="43" fillId="20" borderId="22" xfId="0" applyFont="1" applyFill="1" applyBorder="1" applyAlignment="1" applyProtection="1">
      <alignment horizontal="center" vertical="center"/>
      <protection hidden="1"/>
    </xf>
    <xf numFmtId="0" fontId="43" fillId="20" borderId="48" xfId="0" applyFont="1" applyFill="1" applyBorder="1" applyAlignment="1" applyProtection="1">
      <alignment horizontal="center" vertical="center"/>
      <protection hidden="1"/>
    </xf>
    <xf numFmtId="0" fontId="43" fillId="20" borderId="35" xfId="0" applyFont="1" applyFill="1" applyBorder="1" applyAlignment="1" applyProtection="1">
      <alignment horizontal="center" vertical="center"/>
      <protection hidden="1"/>
    </xf>
    <xf numFmtId="0" fontId="21" fillId="4" borderId="3" xfId="0" applyFont="1" applyFill="1" applyBorder="1" applyAlignment="1" applyProtection="1">
      <alignment horizontal="center" vertical="center"/>
      <protection locked="0"/>
    </xf>
    <xf numFmtId="0" fontId="22" fillId="4" borderId="4" xfId="0" applyFont="1" applyFill="1" applyBorder="1" applyAlignment="1" applyProtection="1">
      <alignment horizontal="center" vertical="center" wrapText="1"/>
      <protection locked="0"/>
    </xf>
    <xf numFmtId="0" fontId="23" fillId="4" borderId="4" xfId="0" applyFont="1" applyFill="1" applyBorder="1" applyAlignment="1" applyProtection="1">
      <alignment horizontal="center" vertical="center" wrapText="1"/>
      <protection locked="0"/>
    </xf>
    <xf numFmtId="0" fontId="21" fillId="4" borderId="5" xfId="0" applyFont="1" applyFill="1" applyBorder="1" applyAlignment="1" applyProtection="1">
      <alignment horizontal="center" vertical="center"/>
      <protection locked="0"/>
    </xf>
    <xf numFmtId="0" fontId="24" fillId="4" borderId="5" xfId="0" applyFont="1" applyFill="1" applyBorder="1" applyAlignment="1" applyProtection="1">
      <alignment horizontal="center" vertical="center"/>
      <protection locked="0"/>
    </xf>
    <xf numFmtId="0" fontId="24" fillId="4" borderId="9" xfId="0" applyFont="1" applyFill="1" applyBorder="1" applyAlignment="1" applyProtection="1">
      <alignment horizontal="center" vertical="center"/>
      <protection locked="0"/>
    </xf>
    <xf numFmtId="0" fontId="24" fillId="4" borderId="10" xfId="0" applyFont="1" applyFill="1" applyBorder="1" applyAlignment="1" applyProtection="1">
      <alignment horizontal="center" vertical="center"/>
      <protection locked="0"/>
    </xf>
    <xf numFmtId="0" fontId="23" fillId="4" borderId="10" xfId="0" applyFont="1" applyFill="1" applyBorder="1" applyAlignment="1" applyProtection="1">
      <alignment horizontal="center" vertical="center" wrapText="1"/>
      <protection locked="0"/>
    </xf>
    <xf numFmtId="0" fontId="0" fillId="27" borderId="0" xfId="0" applyFill="1" applyBorder="1" applyProtection="1">
      <protection hidden="1"/>
    </xf>
    <xf numFmtId="0" fontId="0" fillId="27" borderId="0" xfId="0" applyFill="1" applyBorder="1" applyProtection="1"/>
    <xf numFmtId="0" fontId="7" fillId="27" borderId="13" xfId="0" applyFont="1" applyFill="1" applyBorder="1" applyProtection="1"/>
    <xf numFmtId="0" fontId="95" fillId="27" borderId="13" xfId="0" applyFont="1" applyFill="1" applyBorder="1" applyAlignment="1" applyProtection="1">
      <alignment horizontal="center" vertical="center"/>
    </xf>
    <xf numFmtId="0" fontId="0" fillId="27" borderId="0" xfId="0" applyFill="1" applyBorder="1" applyProtection="1">
      <protection locked="0"/>
    </xf>
    <xf numFmtId="0" fontId="24" fillId="4" borderId="27" xfId="0" applyFont="1" applyFill="1" applyBorder="1" applyAlignment="1" applyProtection="1">
      <alignment horizontal="center" vertical="center" wrapText="1"/>
      <protection hidden="1"/>
    </xf>
    <xf numFmtId="0" fontId="57" fillId="4" borderId="5" xfId="0" applyFont="1" applyFill="1" applyBorder="1" applyAlignment="1" applyProtection="1">
      <alignment vertical="center"/>
      <protection hidden="1"/>
    </xf>
    <xf numFmtId="0" fontId="57" fillId="4" borderId="9" xfId="0" applyFont="1" applyFill="1" applyBorder="1" applyAlignment="1" applyProtection="1">
      <alignment vertical="center"/>
      <protection hidden="1"/>
    </xf>
    <xf numFmtId="49" fontId="13" fillId="4" borderId="10" xfId="0" applyNumberFormat="1" applyFont="1" applyFill="1" applyBorder="1" applyAlignment="1" applyProtection="1">
      <alignment horizontal="left" vertical="center"/>
      <protection locked="0"/>
    </xf>
    <xf numFmtId="0" fontId="24" fillId="4" borderId="68" xfId="0" applyFont="1" applyFill="1" applyBorder="1" applyAlignment="1" applyProtection="1">
      <alignment horizontal="center" vertical="center"/>
      <protection hidden="1"/>
    </xf>
    <xf numFmtId="0" fontId="32" fillId="27" borderId="0" xfId="0" applyFont="1" applyFill="1" applyBorder="1" applyAlignment="1" applyProtection="1">
      <alignment horizontal="center" vertical="center"/>
      <protection locked="0"/>
    </xf>
    <xf numFmtId="0" fontId="32" fillId="27" borderId="0" xfId="0" applyFont="1" applyFill="1" applyBorder="1" applyAlignment="1" applyProtection="1">
      <alignment horizontal="center" vertical="center"/>
      <protection hidden="1"/>
    </xf>
    <xf numFmtId="0" fontId="32" fillId="27" borderId="0" xfId="0" applyFont="1" applyFill="1" applyBorder="1" applyAlignment="1" applyProtection="1">
      <alignment horizontal="center" vertical="center"/>
      <protection locked="0"/>
    </xf>
    <xf numFmtId="0" fontId="84" fillId="4" borderId="4" xfId="1" applyFont="1" applyFill="1" applyBorder="1" applyAlignment="1" applyProtection="1">
      <alignment horizontal="center" vertical="center"/>
      <protection hidden="1"/>
    </xf>
    <xf numFmtId="0" fontId="84" fillId="4" borderId="2" xfId="1" applyFont="1" applyFill="1" applyBorder="1" applyAlignment="1" applyProtection="1">
      <alignment horizontal="center" vertical="center"/>
      <protection hidden="1"/>
    </xf>
    <xf numFmtId="0" fontId="84" fillId="4" borderId="10" xfId="1" applyFont="1" applyFill="1" applyBorder="1" applyAlignment="1" applyProtection="1">
      <alignment horizontal="center" vertical="center"/>
      <protection hidden="1"/>
    </xf>
    <xf numFmtId="0" fontId="43" fillId="5" borderId="2" xfId="0" applyFont="1" applyFill="1" applyBorder="1" applyAlignment="1" applyProtection="1">
      <alignment horizontal="center" vertical="center" textRotation="90" wrapText="1"/>
      <protection hidden="1"/>
    </xf>
    <xf numFmtId="0" fontId="43" fillId="28" borderId="2" xfId="0" applyFont="1" applyFill="1" applyBorder="1" applyAlignment="1" applyProtection="1">
      <alignment horizontal="center" vertical="center" wrapText="1"/>
      <protection hidden="1"/>
    </xf>
    <xf numFmtId="0" fontId="46" fillId="28" borderId="2" xfId="0" applyFont="1" applyFill="1" applyBorder="1" applyAlignment="1" applyProtection="1">
      <alignment horizontal="center" vertical="center" wrapText="1"/>
      <protection hidden="1"/>
    </xf>
    <xf numFmtId="0" fontId="40" fillId="8" borderId="2" xfId="0" applyNumberFormat="1" applyFont="1" applyFill="1" applyBorder="1" applyAlignment="1" applyProtection="1">
      <alignment horizontal="center" vertical="center" wrapText="1"/>
      <protection hidden="1"/>
    </xf>
    <xf numFmtId="2" fontId="46" fillId="13" borderId="2" xfId="0" applyNumberFormat="1" applyFont="1" applyFill="1" applyBorder="1" applyAlignment="1" applyProtection="1">
      <alignment horizontal="center" vertical="center" wrapText="1"/>
      <protection hidden="1"/>
    </xf>
    <xf numFmtId="0" fontId="43" fillId="29" borderId="26" xfId="0" applyFont="1" applyFill="1" applyBorder="1" applyAlignment="1" applyProtection="1">
      <alignment horizontal="center" vertical="center" wrapText="1"/>
      <protection hidden="1"/>
    </xf>
    <xf numFmtId="0" fontId="100" fillId="29" borderId="2" xfId="0" applyFont="1" applyFill="1" applyBorder="1" applyAlignment="1" applyProtection="1">
      <alignment horizontal="center" vertical="center" wrapText="1"/>
      <protection hidden="1"/>
    </xf>
    <xf numFmtId="0" fontId="43" fillId="29" borderId="2" xfId="0" applyFont="1" applyFill="1" applyBorder="1" applyAlignment="1" applyProtection="1">
      <alignment horizontal="center" vertical="center" wrapText="1"/>
      <protection hidden="1"/>
    </xf>
    <xf numFmtId="0" fontId="29" fillId="5" borderId="7" xfId="0" applyFont="1" applyFill="1" applyBorder="1" applyAlignment="1" applyProtection="1">
      <alignment vertical="center"/>
      <protection hidden="1"/>
    </xf>
    <xf numFmtId="2" fontId="40" fillId="11" borderId="2" xfId="0" applyNumberFormat="1" applyFont="1" applyFill="1" applyBorder="1" applyAlignment="1" applyProtection="1">
      <alignment horizontal="center" vertical="center" wrapText="1"/>
      <protection hidden="1"/>
    </xf>
    <xf numFmtId="2" fontId="46" fillId="12" borderId="2" xfId="0" applyNumberFormat="1" applyFont="1" applyFill="1" applyBorder="1" applyAlignment="1" applyProtection="1">
      <alignment horizontal="center" vertical="center" wrapText="1"/>
      <protection hidden="1"/>
    </xf>
    <xf numFmtId="2" fontId="40" fillId="11" borderId="26" xfId="0" applyNumberFormat="1" applyFont="1" applyFill="1" applyBorder="1" applyAlignment="1" applyProtection="1">
      <alignment horizontal="center" vertical="center" wrapText="1"/>
      <protection hidden="1"/>
    </xf>
    <xf numFmtId="0" fontId="100" fillId="29" borderId="26" xfId="0" applyFont="1" applyFill="1" applyBorder="1" applyAlignment="1" applyProtection="1">
      <alignment horizontal="center" vertical="center" wrapText="1"/>
      <protection hidden="1"/>
    </xf>
    <xf numFmtId="0" fontId="46" fillId="28" borderId="26" xfId="0" applyFont="1" applyFill="1" applyBorder="1" applyAlignment="1" applyProtection="1">
      <alignment horizontal="center" vertical="center" wrapText="1"/>
      <protection hidden="1"/>
    </xf>
    <xf numFmtId="2" fontId="46" fillId="12" borderId="26" xfId="0" applyNumberFormat="1" applyFont="1" applyFill="1" applyBorder="1" applyAlignment="1" applyProtection="1">
      <alignment horizontal="center" vertical="center" wrapText="1"/>
      <protection hidden="1"/>
    </xf>
    <xf numFmtId="0" fontId="45" fillId="5" borderId="26" xfId="0" applyFont="1" applyFill="1" applyBorder="1" applyAlignment="1" applyProtection="1">
      <alignment horizontal="center" vertical="center" wrapText="1"/>
      <protection hidden="1"/>
    </xf>
    <xf numFmtId="2" fontId="46" fillId="13" borderId="26" xfId="0" applyNumberFormat="1" applyFont="1" applyFill="1" applyBorder="1" applyAlignment="1" applyProtection="1">
      <alignment horizontal="center" vertical="center" wrapText="1"/>
      <protection hidden="1"/>
    </xf>
    <xf numFmtId="0" fontId="30" fillId="7" borderId="3" xfId="0" applyFont="1" applyFill="1" applyBorder="1" applyAlignment="1" applyProtection="1">
      <alignment horizontal="center" vertical="center" wrapText="1"/>
      <protection hidden="1"/>
    </xf>
    <xf numFmtId="0" fontId="30" fillId="7" borderId="4" xfId="0" applyFont="1" applyFill="1" applyBorder="1" applyAlignment="1" applyProtection="1">
      <alignment horizontal="center" vertical="center"/>
      <protection hidden="1"/>
    </xf>
    <xf numFmtId="0" fontId="29" fillId="19" borderId="4" xfId="0" applyFont="1" applyFill="1" applyBorder="1" applyAlignment="1" applyProtection="1">
      <alignment horizontal="center" vertical="center"/>
      <protection hidden="1"/>
    </xf>
    <xf numFmtId="0" fontId="46" fillId="14" borderId="4" xfId="0" applyFont="1" applyFill="1" applyBorder="1" applyAlignment="1" applyProtection="1">
      <alignment horizontal="center" vertical="center" wrapText="1"/>
      <protection hidden="1"/>
    </xf>
    <xf numFmtId="0" fontId="40" fillId="14" borderId="4" xfId="0" applyFont="1" applyFill="1" applyBorder="1" applyAlignment="1" applyProtection="1">
      <alignment horizontal="center" vertical="center" wrapText="1"/>
      <protection hidden="1"/>
    </xf>
    <xf numFmtId="0" fontId="40" fillId="16" borderId="4" xfId="0" applyFont="1" applyFill="1" applyBorder="1" applyAlignment="1" applyProtection="1">
      <alignment horizontal="center" vertical="center" wrapText="1"/>
      <protection hidden="1"/>
    </xf>
    <xf numFmtId="0" fontId="40" fillId="13" borderId="4" xfId="0" applyFont="1" applyFill="1" applyBorder="1" applyAlignment="1" applyProtection="1">
      <alignment horizontal="center" vertical="center" wrapText="1"/>
      <protection hidden="1"/>
    </xf>
    <xf numFmtId="0" fontId="29" fillId="5" borderId="34" xfId="0" applyFont="1" applyFill="1" applyBorder="1" applyAlignment="1" applyProtection="1">
      <alignment vertical="center"/>
      <protection hidden="1"/>
    </xf>
    <xf numFmtId="0" fontId="29" fillId="5" borderId="57" xfId="0" applyFont="1" applyFill="1" applyBorder="1" applyAlignment="1" applyProtection="1">
      <alignment vertical="center"/>
      <protection hidden="1"/>
    </xf>
    <xf numFmtId="0" fontId="30" fillId="7" borderId="36" xfId="0" applyFont="1" applyFill="1" applyBorder="1" applyAlignment="1" applyProtection="1">
      <alignment horizontal="center" vertical="center" wrapText="1"/>
      <protection hidden="1"/>
    </xf>
    <xf numFmtId="0" fontId="46" fillId="5" borderId="19" xfId="0" applyFont="1" applyFill="1" applyBorder="1" applyAlignment="1" applyProtection="1">
      <alignment vertical="center"/>
      <protection hidden="1"/>
    </xf>
    <xf numFmtId="0" fontId="30" fillId="7" borderId="9" xfId="0" applyFont="1" applyFill="1" applyBorder="1" applyAlignment="1" applyProtection="1">
      <alignment horizontal="center" vertical="center" wrapText="1"/>
      <protection hidden="1"/>
    </xf>
    <xf numFmtId="0" fontId="30" fillId="7" borderId="10" xfId="0" applyFont="1" applyFill="1" applyBorder="1" applyAlignment="1" applyProtection="1">
      <alignment horizontal="center" vertical="center" wrapText="1"/>
      <protection hidden="1"/>
    </xf>
    <xf numFmtId="0" fontId="30" fillId="7" borderId="10" xfId="0" applyFont="1" applyFill="1" applyBorder="1" applyAlignment="1" applyProtection="1">
      <alignment horizontal="center" vertical="center"/>
      <protection hidden="1"/>
    </xf>
    <xf numFmtId="0" fontId="46" fillId="14" borderId="10" xfId="0" applyFont="1" applyFill="1" applyBorder="1" applyAlignment="1" applyProtection="1">
      <alignment horizontal="center" vertical="center" wrapText="1"/>
      <protection hidden="1"/>
    </xf>
    <xf numFmtId="0" fontId="40" fillId="14" borderId="10" xfId="0" applyFont="1" applyFill="1" applyBorder="1" applyAlignment="1" applyProtection="1">
      <alignment horizontal="center" vertical="center" wrapText="1"/>
      <protection hidden="1"/>
    </xf>
    <xf numFmtId="0" fontId="40" fillId="16" borderId="10" xfId="0" applyFont="1" applyFill="1" applyBorder="1" applyAlignment="1" applyProtection="1">
      <alignment horizontal="center" vertical="center" wrapText="1"/>
      <protection hidden="1"/>
    </xf>
    <xf numFmtId="0" fontId="40" fillId="13" borderId="10" xfId="0" applyFont="1" applyFill="1" applyBorder="1" applyAlignment="1" applyProtection="1">
      <alignment horizontal="center" vertical="center" wrapText="1"/>
      <protection hidden="1"/>
    </xf>
    <xf numFmtId="0" fontId="29" fillId="5" borderId="38" xfId="0" applyFont="1" applyFill="1" applyBorder="1" applyAlignment="1" applyProtection="1">
      <alignment vertical="center"/>
      <protection hidden="1"/>
    </xf>
    <xf numFmtId="0" fontId="30" fillId="5" borderId="10" xfId="0" applyFont="1" applyFill="1" applyBorder="1" applyAlignment="1" applyProtection="1">
      <alignment vertical="center"/>
      <protection hidden="1"/>
    </xf>
    <xf numFmtId="0" fontId="45" fillId="5" borderId="10" xfId="0" applyFont="1" applyFill="1" applyBorder="1" applyAlignment="1" applyProtection="1">
      <alignment vertical="center"/>
      <protection hidden="1"/>
    </xf>
    <xf numFmtId="0" fontId="45" fillId="5" borderId="40" xfId="0" applyFont="1" applyFill="1" applyBorder="1" applyAlignment="1" applyProtection="1">
      <alignment vertical="center"/>
      <protection hidden="1"/>
    </xf>
    <xf numFmtId="0" fontId="32" fillId="5" borderId="17" xfId="0" applyFont="1" applyFill="1" applyBorder="1" applyAlignment="1" applyProtection="1">
      <alignment horizontal="center" vertical="center"/>
      <protection hidden="1"/>
    </xf>
    <xf numFmtId="0" fontId="43" fillId="5" borderId="19" xfId="0" applyFont="1" applyFill="1" applyBorder="1" applyAlignment="1" applyProtection="1">
      <alignment horizontal="center" vertical="center" wrapText="1"/>
      <protection hidden="1"/>
    </xf>
    <xf numFmtId="0" fontId="44" fillId="26" borderId="5" xfId="0" applyFont="1" applyFill="1" applyBorder="1" applyAlignment="1" applyProtection="1">
      <alignment horizontal="center" vertical="center"/>
      <protection hidden="1"/>
    </xf>
    <xf numFmtId="0" fontId="40" fillId="8" borderId="19" xfId="0" applyFont="1" applyFill="1" applyBorder="1" applyAlignment="1" applyProtection="1">
      <alignment horizontal="center" vertical="center" wrapText="1"/>
      <protection hidden="1"/>
    </xf>
    <xf numFmtId="0" fontId="46" fillId="13" borderId="19" xfId="0" applyFont="1" applyFill="1" applyBorder="1" applyAlignment="1" applyProtection="1">
      <alignment horizontal="center" vertical="center" wrapText="1"/>
      <protection hidden="1"/>
    </xf>
    <xf numFmtId="0" fontId="42" fillId="11" borderId="19" xfId="0" applyFont="1" applyFill="1" applyBorder="1" applyAlignment="1" applyProtection="1">
      <alignment horizontal="center" vertical="center" wrapText="1"/>
      <protection hidden="1"/>
    </xf>
    <xf numFmtId="0" fontId="35" fillId="5" borderId="67" xfId="0" applyFont="1" applyFill="1" applyBorder="1" applyAlignment="1" applyProtection="1">
      <alignment horizontal="center" vertical="center"/>
      <protection hidden="1"/>
    </xf>
    <xf numFmtId="0" fontId="43" fillId="12" borderId="5" xfId="0" applyFont="1" applyFill="1" applyBorder="1" applyAlignment="1" applyProtection="1">
      <alignment horizontal="center" vertical="center" wrapText="1"/>
      <protection hidden="1"/>
    </xf>
    <xf numFmtId="0" fontId="11" fillId="13" borderId="55" xfId="0" applyFont="1" applyFill="1" applyBorder="1" applyAlignment="1" applyProtection="1">
      <alignment horizontal="center" vertical="center" wrapText="1"/>
      <protection hidden="1"/>
    </xf>
    <xf numFmtId="0" fontId="30" fillId="21" borderId="4" xfId="0" applyFont="1" applyFill="1" applyBorder="1" applyAlignment="1" applyProtection="1">
      <alignment horizontal="center" vertical="center"/>
      <protection hidden="1"/>
    </xf>
    <xf numFmtId="0" fontId="30" fillId="11" borderId="10" xfId="0" applyFont="1" applyFill="1" applyBorder="1" applyAlignment="1" applyProtection="1">
      <alignment horizontal="center" vertical="center"/>
      <protection hidden="1"/>
    </xf>
    <xf numFmtId="0" fontId="30" fillId="21" borderId="33" xfId="0" applyFont="1" applyFill="1" applyBorder="1" applyAlignment="1" applyProtection="1">
      <alignment horizontal="center" vertical="center"/>
      <protection hidden="1"/>
    </xf>
    <xf numFmtId="0" fontId="30" fillId="21" borderId="22" xfId="0" applyFont="1" applyFill="1" applyBorder="1" applyAlignment="1" applyProtection="1">
      <alignment horizontal="center" vertical="center"/>
      <protection hidden="1"/>
    </xf>
    <xf numFmtId="0" fontId="30" fillId="11" borderId="22" xfId="0" applyFont="1" applyFill="1" applyBorder="1" applyAlignment="1" applyProtection="1">
      <alignment horizontal="center" vertical="center"/>
      <protection hidden="1"/>
    </xf>
    <xf numFmtId="0" fontId="30" fillId="11" borderId="39" xfId="0" applyFont="1" applyFill="1" applyBorder="1" applyAlignment="1" applyProtection="1">
      <alignment horizontal="center" vertical="center"/>
      <protection hidden="1"/>
    </xf>
    <xf numFmtId="0" fontId="30" fillId="21" borderId="34" xfId="0" applyFont="1" applyFill="1" applyBorder="1" applyAlignment="1" applyProtection="1">
      <alignment horizontal="center" vertical="center"/>
      <protection hidden="1"/>
    </xf>
    <xf numFmtId="0" fontId="30" fillId="21" borderId="6" xfId="0" applyFont="1" applyFill="1" applyBorder="1" applyAlignment="1" applyProtection="1">
      <alignment horizontal="center" vertical="center"/>
      <protection hidden="1"/>
    </xf>
    <xf numFmtId="0" fontId="30" fillId="11" borderId="6" xfId="0" applyFont="1" applyFill="1" applyBorder="1" applyAlignment="1" applyProtection="1">
      <alignment horizontal="center" vertical="center"/>
      <protection hidden="1"/>
    </xf>
    <xf numFmtId="0" fontId="30" fillId="11" borderId="54" xfId="0" applyFont="1" applyFill="1" applyBorder="1" applyAlignment="1" applyProtection="1">
      <alignment horizontal="center" vertical="center"/>
      <protection hidden="1"/>
    </xf>
    <xf numFmtId="0" fontId="30" fillId="11" borderId="70" xfId="0" applyFont="1" applyFill="1" applyBorder="1" applyAlignment="1" applyProtection="1">
      <alignment horizontal="center" vertical="center"/>
      <protection hidden="1"/>
    </xf>
    <xf numFmtId="0" fontId="30" fillId="11" borderId="72" xfId="0" applyFont="1" applyFill="1" applyBorder="1" applyAlignment="1" applyProtection="1">
      <alignment horizontal="center" vertical="center"/>
      <protection hidden="1"/>
    </xf>
    <xf numFmtId="0" fontId="30" fillId="11" borderId="73" xfId="0" applyFont="1" applyFill="1" applyBorder="1" applyAlignment="1" applyProtection="1">
      <alignment horizontal="center" vertical="center"/>
      <protection hidden="1"/>
    </xf>
    <xf numFmtId="0" fontId="29" fillId="21" borderId="70" xfId="0" applyFont="1" applyFill="1" applyBorder="1" applyAlignment="1" applyProtection="1">
      <alignment horizontal="center" vertical="center"/>
      <protection hidden="1"/>
    </xf>
    <xf numFmtId="0" fontId="29" fillId="21" borderId="72" xfId="0" applyFont="1" applyFill="1" applyBorder="1" applyAlignment="1" applyProtection="1">
      <alignment horizontal="center" vertical="center"/>
      <protection hidden="1"/>
    </xf>
    <xf numFmtId="0" fontId="29" fillId="11" borderId="72" xfId="0" applyFont="1" applyFill="1" applyBorder="1" applyAlignment="1" applyProtection="1">
      <alignment horizontal="center" vertical="center"/>
      <protection hidden="1"/>
    </xf>
    <xf numFmtId="0" fontId="29" fillId="11" borderId="73" xfId="0" applyFont="1" applyFill="1" applyBorder="1" applyAlignment="1" applyProtection="1">
      <alignment horizontal="center" vertical="center"/>
      <protection hidden="1"/>
    </xf>
    <xf numFmtId="0" fontId="29" fillId="11" borderId="70" xfId="0" applyFont="1" applyFill="1" applyBorder="1" applyAlignment="1" applyProtection="1">
      <alignment horizontal="center" vertical="center"/>
      <protection hidden="1"/>
    </xf>
    <xf numFmtId="0" fontId="37" fillId="31" borderId="0" xfId="0" applyFont="1" applyFill="1" applyBorder="1" applyAlignment="1" applyProtection="1">
      <alignment vertical="center" wrapText="1"/>
      <protection hidden="1"/>
    </xf>
    <xf numFmtId="0" fontId="26" fillId="7" borderId="19" xfId="0" applyFont="1" applyFill="1" applyBorder="1" applyAlignment="1" applyProtection="1">
      <alignment horizontal="center" vertical="center"/>
      <protection hidden="1"/>
    </xf>
    <xf numFmtId="0" fontId="26" fillId="7" borderId="40" xfId="0" applyFont="1" applyFill="1" applyBorder="1" applyAlignment="1" applyProtection="1">
      <alignment horizontal="center" vertical="center"/>
      <protection hidden="1"/>
    </xf>
    <xf numFmtId="0" fontId="26" fillId="7" borderId="27" xfId="0" applyFont="1" applyFill="1" applyBorder="1" applyAlignment="1" applyProtection="1">
      <alignment horizontal="center" vertical="center"/>
      <protection hidden="1"/>
    </xf>
    <xf numFmtId="0" fontId="26" fillId="7" borderId="44" xfId="0" applyFont="1" applyFill="1" applyBorder="1" applyAlignment="1" applyProtection="1">
      <alignment horizontal="center" vertical="center"/>
      <protection hidden="1"/>
    </xf>
    <xf numFmtId="0" fontId="30" fillId="7" borderId="40" xfId="0" applyFont="1" applyFill="1" applyBorder="1" applyAlignment="1" applyProtection="1">
      <alignment horizontal="center" vertical="center" wrapText="1"/>
      <protection hidden="1"/>
    </xf>
    <xf numFmtId="0" fontId="30" fillId="7" borderId="33" xfId="0" applyFont="1" applyFill="1" applyBorder="1" applyAlignment="1" applyProtection="1">
      <alignment horizontal="center" vertical="center" wrapText="1"/>
      <protection hidden="1"/>
    </xf>
    <xf numFmtId="0" fontId="28" fillId="7" borderId="39" xfId="0" applyFont="1" applyFill="1" applyBorder="1" applyAlignment="1" applyProtection="1">
      <alignment horizontal="center" vertical="center"/>
      <protection hidden="1"/>
    </xf>
    <xf numFmtId="0" fontId="26" fillId="7" borderId="11" xfId="0" applyFont="1" applyFill="1" applyBorder="1" applyAlignment="1" applyProtection="1">
      <alignment horizontal="center" vertical="center"/>
      <protection hidden="1"/>
    </xf>
    <xf numFmtId="0" fontId="26" fillId="7" borderId="22" xfId="0" applyFont="1" applyFill="1" applyBorder="1" applyAlignment="1" applyProtection="1">
      <alignment horizontal="center" vertical="center"/>
      <protection hidden="1"/>
    </xf>
    <xf numFmtId="0" fontId="54" fillId="7" borderId="76" xfId="0" applyFont="1" applyFill="1" applyBorder="1" applyAlignment="1" applyProtection="1">
      <alignment horizontal="center" vertical="center"/>
      <protection hidden="1"/>
    </xf>
    <xf numFmtId="0" fontId="55" fillId="7" borderId="72" xfId="0" applyFont="1" applyFill="1" applyBorder="1" applyAlignment="1" applyProtection="1">
      <alignment horizontal="center" vertical="center"/>
      <protection hidden="1"/>
    </xf>
    <xf numFmtId="0" fontId="55" fillId="7" borderId="73" xfId="0" applyFont="1" applyFill="1" applyBorder="1" applyAlignment="1" applyProtection="1">
      <alignment horizontal="center" vertical="center"/>
      <protection hidden="1"/>
    </xf>
    <xf numFmtId="0" fontId="26" fillId="7" borderId="39" xfId="0" applyFont="1" applyFill="1" applyBorder="1" applyAlignment="1" applyProtection="1">
      <alignment horizontal="center" vertical="center"/>
      <protection hidden="1"/>
    </xf>
    <xf numFmtId="0" fontId="55" fillId="7" borderId="71" xfId="0" applyFont="1" applyFill="1" applyBorder="1" applyAlignment="1" applyProtection="1">
      <alignment horizontal="center" vertical="center"/>
      <protection hidden="1"/>
    </xf>
    <xf numFmtId="0" fontId="26" fillId="7" borderId="29" xfId="0" applyFont="1" applyFill="1" applyBorder="1" applyAlignment="1" applyProtection="1">
      <alignment horizontal="center" vertical="center"/>
      <protection hidden="1"/>
    </xf>
    <xf numFmtId="0" fontId="26" fillId="7" borderId="67" xfId="0" applyFont="1" applyFill="1" applyBorder="1" applyAlignment="1" applyProtection="1">
      <alignment horizontal="center" vertical="center"/>
      <protection hidden="1"/>
    </xf>
    <xf numFmtId="0" fontId="55" fillId="7" borderId="76" xfId="0" applyFont="1" applyFill="1" applyBorder="1" applyAlignment="1" applyProtection="1">
      <alignment horizontal="center" vertical="center"/>
      <protection hidden="1"/>
    </xf>
    <xf numFmtId="0" fontId="31" fillId="31" borderId="21" xfId="0" applyFont="1" applyFill="1" applyBorder="1" applyAlignment="1" applyProtection="1">
      <alignment horizontal="center" vertical="center" wrapText="1"/>
      <protection hidden="1"/>
    </xf>
    <xf numFmtId="0" fontId="31" fillId="31" borderId="21" xfId="0" applyFont="1" applyFill="1" applyBorder="1" applyAlignment="1" applyProtection="1">
      <alignment vertical="center" wrapText="1"/>
      <protection hidden="1"/>
    </xf>
    <xf numFmtId="0" fontId="37" fillId="31" borderId="0" xfId="0" applyFont="1" applyFill="1" applyAlignment="1" applyProtection="1">
      <alignment vertical="center" wrapText="1"/>
      <protection hidden="1"/>
    </xf>
    <xf numFmtId="0" fontId="38" fillId="31" borderId="0" xfId="0" applyFont="1" applyFill="1" applyAlignment="1" applyProtection="1">
      <alignment vertical="center" wrapText="1"/>
      <protection hidden="1"/>
    </xf>
    <xf numFmtId="0" fontId="61" fillId="31" borderId="0" xfId="0" applyFont="1" applyFill="1" applyAlignment="1" applyProtection="1">
      <alignment vertical="center" wrapText="1"/>
      <protection hidden="1"/>
    </xf>
    <xf numFmtId="0" fontId="62" fillId="27" borderId="0" xfId="0" applyFont="1" applyFill="1" applyBorder="1" applyAlignment="1" applyProtection="1">
      <alignment horizontal="center" vertical="center"/>
      <protection hidden="1"/>
    </xf>
    <xf numFmtId="0" fontId="90" fillId="7" borderId="2" xfId="0" applyFont="1" applyFill="1" applyBorder="1" applyAlignment="1" applyProtection="1">
      <alignment horizontal="center" vertical="center" wrapText="1"/>
      <protection hidden="1"/>
    </xf>
    <xf numFmtId="0" fontId="26" fillId="7" borderId="6" xfId="0" applyFont="1" applyFill="1" applyBorder="1" applyAlignment="1" applyProtection="1">
      <alignment horizontal="center" vertical="center"/>
      <protection locked="0"/>
    </xf>
    <xf numFmtId="0" fontId="28" fillId="7" borderId="6" xfId="0" applyFont="1" applyFill="1" applyBorder="1" applyAlignment="1" applyProtection="1">
      <alignment horizontal="center" vertical="center"/>
      <protection locked="0"/>
    </xf>
    <xf numFmtId="0" fontId="28" fillId="7" borderId="30" xfId="0" applyFont="1" applyFill="1" applyBorder="1" applyAlignment="1" applyProtection="1">
      <alignment horizontal="center" vertical="center"/>
      <protection locked="0"/>
    </xf>
    <xf numFmtId="0" fontId="27" fillId="7" borderId="22" xfId="0" applyFont="1" applyFill="1" applyBorder="1" applyAlignment="1" applyProtection="1">
      <alignment horizontal="center" vertical="center" wrapText="1"/>
      <protection hidden="1"/>
    </xf>
    <xf numFmtId="0" fontId="29" fillId="4" borderId="0" xfId="0" applyFont="1" applyFill="1" applyBorder="1" applyAlignment="1" applyProtection="1">
      <alignment horizontal="center" vertical="center" wrapText="1"/>
      <protection hidden="1"/>
    </xf>
    <xf numFmtId="0" fontId="27" fillId="4" borderId="0" xfId="0" applyFont="1" applyFill="1" applyBorder="1" applyAlignment="1" applyProtection="1">
      <alignment horizontal="center" vertical="center" wrapText="1"/>
      <protection hidden="1"/>
    </xf>
    <xf numFmtId="0" fontId="29" fillId="4" borderId="0" xfId="0" applyFont="1" applyFill="1" applyBorder="1" applyAlignment="1" applyProtection="1">
      <alignment horizontal="center" vertical="center"/>
      <protection hidden="1"/>
    </xf>
    <xf numFmtId="0" fontId="28" fillId="4" borderId="0" xfId="0" applyFont="1" applyFill="1" applyBorder="1" applyAlignment="1" applyProtection="1">
      <alignment horizontal="center" vertical="center"/>
      <protection hidden="1"/>
    </xf>
    <xf numFmtId="0" fontId="32" fillId="7" borderId="6" xfId="0" applyFont="1" applyFill="1" applyBorder="1" applyAlignment="1" applyProtection="1">
      <alignment horizontal="center" vertical="center"/>
      <protection locked="0"/>
    </xf>
    <xf numFmtId="0" fontId="32" fillId="7" borderId="30" xfId="0" applyFont="1" applyFill="1" applyBorder="1" applyAlignment="1" applyProtection="1">
      <alignment horizontal="center" vertical="center"/>
      <protection locked="0"/>
    </xf>
    <xf numFmtId="0" fontId="34" fillId="4" borderId="0" xfId="0" applyFont="1" applyFill="1" applyBorder="1" applyAlignment="1" applyProtection="1">
      <alignment horizontal="center" vertical="center" wrapText="1"/>
      <protection hidden="1"/>
    </xf>
    <xf numFmtId="0" fontId="67" fillId="4" borderId="0" xfId="0" applyFont="1" applyFill="1" applyBorder="1" applyAlignment="1" applyProtection="1">
      <alignment horizontal="center" vertical="center"/>
      <protection hidden="1"/>
    </xf>
    <xf numFmtId="0" fontId="13" fillId="4" borderId="0" xfId="0" applyFont="1" applyFill="1" applyBorder="1" applyAlignment="1" applyProtection="1">
      <alignment horizontal="center" vertical="center"/>
      <protection hidden="1"/>
    </xf>
    <xf numFmtId="0" fontId="60" fillId="4" borderId="0" xfId="0" applyFont="1" applyFill="1" applyBorder="1" applyAlignment="1" applyProtection="1">
      <alignment horizontal="center" vertical="center"/>
      <protection hidden="1"/>
    </xf>
    <xf numFmtId="0" fontId="28" fillId="7" borderId="2" xfId="0" applyFont="1" applyFill="1" applyBorder="1" applyAlignment="1" applyProtection="1">
      <alignment horizontal="center" vertical="center"/>
      <protection locked="0" hidden="1"/>
    </xf>
    <xf numFmtId="0" fontId="88" fillId="4" borderId="0" xfId="0" applyFont="1" applyFill="1" applyBorder="1" applyProtection="1">
      <protection hidden="1"/>
    </xf>
    <xf numFmtId="0" fontId="88" fillId="15" borderId="0" xfId="0" applyFont="1" applyFill="1" applyBorder="1" applyProtection="1">
      <protection hidden="1"/>
    </xf>
    <xf numFmtId="0" fontId="43" fillId="20" borderId="2" xfId="0" applyFont="1" applyFill="1" applyBorder="1" applyAlignment="1" applyProtection="1">
      <alignment horizontal="center" vertical="center"/>
      <protection hidden="1"/>
    </xf>
    <xf numFmtId="0" fontId="29" fillId="14" borderId="4" xfId="0" applyFont="1" applyFill="1" applyBorder="1" applyAlignment="1" applyProtection="1">
      <alignment horizontal="center" vertical="center"/>
      <protection hidden="1"/>
    </xf>
    <xf numFmtId="0" fontId="29" fillId="14" borderId="34" xfId="0" applyFont="1" applyFill="1" applyBorder="1" applyAlignment="1" applyProtection="1">
      <alignment horizontal="center" vertical="center"/>
      <protection hidden="1"/>
    </xf>
    <xf numFmtId="0" fontId="29" fillId="14" borderId="34" xfId="0" applyFont="1" applyFill="1" applyBorder="1" applyAlignment="1" applyProtection="1">
      <alignment vertical="center"/>
      <protection hidden="1"/>
    </xf>
    <xf numFmtId="0" fontId="48" fillId="9" borderId="2" xfId="0" applyFont="1" applyFill="1" applyBorder="1" applyAlignment="1" applyProtection="1">
      <alignment horizontal="center" vertical="center"/>
      <protection hidden="1"/>
    </xf>
    <xf numFmtId="0" fontId="48" fillId="10" borderId="2" xfId="0" applyFont="1" applyFill="1" applyBorder="1" applyAlignment="1" applyProtection="1">
      <alignment horizontal="center" vertical="center"/>
      <protection hidden="1"/>
    </xf>
    <xf numFmtId="0" fontId="48" fillId="14" borderId="0" xfId="0" applyFont="1" applyFill="1" applyBorder="1" applyAlignment="1" applyProtection="1">
      <alignment horizontal="center" vertical="center"/>
      <protection hidden="1"/>
    </xf>
    <xf numFmtId="0" fontId="48" fillId="2" borderId="2" xfId="0" applyFont="1" applyFill="1" applyBorder="1" applyAlignment="1" applyProtection="1">
      <alignment horizontal="center" vertical="center"/>
      <protection hidden="1"/>
    </xf>
    <xf numFmtId="0" fontId="48" fillId="14" borderId="2" xfId="0" applyFont="1" applyFill="1" applyBorder="1" applyAlignment="1" applyProtection="1">
      <alignment horizontal="center" vertical="center"/>
      <protection hidden="1"/>
    </xf>
    <xf numFmtId="0" fontId="30" fillId="14" borderId="6" xfId="0" applyFont="1" applyFill="1" applyBorder="1" applyAlignment="1" applyProtection="1">
      <alignment horizontal="center" vertical="center"/>
      <protection hidden="1"/>
    </xf>
    <xf numFmtId="0" fontId="30" fillId="2" borderId="6" xfId="0" applyFont="1" applyFill="1" applyBorder="1" applyAlignment="1" applyProtection="1">
      <alignment horizontal="center" vertical="center"/>
      <protection hidden="1"/>
    </xf>
    <xf numFmtId="0" fontId="7" fillId="14" borderId="2" xfId="0" applyFont="1" applyFill="1" applyBorder="1" applyProtection="1">
      <protection hidden="1"/>
    </xf>
    <xf numFmtId="0" fontId="7" fillId="14" borderId="2" xfId="0" applyFont="1" applyFill="1" applyBorder="1" applyAlignment="1" applyProtection="1">
      <protection hidden="1"/>
    </xf>
    <xf numFmtId="0" fontId="7" fillId="9" borderId="2" xfId="0" applyFont="1" applyFill="1" applyBorder="1" applyAlignment="1" applyProtection="1">
      <alignment horizontal="center" vertical="center"/>
      <protection hidden="1"/>
    </xf>
    <xf numFmtId="0" fontId="7" fillId="10" borderId="2" xfId="0" applyFont="1" applyFill="1" applyBorder="1" applyAlignment="1" applyProtection="1">
      <alignment horizontal="center"/>
      <protection hidden="1"/>
    </xf>
    <xf numFmtId="0" fontId="30" fillId="14" borderId="10" xfId="0" applyFont="1" applyFill="1" applyBorder="1" applyAlignment="1" applyProtection="1">
      <alignment horizontal="center" vertical="center"/>
      <protection hidden="1"/>
    </xf>
    <xf numFmtId="0" fontId="7" fillId="14" borderId="10" xfId="0" applyFont="1" applyFill="1" applyBorder="1" applyAlignment="1" applyProtection="1">
      <protection hidden="1"/>
    </xf>
    <xf numFmtId="0" fontId="7" fillId="14" borderId="10" xfId="0" applyFont="1" applyFill="1" applyBorder="1" applyProtection="1">
      <protection hidden="1"/>
    </xf>
    <xf numFmtId="0" fontId="7" fillId="0" borderId="16" xfId="0" applyFont="1" applyFill="1" applyBorder="1" applyProtection="1">
      <protection hidden="1"/>
    </xf>
    <xf numFmtId="0" fontId="0" fillId="30" borderId="15" xfId="0" applyFill="1" applyBorder="1" applyProtection="1">
      <protection hidden="1"/>
    </xf>
    <xf numFmtId="0" fontId="0" fillId="30" borderId="0" xfId="0" applyFill="1" applyBorder="1" applyProtection="1">
      <protection hidden="1"/>
    </xf>
    <xf numFmtId="0" fontId="0" fillId="30" borderId="16" xfId="0" applyFill="1" applyBorder="1" applyProtection="1">
      <protection hidden="1"/>
    </xf>
    <xf numFmtId="0" fontId="0" fillId="0" borderId="16" xfId="0" applyBorder="1" applyProtection="1">
      <protection hidden="1"/>
    </xf>
    <xf numFmtId="0" fontId="0" fillId="0" borderId="0" xfId="0" applyProtection="1">
      <protection hidden="1"/>
    </xf>
    <xf numFmtId="0" fontId="101" fillId="4" borderId="0" xfId="0" applyFont="1" applyFill="1" applyBorder="1" applyProtection="1">
      <protection hidden="1"/>
    </xf>
    <xf numFmtId="0" fontId="101" fillId="0" borderId="48" xfId="0" applyFont="1" applyBorder="1" applyProtection="1">
      <protection hidden="1"/>
    </xf>
    <xf numFmtId="0" fontId="101" fillId="0" borderId="49" xfId="0" applyFont="1" applyBorder="1" applyProtection="1">
      <protection hidden="1"/>
    </xf>
    <xf numFmtId="0" fontId="102" fillId="4" borderId="0" xfId="0" applyFont="1" applyFill="1" applyBorder="1" applyProtection="1">
      <protection hidden="1"/>
    </xf>
    <xf numFmtId="0" fontId="102" fillId="15" borderId="0" xfId="0" applyFont="1" applyFill="1" applyBorder="1" applyProtection="1">
      <protection hidden="1"/>
    </xf>
    <xf numFmtId="0" fontId="103" fillId="31" borderId="0" xfId="0" applyFont="1" applyFill="1" applyAlignment="1" applyProtection="1">
      <alignment vertical="center"/>
      <protection hidden="1"/>
    </xf>
    <xf numFmtId="0" fontId="28" fillId="4" borderId="0" xfId="0" applyFont="1" applyFill="1" applyAlignment="1" applyProtection="1">
      <alignment vertical="center"/>
      <protection hidden="1"/>
    </xf>
    <xf numFmtId="0" fontId="0" fillId="4" borderId="0" xfId="0" applyFill="1" applyAlignment="1" applyProtection="1">
      <alignment vertical="center"/>
      <protection hidden="1"/>
    </xf>
    <xf numFmtId="0" fontId="30" fillId="11" borderId="59" xfId="0" applyFont="1" applyFill="1" applyBorder="1" applyAlignment="1" applyProtection="1">
      <alignment horizontal="center" vertical="center"/>
      <protection hidden="1"/>
    </xf>
    <xf numFmtId="0" fontId="30" fillId="11" borderId="60" xfId="0" applyFont="1" applyFill="1" applyBorder="1" applyAlignment="1" applyProtection="1">
      <alignment horizontal="center" vertical="center"/>
      <protection hidden="1"/>
    </xf>
    <xf numFmtId="0" fontId="30" fillId="11" borderId="66" xfId="0" applyFont="1" applyFill="1" applyBorder="1" applyAlignment="1" applyProtection="1">
      <alignment horizontal="center" vertical="center"/>
      <protection hidden="1"/>
    </xf>
    <xf numFmtId="0" fontId="29" fillId="11" borderId="53" xfId="0" applyFont="1" applyFill="1" applyBorder="1" applyAlignment="1" applyProtection="1">
      <alignment horizontal="center" vertical="center"/>
      <protection hidden="1"/>
    </xf>
    <xf numFmtId="0" fontId="30" fillId="11" borderId="65" xfId="0" applyFont="1" applyFill="1" applyBorder="1" applyAlignment="1" applyProtection="1">
      <alignment horizontal="center" vertical="center"/>
      <protection hidden="1"/>
    </xf>
    <xf numFmtId="0" fontId="92" fillId="4" borderId="0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textRotation="90"/>
      <protection hidden="1"/>
    </xf>
    <xf numFmtId="0" fontId="59" fillId="4" borderId="25" xfId="0" applyFont="1" applyFill="1" applyBorder="1" applyAlignment="1" applyProtection="1">
      <alignment horizontal="center" vertical="center" textRotation="90"/>
      <protection hidden="1"/>
    </xf>
    <xf numFmtId="0" fontId="59" fillId="4" borderId="0" xfId="0" applyFont="1" applyFill="1" applyBorder="1" applyAlignment="1" applyProtection="1">
      <alignment horizontal="center" vertical="center" textRotation="90"/>
      <protection hidden="1"/>
    </xf>
    <xf numFmtId="0" fontId="60" fillId="4" borderId="0" xfId="0" applyFont="1" applyFill="1" applyBorder="1" applyAlignment="1" applyProtection="1">
      <alignment horizontal="center" vertical="center" textRotation="90"/>
      <protection hidden="1"/>
    </xf>
    <xf numFmtId="0" fontId="0" fillId="0" borderId="12" xfId="0" applyBorder="1" applyProtection="1"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15" xfId="0" applyBorder="1" applyProtection="1">
      <protection hidden="1"/>
    </xf>
    <xf numFmtId="0" fontId="28" fillId="4" borderId="0" xfId="0" applyFont="1" applyFill="1" applyBorder="1" applyAlignment="1" applyProtection="1">
      <alignment horizontal="center" vertical="center"/>
      <protection hidden="1"/>
    </xf>
    <xf numFmtId="0" fontId="44" fillId="10" borderId="6" xfId="0" applyFont="1" applyFill="1" applyBorder="1" applyAlignment="1" applyProtection="1">
      <alignment vertical="center" textRotation="90" wrapText="1"/>
      <protection hidden="1"/>
    </xf>
    <xf numFmtId="0" fontId="44" fillId="10" borderId="2" xfId="0" applyFont="1" applyFill="1" applyBorder="1" applyAlignment="1" applyProtection="1">
      <alignment horizontal="center" vertical="center" textRotation="90"/>
      <protection hidden="1"/>
    </xf>
    <xf numFmtId="1" fontId="40" fillId="13" borderId="2" xfId="0" applyNumberFormat="1" applyFont="1" applyFill="1" applyBorder="1" applyAlignment="1" applyProtection="1">
      <alignment horizontal="center" vertical="center"/>
      <protection hidden="1"/>
    </xf>
    <xf numFmtId="1" fontId="40" fillId="16" borderId="2" xfId="0" applyNumberFormat="1" applyFont="1" applyFill="1" applyBorder="1" applyAlignment="1" applyProtection="1">
      <alignment horizontal="center" vertical="center"/>
      <protection hidden="1"/>
    </xf>
    <xf numFmtId="1" fontId="40" fillId="10" borderId="2" xfId="0" applyNumberFormat="1" applyFont="1" applyFill="1" applyBorder="1" applyAlignment="1" applyProtection="1">
      <alignment horizontal="center" vertical="center" wrapText="1"/>
      <protection hidden="1"/>
    </xf>
    <xf numFmtId="1" fontId="40" fillId="2" borderId="2" xfId="0" applyNumberFormat="1" applyFont="1" applyFill="1" applyBorder="1" applyAlignment="1" applyProtection="1">
      <alignment horizontal="center" vertical="center" wrapText="1"/>
      <protection hidden="1"/>
    </xf>
    <xf numFmtId="1" fontId="40" fillId="13" borderId="2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Protection="1">
      <protection hidden="1"/>
    </xf>
    <xf numFmtId="0" fontId="28" fillId="7" borderId="19" xfId="0" applyFont="1" applyFill="1" applyBorder="1" applyAlignment="1" applyProtection="1">
      <alignment horizontal="center" vertical="center"/>
      <protection hidden="1"/>
    </xf>
    <xf numFmtId="0" fontId="28" fillId="7" borderId="67" xfId="0" applyFont="1" applyFill="1" applyBorder="1" applyAlignment="1" applyProtection="1">
      <alignment horizontal="center" vertical="center"/>
      <protection hidden="1"/>
    </xf>
    <xf numFmtId="0" fontId="30" fillId="18" borderId="3" xfId="0" applyFont="1" applyFill="1" applyBorder="1" applyAlignment="1" applyProtection="1">
      <alignment horizontal="center" vertical="center" wrapText="1"/>
      <protection hidden="1"/>
    </xf>
    <xf numFmtId="0" fontId="30" fillId="18" borderId="4" xfId="0" applyFont="1" applyFill="1" applyBorder="1" applyAlignment="1" applyProtection="1">
      <alignment horizontal="center" vertical="center" wrapText="1"/>
      <protection hidden="1"/>
    </xf>
    <xf numFmtId="0" fontId="30" fillId="18" borderId="34" xfId="0" applyFont="1" applyFill="1" applyBorder="1" applyAlignment="1" applyProtection="1">
      <alignment horizontal="center" vertical="center" wrapText="1"/>
      <protection hidden="1"/>
    </xf>
    <xf numFmtId="0" fontId="30" fillId="18" borderId="17" xfId="0" applyFont="1" applyFill="1" applyBorder="1" applyAlignment="1" applyProtection="1">
      <alignment horizontal="center" vertical="center" wrapText="1"/>
      <protection hidden="1"/>
    </xf>
    <xf numFmtId="0" fontId="30" fillId="7" borderId="5" xfId="0" applyFont="1" applyFill="1" applyBorder="1" applyAlignment="1" applyProtection="1">
      <alignment horizontal="center" vertical="center"/>
      <protection hidden="1"/>
    </xf>
    <xf numFmtId="0" fontId="30" fillId="7" borderId="2" xfId="0" applyFont="1" applyFill="1" applyBorder="1" applyAlignment="1" applyProtection="1">
      <alignment horizontal="left" vertical="center"/>
      <protection hidden="1"/>
    </xf>
    <xf numFmtId="0" fontId="24" fillId="7" borderId="19" xfId="0" applyFont="1" applyFill="1" applyBorder="1" applyAlignment="1" applyProtection="1">
      <alignment horizontal="center" vertical="center"/>
      <protection hidden="1"/>
    </xf>
    <xf numFmtId="0" fontId="31" fillId="31" borderId="0" xfId="0" applyFont="1" applyFill="1" applyAlignment="1" applyProtection="1">
      <alignment horizontal="center" vertical="center" wrapText="1"/>
      <protection hidden="1"/>
    </xf>
    <xf numFmtId="0" fontId="28" fillId="15" borderId="0" xfId="0" applyFont="1" applyFill="1" applyBorder="1" applyAlignment="1" applyProtection="1">
      <alignment horizontal="left" vertical="center"/>
      <protection hidden="1"/>
    </xf>
    <xf numFmtId="1" fontId="66" fillId="7" borderId="22" xfId="0" applyNumberFormat="1" applyFont="1" applyFill="1" applyBorder="1" applyAlignment="1" applyProtection="1">
      <alignment horizontal="center" vertical="center" wrapText="1"/>
      <protection hidden="1"/>
    </xf>
    <xf numFmtId="0" fontId="0" fillId="4" borderId="0" xfId="0" applyFill="1" applyProtection="1"/>
    <xf numFmtId="0" fontId="26" fillId="15" borderId="21" xfId="0" applyFont="1" applyFill="1" applyBorder="1" applyAlignment="1" applyProtection="1">
      <alignment vertical="center"/>
      <protection hidden="1"/>
    </xf>
    <xf numFmtId="0" fontId="28" fillId="0" borderId="0" xfId="0" applyFont="1" applyProtection="1">
      <protection hidden="1"/>
    </xf>
    <xf numFmtId="0" fontId="30" fillId="7" borderId="36" xfId="0" applyFont="1" applyFill="1" applyBorder="1" applyAlignment="1" applyProtection="1">
      <alignment horizontal="center" vertical="center"/>
      <protection hidden="1"/>
    </xf>
    <xf numFmtId="0" fontId="30" fillId="27" borderId="0" xfId="0" applyFont="1" applyFill="1" applyBorder="1" applyAlignment="1" applyProtection="1">
      <alignment horizontal="center" vertical="center"/>
      <protection hidden="1"/>
    </xf>
    <xf numFmtId="0" fontId="30" fillId="27" borderId="0" xfId="0" applyFont="1" applyFill="1" applyBorder="1" applyAlignment="1" applyProtection="1">
      <alignment horizontal="center" vertical="center" wrapText="1"/>
      <protection hidden="1"/>
    </xf>
    <xf numFmtId="0" fontId="30" fillId="7" borderId="2" xfId="0" applyFont="1" applyFill="1" applyBorder="1" applyAlignment="1" applyProtection="1">
      <alignment horizontal="left" vertical="center"/>
      <protection locked="0"/>
    </xf>
    <xf numFmtId="0" fontId="30" fillId="7" borderId="2" xfId="0" applyFont="1" applyFill="1" applyBorder="1" applyAlignment="1" applyProtection="1">
      <alignment horizontal="left" vertical="center" wrapText="1"/>
      <protection locked="0"/>
    </xf>
    <xf numFmtId="0" fontId="104" fillId="7" borderId="36" xfId="0" applyFont="1" applyFill="1" applyBorder="1" applyAlignment="1" applyProtection="1">
      <alignment horizontal="center" vertical="center" wrapText="1"/>
      <protection hidden="1"/>
    </xf>
    <xf numFmtId="0" fontId="104" fillId="7" borderId="26" xfId="0" applyFont="1" applyFill="1" applyBorder="1" applyAlignment="1" applyProtection="1">
      <alignment horizontal="center" vertical="center" wrapText="1"/>
      <protection hidden="1"/>
    </xf>
    <xf numFmtId="0" fontId="28" fillId="7" borderId="28" xfId="0" applyFont="1" applyFill="1" applyBorder="1" applyAlignment="1" applyProtection="1">
      <alignment horizontal="center" vertical="center"/>
      <protection hidden="1"/>
    </xf>
    <xf numFmtId="0" fontId="28" fillId="7" borderId="27" xfId="0" applyFont="1" applyFill="1" applyBorder="1" applyAlignment="1" applyProtection="1">
      <alignment horizontal="center" vertical="center"/>
      <protection hidden="1"/>
    </xf>
    <xf numFmtId="0" fontId="28" fillId="7" borderId="27" xfId="0" applyFont="1" applyFill="1" applyBorder="1" applyAlignment="1" applyProtection="1">
      <alignment horizontal="center" vertical="center"/>
      <protection locked="0"/>
    </xf>
    <xf numFmtId="0" fontId="90" fillId="7" borderId="60" xfId="0" applyFont="1" applyFill="1" applyBorder="1" applyAlignment="1" applyProtection="1">
      <alignment horizontal="center" vertical="center" wrapText="1"/>
      <protection locked="0"/>
    </xf>
    <xf numFmtId="0" fontId="90" fillId="7" borderId="61" xfId="0" applyFont="1" applyFill="1" applyBorder="1" applyAlignment="1" applyProtection="1">
      <alignment horizontal="center" vertical="center" wrapText="1"/>
      <protection locked="0"/>
    </xf>
    <xf numFmtId="0" fontId="28" fillId="7" borderId="27" xfId="0" applyFont="1" applyFill="1" applyBorder="1" applyAlignment="1" applyProtection="1">
      <alignment horizontal="left" vertical="center"/>
      <protection hidden="1"/>
    </xf>
    <xf numFmtId="0" fontId="28" fillId="7" borderId="2" xfId="0" applyFont="1" applyFill="1" applyBorder="1" applyAlignment="1" applyProtection="1">
      <alignment horizontal="left" vertical="center"/>
      <protection hidden="1"/>
    </xf>
    <xf numFmtId="0" fontId="24" fillId="7" borderId="2" xfId="0" applyFont="1" applyFill="1" applyBorder="1" applyAlignment="1" applyProtection="1">
      <alignment horizontal="left" vertical="center"/>
      <protection hidden="1"/>
    </xf>
    <xf numFmtId="0" fontId="28" fillId="7" borderId="26" xfId="0" applyFont="1" applyFill="1" applyBorder="1" applyAlignment="1" applyProtection="1">
      <alignment horizontal="left" vertical="center"/>
      <protection hidden="1"/>
    </xf>
    <xf numFmtId="0" fontId="29" fillId="7" borderId="36" xfId="0" applyFont="1" applyFill="1" applyBorder="1" applyAlignment="1" applyProtection="1">
      <alignment horizontal="center" vertical="center" wrapText="1"/>
      <protection hidden="1"/>
    </xf>
    <xf numFmtId="0" fontId="28" fillId="7" borderId="26" xfId="0" applyFont="1" applyFill="1" applyBorder="1" applyAlignment="1" applyProtection="1">
      <alignment horizontal="center" vertical="center" wrapText="1"/>
      <protection hidden="1"/>
    </xf>
    <xf numFmtId="0" fontId="29" fillId="7" borderId="26" xfId="0" applyFont="1" applyFill="1" applyBorder="1" applyAlignment="1" applyProtection="1">
      <alignment horizontal="center" vertical="center" wrapText="1"/>
      <protection hidden="1"/>
    </xf>
    <xf numFmtId="0" fontId="29" fillId="7" borderId="28" xfId="0" applyFont="1" applyFill="1" applyBorder="1" applyAlignment="1" applyProtection="1">
      <alignment horizontal="center" vertical="center"/>
      <protection hidden="1"/>
    </xf>
    <xf numFmtId="0" fontId="29" fillId="7" borderId="27" xfId="0" applyFont="1" applyFill="1" applyBorder="1" applyAlignment="1" applyProtection="1">
      <alignment horizontal="center" vertical="center"/>
      <protection hidden="1"/>
    </xf>
    <xf numFmtId="0" fontId="26" fillId="7" borderId="27" xfId="0" applyFont="1" applyFill="1" applyBorder="1" applyAlignment="1" applyProtection="1">
      <alignment horizontal="center" vertical="center"/>
      <protection locked="0"/>
    </xf>
    <xf numFmtId="0" fontId="29" fillId="7" borderId="3" xfId="0" applyFont="1" applyFill="1" applyBorder="1" applyAlignment="1" applyProtection="1">
      <alignment horizontal="center" vertical="center" wrapText="1"/>
      <protection hidden="1"/>
    </xf>
    <xf numFmtId="0" fontId="28" fillId="7" borderId="4" xfId="0" applyFont="1" applyFill="1" applyBorder="1" applyAlignment="1" applyProtection="1">
      <alignment horizontal="center" vertical="center" wrapText="1"/>
      <protection hidden="1"/>
    </xf>
    <xf numFmtId="0" fontId="29" fillId="7" borderId="4" xfId="0" applyFont="1" applyFill="1" applyBorder="1" applyAlignment="1" applyProtection="1">
      <alignment horizontal="center" vertical="center" wrapText="1"/>
      <protection hidden="1"/>
    </xf>
    <xf numFmtId="0" fontId="29" fillId="7" borderId="4" xfId="0" applyFont="1" applyFill="1" applyBorder="1" applyAlignment="1" applyProtection="1">
      <alignment vertical="center" wrapText="1"/>
      <protection hidden="1"/>
    </xf>
    <xf numFmtId="0" fontId="29" fillId="7" borderId="17" xfId="0" applyFont="1" applyFill="1" applyBorder="1" applyAlignment="1" applyProtection="1">
      <alignment horizontal="center" vertical="center" wrapText="1"/>
      <protection hidden="1"/>
    </xf>
    <xf numFmtId="0" fontId="27" fillId="7" borderId="10" xfId="0" applyFont="1" applyFill="1" applyBorder="1" applyAlignment="1" applyProtection="1">
      <alignment horizontal="center" vertical="center" wrapText="1"/>
      <protection locked="0"/>
    </xf>
    <xf numFmtId="0" fontId="27" fillId="7" borderId="40" xfId="0" applyFont="1" applyFill="1" applyBorder="1" applyAlignment="1" applyProtection="1">
      <alignment horizontal="center" vertical="center" wrapText="1"/>
      <protection locked="0"/>
    </xf>
    <xf numFmtId="0" fontId="29" fillId="7" borderId="27" xfId="0" applyFont="1" applyFill="1" applyBorder="1" applyAlignment="1" applyProtection="1">
      <alignment horizontal="left" vertical="center"/>
      <protection hidden="1"/>
    </xf>
    <xf numFmtId="0" fontId="29" fillId="7" borderId="2" xfId="0" applyFont="1" applyFill="1" applyBorder="1" applyAlignment="1" applyProtection="1">
      <alignment horizontal="left" vertical="center"/>
      <protection hidden="1"/>
    </xf>
    <xf numFmtId="0" fontId="26" fillId="7" borderId="32" xfId="0" applyFont="1" applyFill="1" applyBorder="1" applyAlignment="1" applyProtection="1">
      <alignment horizontal="center" vertical="center"/>
      <protection locked="0"/>
    </xf>
    <xf numFmtId="0" fontId="29" fillId="7" borderId="30" xfId="0" applyFont="1" applyFill="1" applyBorder="1" applyAlignment="1" applyProtection="1">
      <alignment horizontal="center" vertical="center" wrapText="1"/>
      <protection hidden="1"/>
    </xf>
    <xf numFmtId="0" fontId="32" fillId="7" borderId="28" xfId="0" applyFont="1" applyFill="1" applyBorder="1" applyAlignment="1" applyProtection="1">
      <alignment horizontal="center" vertical="center"/>
      <protection hidden="1"/>
    </xf>
    <xf numFmtId="0" fontId="34" fillId="7" borderId="60" xfId="0" applyFont="1" applyFill="1" applyBorder="1" applyAlignment="1" applyProtection="1">
      <alignment horizontal="center" vertical="center" wrapText="1"/>
      <protection locked="0"/>
    </xf>
    <xf numFmtId="0" fontId="34" fillId="7" borderId="61" xfId="0" applyFont="1" applyFill="1" applyBorder="1" applyAlignment="1" applyProtection="1">
      <alignment horizontal="center" vertical="center" wrapText="1"/>
      <protection locked="0"/>
    </xf>
    <xf numFmtId="0" fontId="29" fillId="7" borderId="29" xfId="0" applyFont="1" applyFill="1" applyBorder="1" applyAlignment="1" applyProtection="1">
      <alignment horizontal="center" vertical="center" wrapText="1"/>
      <protection hidden="1"/>
    </xf>
    <xf numFmtId="1" fontId="66" fillId="7" borderId="11" xfId="0" applyNumberFormat="1" applyFont="1" applyFill="1" applyBorder="1" applyAlignment="1" applyProtection="1">
      <alignment horizontal="center" vertical="center" wrapText="1"/>
      <protection hidden="1"/>
    </xf>
    <xf numFmtId="0" fontId="66" fillId="7" borderId="27" xfId="0" applyFont="1" applyFill="1" applyBorder="1" applyAlignment="1" applyProtection="1">
      <alignment horizontal="center" vertical="center" wrapText="1"/>
      <protection hidden="1"/>
    </xf>
    <xf numFmtId="0" fontId="32" fillId="7" borderId="27" xfId="0" applyFont="1" applyFill="1" applyBorder="1" applyAlignment="1" applyProtection="1">
      <alignment horizontal="center" vertical="center"/>
      <protection locked="0"/>
    </xf>
    <xf numFmtId="0" fontId="34" fillId="7" borderId="59" xfId="0" applyFont="1" applyFill="1" applyBorder="1" applyAlignment="1" applyProtection="1">
      <alignment horizontal="center" vertical="center" wrapText="1"/>
      <protection hidden="1"/>
    </xf>
    <xf numFmtId="0" fontId="34" fillId="7" borderId="60" xfId="0" applyFont="1" applyFill="1" applyBorder="1" applyAlignment="1" applyProtection="1">
      <alignment horizontal="center" vertical="center" wrapText="1"/>
      <protection hidden="1"/>
    </xf>
    <xf numFmtId="0" fontId="26" fillId="7" borderId="27" xfId="0" applyFont="1" applyFill="1" applyBorder="1" applyAlignment="1" applyProtection="1">
      <alignment horizontal="left" vertical="center"/>
      <protection hidden="1"/>
    </xf>
    <xf numFmtId="0" fontId="26" fillId="7" borderId="2" xfId="0" applyFont="1" applyFill="1" applyBorder="1" applyAlignment="1" applyProtection="1">
      <alignment horizontal="left" vertical="center"/>
      <protection hidden="1"/>
    </xf>
    <xf numFmtId="0" fontId="11" fillId="7" borderId="2" xfId="0" applyFont="1" applyFill="1" applyBorder="1" applyAlignment="1" applyProtection="1">
      <alignment horizontal="left" vertical="center"/>
      <protection hidden="1"/>
    </xf>
    <xf numFmtId="0" fontId="26" fillId="7" borderId="26" xfId="0" applyFont="1" applyFill="1" applyBorder="1" applyAlignment="1" applyProtection="1">
      <alignment horizontal="left" vertical="center"/>
      <protection hidden="1"/>
    </xf>
    <xf numFmtId="0" fontId="29" fillId="7" borderId="27" xfId="0" applyFont="1" applyFill="1" applyBorder="1" applyAlignment="1" applyProtection="1">
      <alignment horizontal="center" vertical="center"/>
      <protection locked="0"/>
    </xf>
    <xf numFmtId="0" fontId="29" fillId="7" borderId="32" xfId="0" applyFont="1" applyFill="1" applyBorder="1" applyAlignment="1" applyProtection="1">
      <alignment horizontal="center" vertical="center"/>
      <protection locked="0"/>
    </xf>
    <xf numFmtId="0" fontId="27" fillId="7" borderId="11" xfId="0" applyFont="1" applyFill="1" applyBorder="1" applyAlignment="1" applyProtection="1">
      <alignment horizontal="center" vertical="center" wrapText="1"/>
      <protection hidden="1"/>
    </xf>
    <xf numFmtId="0" fontId="27" fillId="7" borderId="59" xfId="0" applyFont="1" applyFill="1" applyBorder="1" applyAlignment="1" applyProtection="1">
      <alignment horizontal="center" vertical="center" wrapText="1"/>
      <protection hidden="1"/>
    </xf>
    <xf numFmtId="0" fontId="27" fillId="7" borderId="61" xfId="0" applyFont="1" applyFill="1" applyBorder="1" applyAlignment="1" applyProtection="1">
      <alignment horizontal="center" vertical="center" wrapText="1"/>
      <protection locked="0"/>
    </xf>
    <xf numFmtId="0" fontId="28" fillId="7" borderId="32" xfId="0" applyFont="1" applyFill="1" applyBorder="1" applyAlignment="1" applyProtection="1">
      <alignment horizontal="center" vertical="center"/>
      <protection locked="0"/>
    </xf>
    <xf numFmtId="0" fontId="29" fillId="2" borderId="25" xfId="0" applyFont="1" applyFill="1" applyBorder="1" applyAlignment="1" applyProtection="1">
      <alignment horizontal="center" vertical="center" wrapText="1"/>
      <protection hidden="1"/>
    </xf>
    <xf numFmtId="0" fontId="29" fillId="2" borderId="26" xfId="0" applyFont="1" applyFill="1" applyBorder="1" applyAlignment="1" applyProtection="1">
      <alignment horizontal="center" vertical="center" wrapText="1"/>
      <protection hidden="1"/>
    </xf>
    <xf numFmtId="0" fontId="40" fillId="2" borderId="27" xfId="0" applyFont="1" applyFill="1" applyBorder="1" applyAlignment="1" applyProtection="1">
      <alignment horizontal="center" vertical="center" wrapText="1"/>
      <protection hidden="1"/>
    </xf>
    <xf numFmtId="0" fontId="39" fillId="7" borderId="4" xfId="0" applyFont="1" applyFill="1" applyBorder="1" applyAlignment="1" applyProtection="1">
      <alignment horizontal="center" vertical="center" wrapText="1"/>
      <protection hidden="1"/>
    </xf>
    <xf numFmtId="0" fontId="39" fillId="7" borderId="4" xfId="0" applyFont="1" applyFill="1" applyBorder="1" applyAlignment="1" applyProtection="1">
      <alignment vertical="center" wrapText="1"/>
      <protection hidden="1"/>
    </xf>
    <xf numFmtId="0" fontId="29" fillId="2" borderId="4" xfId="0" applyFont="1" applyFill="1" applyBorder="1" applyAlignment="1" applyProtection="1">
      <alignment horizontal="center" vertical="center" wrapText="1"/>
      <protection hidden="1"/>
    </xf>
    <xf numFmtId="0" fontId="29" fillId="2" borderId="17" xfId="0" applyFont="1" applyFill="1" applyBorder="1" applyAlignment="1" applyProtection="1">
      <alignment horizontal="center" vertical="center" wrapText="1"/>
      <protection hidden="1"/>
    </xf>
    <xf numFmtId="0" fontId="29" fillId="7" borderId="10" xfId="0" applyFont="1" applyFill="1" applyBorder="1" applyAlignment="1" applyProtection="1">
      <alignment horizontal="center" vertical="center" wrapText="1"/>
      <protection hidden="1"/>
    </xf>
    <xf numFmtId="0" fontId="40" fillId="2" borderId="10" xfId="0" applyFont="1" applyFill="1" applyBorder="1" applyAlignment="1" applyProtection="1">
      <alignment horizontal="center" vertical="center" wrapText="1"/>
      <protection hidden="1"/>
    </xf>
    <xf numFmtId="0" fontId="40" fillId="2" borderId="40" xfId="0" applyFont="1" applyFill="1" applyBorder="1" applyAlignment="1" applyProtection="1">
      <alignment horizontal="center" vertical="center" wrapText="1"/>
      <protection hidden="1"/>
    </xf>
    <xf numFmtId="0" fontId="28" fillId="7" borderId="10" xfId="0" applyFont="1" applyFill="1" applyBorder="1" applyAlignment="1" applyProtection="1">
      <alignment horizontal="left" vertical="center"/>
      <protection hidden="1"/>
    </xf>
    <xf numFmtId="0" fontId="26" fillId="7" borderId="27" xfId="0" applyFont="1" applyFill="1" applyBorder="1" applyAlignment="1" applyProtection="1">
      <alignment horizontal="center" vertical="center" wrapText="1"/>
      <protection locked="0"/>
    </xf>
    <xf numFmtId="0" fontId="27" fillId="7" borderId="60" xfId="0" applyFont="1" applyFill="1" applyBorder="1" applyAlignment="1" applyProtection="1">
      <alignment horizontal="center" vertical="center" wrapText="1"/>
      <protection locked="0"/>
    </xf>
    <xf numFmtId="0" fontId="42" fillId="7" borderId="26" xfId="0" applyFont="1" applyFill="1" applyBorder="1" applyAlignment="1" applyProtection="1">
      <alignment horizontal="center" vertical="center"/>
      <protection hidden="1"/>
    </xf>
    <xf numFmtId="0" fontId="41" fillId="7" borderId="28" xfId="0" applyFont="1" applyFill="1" applyBorder="1" applyAlignment="1" applyProtection="1">
      <alignment horizontal="center" vertical="center"/>
      <protection hidden="1"/>
    </xf>
    <xf numFmtId="0" fontId="41" fillId="7" borderId="27" xfId="0" applyFont="1" applyFill="1" applyBorder="1" applyAlignment="1" applyProtection="1">
      <alignment horizontal="center" vertical="center"/>
      <protection hidden="1"/>
    </xf>
    <xf numFmtId="0" fontId="24" fillId="7" borderId="27" xfId="0" applyFont="1" applyFill="1" applyBorder="1" applyAlignment="1" applyProtection="1">
      <alignment horizontal="center"/>
      <protection locked="0"/>
    </xf>
    <xf numFmtId="0" fontId="24" fillId="7" borderId="44" xfId="0" applyFont="1" applyFill="1" applyBorder="1" applyAlignment="1" applyProtection="1">
      <alignment horizontal="center" vertical="center"/>
      <protection hidden="1"/>
    </xf>
    <xf numFmtId="0" fontId="27" fillId="7" borderId="60" xfId="0" applyFont="1" applyFill="1" applyBorder="1" applyAlignment="1" applyProtection="1">
      <alignment horizontal="center" wrapText="1"/>
      <protection locked="0"/>
    </xf>
    <xf numFmtId="0" fontId="27" fillId="7" borderId="61" xfId="0" applyFont="1" applyFill="1" applyBorder="1" applyAlignment="1" applyProtection="1">
      <alignment horizontal="center" vertical="center"/>
      <protection hidden="1"/>
    </xf>
    <xf numFmtId="0" fontId="41" fillId="7" borderId="27" xfId="0" applyFont="1" applyFill="1" applyBorder="1" applyAlignment="1" applyProtection="1">
      <alignment horizontal="left" vertical="center"/>
      <protection hidden="1"/>
    </xf>
    <xf numFmtId="0" fontId="41" fillId="7" borderId="2" xfId="0" applyFont="1" applyFill="1" applyBorder="1" applyAlignment="1" applyProtection="1">
      <alignment horizontal="left" vertical="center"/>
      <protection hidden="1"/>
    </xf>
    <xf numFmtId="0" fontId="30" fillId="7" borderId="2" xfId="0" applyFont="1" applyFill="1" applyBorder="1" applyAlignment="1" applyProtection="1">
      <alignment horizontal="left" vertical="center" wrapText="1"/>
      <protection hidden="1"/>
    </xf>
    <xf numFmtId="0" fontId="30" fillId="7" borderId="26" xfId="0" applyFont="1" applyFill="1" applyBorder="1" applyAlignment="1" applyProtection="1">
      <alignment horizontal="left" vertical="center" wrapText="1"/>
      <protection hidden="1"/>
    </xf>
    <xf numFmtId="0" fontId="104" fillId="7" borderId="26" xfId="0" applyFont="1" applyFill="1" applyBorder="1" applyAlignment="1" applyProtection="1">
      <alignment horizontal="center" vertical="center" textRotation="90" wrapText="1"/>
      <protection hidden="1"/>
    </xf>
    <xf numFmtId="0" fontId="90" fillId="7" borderId="66" xfId="0" applyFont="1" applyFill="1" applyBorder="1" applyAlignment="1" applyProtection="1">
      <alignment horizontal="center" vertical="center" wrapText="1"/>
      <protection hidden="1"/>
    </xf>
    <xf numFmtId="0" fontId="29" fillId="15" borderId="0" xfId="0" applyFont="1" applyFill="1" applyBorder="1" applyAlignment="1" applyProtection="1">
      <alignment horizontal="center" vertical="center"/>
      <protection hidden="1"/>
    </xf>
    <xf numFmtId="0" fontId="69" fillId="15" borderId="13" xfId="0" applyFont="1" applyFill="1" applyBorder="1" applyAlignment="1" applyProtection="1">
      <alignment horizontal="center" vertical="top" wrapText="1"/>
      <protection hidden="1"/>
    </xf>
    <xf numFmtId="0" fontId="29" fillId="15" borderId="14" xfId="0" applyFont="1" applyFill="1" applyBorder="1" applyAlignment="1" applyProtection="1">
      <alignment horizontal="center" vertical="center" wrapText="1"/>
      <protection hidden="1"/>
    </xf>
    <xf numFmtId="0" fontId="109" fillId="15" borderId="16" xfId="0" applyFont="1" applyFill="1" applyBorder="1" applyAlignment="1" applyProtection="1">
      <alignment horizontal="center" vertical="center"/>
      <protection hidden="1"/>
    </xf>
    <xf numFmtId="0" fontId="7" fillId="15" borderId="23" xfId="0" applyFont="1" applyFill="1" applyBorder="1" applyAlignment="1" applyProtection="1">
      <protection hidden="1"/>
    </xf>
    <xf numFmtId="0" fontId="7" fillId="15" borderId="24" xfId="0" applyFont="1" applyFill="1" applyBorder="1" applyAlignment="1" applyProtection="1">
      <protection hidden="1"/>
    </xf>
    <xf numFmtId="0" fontId="7" fillId="4" borderId="15" xfId="0" applyFont="1" applyFill="1" applyBorder="1" applyProtection="1">
      <protection hidden="1"/>
    </xf>
    <xf numFmtId="0" fontId="29" fillId="0" borderId="16" xfId="0" applyFont="1" applyBorder="1" applyProtection="1">
      <protection hidden="1"/>
    </xf>
    <xf numFmtId="0" fontId="29" fillId="15" borderId="16" xfId="0" applyFont="1" applyFill="1" applyBorder="1" applyAlignment="1" applyProtection="1">
      <alignment horizontal="right" vertical="center"/>
      <protection hidden="1"/>
    </xf>
    <xf numFmtId="0" fontId="29" fillId="4" borderId="16" xfId="0" applyFont="1" applyFill="1" applyBorder="1" applyProtection="1">
      <protection hidden="1"/>
    </xf>
    <xf numFmtId="0" fontId="7" fillId="0" borderId="21" xfId="0" applyFont="1" applyBorder="1" applyAlignment="1" applyProtection="1">
      <alignment vertical="center"/>
      <protection hidden="1"/>
    </xf>
    <xf numFmtId="0" fontId="30" fillId="15" borderId="24" xfId="0" applyFont="1" applyFill="1" applyBorder="1" applyAlignment="1" applyProtection="1">
      <alignment vertical="center" wrapText="1"/>
      <protection hidden="1"/>
    </xf>
    <xf numFmtId="0" fontId="105" fillId="22" borderId="0" xfId="0" applyFont="1" applyFill="1" applyBorder="1" applyAlignment="1" applyProtection="1">
      <alignment horizontal="center" vertical="center" wrapText="1"/>
      <protection hidden="1"/>
    </xf>
    <xf numFmtId="0" fontId="106" fillId="17" borderId="0" xfId="1" applyFont="1" applyFill="1" applyBorder="1" applyAlignment="1" applyProtection="1">
      <alignment horizontal="center" vertical="center"/>
      <protection hidden="1"/>
    </xf>
    <xf numFmtId="0" fontId="0" fillId="8" borderId="0" xfId="0" applyFont="1" applyFill="1" applyBorder="1" applyAlignment="1" applyProtection="1">
      <alignment horizontal="center" vertical="center" wrapText="1"/>
      <protection hidden="1"/>
    </xf>
    <xf numFmtId="0" fontId="96" fillId="32" borderId="0" xfId="0" applyFont="1" applyFill="1" applyBorder="1" applyAlignment="1" applyProtection="1">
      <alignment horizontal="center" vertical="center"/>
      <protection hidden="1"/>
    </xf>
    <xf numFmtId="0" fontId="56" fillId="27" borderId="0" xfId="0" applyFont="1" applyFill="1" applyBorder="1" applyAlignment="1" applyProtection="1">
      <alignment horizontal="center" vertical="center"/>
      <protection locked="0"/>
    </xf>
    <xf numFmtId="0" fontId="93" fillId="8" borderId="47" xfId="0" applyFont="1" applyFill="1" applyBorder="1" applyAlignment="1" applyProtection="1">
      <alignment horizontal="center" vertical="center"/>
      <protection hidden="1"/>
    </xf>
    <xf numFmtId="0" fontId="93" fillId="8" borderId="48" xfId="0" applyFont="1" applyFill="1" applyBorder="1" applyAlignment="1" applyProtection="1">
      <alignment horizontal="center" vertical="center"/>
      <protection hidden="1"/>
    </xf>
    <xf numFmtId="0" fontId="93" fillId="8" borderId="49" xfId="0" applyFont="1" applyFill="1" applyBorder="1" applyAlignment="1" applyProtection="1">
      <alignment horizontal="center" vertical="center"/>
      <protection hidden="1"/>
    </xf>
    <xf numFmtId="0" fontId="26" fillId="4" borderId="67" xfId="0" applyFont="1" applyFill="1" applyBorder="1" applyAlignment="1" applyProtection="1">
      <alignment horizontal="center" vertical="center"/>
      <protection locked="0"/>
    </xf>
    <xf numFmtId="0" fontId="26" fillId="4" borderId="69" xfId="0" applyFont="1" applyFill="1" applyBorder="1" applyAlignment="1" applyProtection="1">
      <alignment horizontal="center" vertical="center"/>
      <protection locked="0"/>
    </xf>
    <xf numFmtId="0" fontId="58" fillId="4" borderId="10" xfId="1" applyFont="1" applyFill="1" applyBorder="1" applyAlignment="1" applyProtection="1">
      <alignment horizontal="center" vertical="center"/>
      <protection locked="0"/>
    </xf>
    <xf numFmtId="0" fontId="32" fillId="27" borderId="0" xfId="0" applyFont="1" applyFill="1" applyBorder="1" applyAlignment="1" applyProtection="1">
      <alignment horizontal="center" vertical="center"/>
      <protection locked="0"/>
    </xf>
    <xf numFmtId="0" fontId="16" fillId="4" borderId="22" xfId="0" applyFont="1" applyFill="1" applyBorder="1" applyAlignment="1" applyProtection="1">
      <alignment horizontal="center" vertical="center" wrapText="1"/>
      <protection locked="0"/>
    </xf>
    <xf numFmtId="0" fontId="16" fillId="4" borderId="2" xfId="0" applyFont="1" applyFill="1" applyBorder="1" applyAlignment="1" applyProtection="1">
      <alignment horizontal="center" vertical="center" wrapText="1"/>
      <protection locked="0"/>
    </xf>
    <xf numFmtId="0" fontId="84" fillId="4" borderId="54" xfId="1" quotePrefix="1" applyFont="1" applyFill="1" applyBorder="1" applyAlignment="1" applyProtection="1">
      <alignment horizontal="center" vertical="center"/>
      <protection hidden="1"/>
    </xf>
    <xf numFmtId="0" fontId="84" fillId="4" borderId="55" xfId="1" applyFont="1" applyFill="1" applyBorder="1" applyAlignment="1" applyProtection="1">
      <alignment horizontal="center" vertical="center"/>
      <protection hidden="1"/>
    </xf>
    <xf numFmtId="0" fontId="17" fillId="4" borderId="54" xfId="0" applyFont="1" applyFill="1" applyBorder="1" applyAlignment="1" applyProtection="1">
      <alignment horizontal="center" vertical="center"/>
      <protection locked="0"/>
    </xf>
    <xf numFmtId="0" fontId="17" fillId="4" borderId="39" xfId="0" applyFont="1" applyFill="1" applyBorder="1" applyAlignment="1" applyProtection="1">
      <alignment horizontal="center" vertical="center"/>
      <protection locked="0"/>
    </xf>
    <xf numFmtId="0" fontId="16" fillId="4" borderId="6" xfId="0" applyFont="1" applyFill="1" applyBorder="1" applyAlignment="1" applyProtection="1">
      <alignment horizontal="center" vertical="center"/>
      <protection locked="0"/>
    </xf>
    <xf numFmtId="0" fontId="16" fillId="4" borderId="22" xfId="0" applyFont="1" applyFill="1" applyBorder="1" applyAlignment="1" applyProtection="1">
      <alignment horizontal="center" vertical="center"/>
      <protection locked="0"/>
    </xf>
    <xf numFmtId="0" fontId="17" fillId="4" borderId="31" xfId="0" applyFont="1" applyFill="1" applyBorder="1" applyAlignment="1" applyProtection="1">
      <alignment horizontal="center" vertical="center" wrapText="1"/>
      <protection locked="0"/>
    </xf>
    <xf numFmtId="0" fontId="17" fillId="4" borderId="43" xfId="0" applyFont="1" applyFill="1" applyBorder="1" applyAlignment="1" applyProtection="1">
      <alignment horizontal="center" vertical="center" wrapText="1"/>
      <protection locked="0"/>
    </xf>
    <xf numFmtId="0" fontId="17" fillId="4" borderId="0" xfId="0" applyFont="1" applyFill="1" applyBorder="1" applyAlignment="1" applyProtection="1">
      <alignment horizontal="center" vertical="center" wrapText="1"/>
      <protection locked="0"/>
    </xf>
    <xf numFmtId="0" fontId="17" fillId="4" borderId="16" xfId="0" applyFont="1" applyFill="1" applyBorder="1" applyAlignment="1" applyProtection="1">
      <alignment horizontal="center" vertical="center" wrapText="1"/>
      <protection locked="0"/>
    </xf>
    <xf numFmtId="0" fontId="17" fillId="4" borderId="1" xfId="0" applyFont="1" applyFill="1" applyBorder="1" applyAlignment="1" applyProtection="1">
      <alignment horizontal="center" vertical="center" wrapText="1"/>
      <protection locked="0"/>
    </xf>
    <xf numFmtId="0" fontId="17" fillId="4" borderId="52" xfId="0" applyFont="1" applyFill="1" applyBorder="1" applyAlignment="1" applyProtection="1">
      <alignment horizontal="center" vertical="center" wrapText="1"/>
      <protection locked="0"/>
    </xf>
    <xf numFmtId="0" fontId="11" fillId="4" borderId="1" xfId="0" applyFont="1" applyFill="1" applyBorder="1" applyAlignment="1" applyProtection="1">
      <alignment horizontal="center" vertical="center" wrapText="1"/>
      <protection hidden="1"/>
    </xf>
    <xf numFmtId="0" fontId="11" fillId="4" borderId="52" xfId="0" applyFont="1" applyFill="1" applyBorder="1" applyAlignment="1" applyProtection="1">
      <alignment horizontal="center" vertical="center" wrapText="1"/>
      <protection hidden="1"/>
    </xf>
    <xf numFmtId="0" fontId="84" fillId="4" borderId="6" xfId="1" quotePrefix="1" applyFont="1" applyFill="1" applyBorder="1" applyAlignment="1" applyProtection="1">
      <alignment horizontal="center" vertical="center"/>
      <protection hidden="1"/>
    </xf>
    <xf numFmtId="0" fontId="84" fillId="4" borderId="8" xfId="1" quotePrefix="1" applyFont="1" applyFill="1" applyBorder="1" applyAlignment="1" applyProtection="1">
      <alignment horizontal="center" vertical="center"/>
      <protection hidden="1"/>
    </xf>
    <xf numFmtId="0" fontId="16" fillId="4" borderId="34" xfId="0" applyFont="1" applyFill="1" applyBorder="1" applyAlignment="1" applyProtection="1">
      <alignment horizontal="center" vertical="center"/>
      <protection locked="0"/>
    </xf>
    <xf numFmtId="0" fontId="16" fillId="4" borderId="33" xfId="0" applyFont="1" applyFill="1" applyBorder="1" applyAlignment="1" applyProtection="1">
      <alignment horizontal="center" vertical="center"/>
      <protection locked="0"/>
    </xf>
    <xf numFmtId="0" fontId="13" fillId="4" borderId="27" xfId="0" applyFont="1" applyFill="1" applyBorder="1" applyAlignment="1" applyProtection="1">
      <alignment horizontal="center" vertical="center" wrapText="1"/>
      <protection hidden="1"/>
    </xf>
    <xf numFmtId="0" fontId="58" fillId="4" borderId="2" xfId="1" applyFont="1" applyFill="1" applyBorder="1" applyAlignment="1" applyProtection="1">
      <alignment horizontal="center" vertical="center"/>
      <protection locked="0"/>
    </xf>
    <xf numFmtId="0" fontId="84" fillId="4" borderId="8" xfId="1" applyFont="1" applyFill="1" applyBorder="1" applyAlignment="1" applyProtection="1">
      <alignment horizontal="center" vertical="center"/>
      <protection hidden="1"/>
    </xf>
    <xf numFmtId="0" fontId="94" fillId="27" borderId="48" xfId="0" applyFont="1" applyFill="1" applyBorder="1" applyAlignment="1" applyProtection="1">
      <alignment horizontal="center" vertical="center"/>
    </xf>
    <xf numFmtId="0" fontId="25" fillId="33" borderId="0" xfId="0" applyFont="1" applyFill="1" applyAlignment="1" applyProtection="1">
      <alignment horizontal="center" vertical="center" wrapText="1"/>
      <protection hidden="1"/>
    </xf>
    <xf numFmtId="0" fontId="84" fillId="4" borderId="34" xfId="1" quotePrefix="1" applyFont="1" applyFill="1" applyBorder="1" applyAlignment="1" applyProtection="1">
      <alignment horizontal="center" vertical="center"/>
      <protection hidden="1"/>
    </xf>
    <xf numFmtId="0" fontId="84" fillId="4" borderId="64" xfId="1" applyFont="1" applyFill="1" applyBorder="1" applyAlignment="1" applyProtection="1">
      <alignment horizontal="center" vertical="center"/>
      <protection hidden="1"/>
    </xf>
    <xf numFmtId="0" fontId="84" fillId="4" borderId="6" xfId="1" applyFont="1" applyFill="1" applyBorder="1" applyAlignment="1" applyProtection="1">
      <alignment horizontal="center" vertical="center"/>
      <protection hidden="1"/>
    </xf>
    <xf numFmtId="0" fontId="9" fillId="4" borderId="12" xfId="0" applyFont="1" applyFill="1" applyBorder="1" applyAlignment="1" applyProtection="1">
      <alignment horizontal="center" vertical="center"/>
      <protection locked="0"/>
    </xf>
    <xf numFmtId="0" fontId="10" fillId="4" borderId="13" xfId="0" applyFont="1" applyFill="1" applyBorder="1" applyAlignment="1" applyProtection="1">
      <alignment horizontal="center" vertical="center"/>
      <protection locked="0"/>
    </xf>
    <xf numFmtId="0" fontId="10" fillId="4" borderId="14" xfId="0" applyFont="1" applyFill="1" applyBorder="1" applyAlignment="1" applyProtection="1">
      <alignment horizontal="center" vertical="center"/>
      <protection locked="0"/>
    </xf>
    <xf numFmtId="0" fontId="12" fillId="4" borderId="45" xfId="0" applyFont="1" applyFill="1" applyBorder="1" applyAlignment="1" applyProtection="1">
      <alignment horizontal="center" vertical="center"/>
      <protection hidden="1"/>
    </xf>
    <xf numFmtId="0" fontId="12" fillId="4" borderId="46" xfId="0" applyFont="1" applyFill="1" applyBorder="1" applyAlignment="1" applyProtection="1">
      <alignment horizontal="center" vertical="center"/>
      <protection hidden="1"/>
    </xf>
    <xf numFmtId="0" fontId="25" fillId="33" borderId="21" xfId="0" applyFont="1" applyFill="1" applyBorder="1" applyAlignment="1" applyProtection="1">
      <alignment horizontal="center" vertical="center" wrapText="1"/>
      <protection locked="0"/>
    </xf>
    <xf numFmtId="0" fontId="15" fillId="4" borderId="29" xfId="0" applyFont="1" applyFill="1" applyBorder="1" applyAlignment="1" applyProtection="1">
      <alignment horizontal="left" vertical="center"/>
      <protection locked="0"/>
    </xf>
    <xf numFmtId="0" fontId="15" fillId="4" borderId="25" xfId="0" applyFont="1" applyFill="1" applyBorder="1" applyAlignment="1" applyProtection="1">
      <alignment horizontal="left" vertical="center"/>
      <protection locked="0"/>
    </xf>
    <xf numFmtId="0" fontId="15" fillId="4" borderId="11" xfId="0" applyFont="1" applyFill="1" applyBorder="1" applyAlignment="1" applyProtection="1">
      <alignment horizontal="left" vertical="center"/>
      <protection locked="0"/>
    </xf>
    <xf numFmtId="0" fontId="17" fillId="4" borderId="2" xfId="0" applyFont="1" applyFill="1" applyBorder="1" applyAlignment="1" applyProtection="1">
      <alignment horizontal="center" vertical="center" wrapText="1"/>
      <protection locked="0"/>
    </xf>
    <xf numFmtId="0" fontId="28" fillId="4" borderId="26" xfId="0" applyFont="1" applyFill="1" applyBorder="1" applyAlignment="1" applyProtection="1">
      <alignment horizontal="center" vertical="center" wrapText="1"/>
      <protection hidden="1"/>
    </xf>
    <xf numFmtId="0" fontId="28" fillId="4" borderId="68" xfId="0" applyFont="1" applyFill="1" applyBorder="1" applyAlignment="1" applyProtection="1">
      <alignment horizontal="center" vertical="center" wrapText="1"/>
      <protection hidden="1"/>
    </xf>
    <xf numFmtId="0" fontId="14" fillId="4" borderId="20" xfId="0" applyFont="1" applyFill="1" applyBorder="1" applyAlignment="1" applyProtection="1">
      <alignment horizontal="right" vertical="center"/>
      <protection locked="0"/>
    </xf>
    <xf numFmtId="0" fontId="14" fillId="4" borderId="15" xfId="0" applyFont="1" applyFill="1" applyBorder="1" applyAlignment="1" applyProtection="1">
      <alignment horizontal="right" vertical="center"/>
      <protection locked="0"/>
    </xf>
    <xf numFmtId="0" fontId="14" fillId="4" borderId="18" xfId="0" applyFont="1" applyFill="1" applyBorder="1" applyAlignment="1" applyProtection="1">
      <alignment horizontal="right" vertical="center"/>
      <protection locked="0"/>
    </xf>
    <xf numFmtId="0" fontId="18" fillId="4" borderId="45" xfId="0" applyFont="1" applyFill="1" applyBorder="1" applyAlignment="1" applyProtection="1">
      <alignment horizontal="center" vertical="center"/>
      <protection hidden="1"/>
    </xf>
    <xf numFmtId="0" fontId="18" fillId="4" borderId="46" xfId="0" applyFont="1" applyFill="1" applyBorder="1" applyAlignment="1" applyProtection="1">
      <alignment horizontal="center" vertical="center"/>
      <protection hidden="1"/>
    </xf>
    <xf numFmtId="0" fontId="19" fillId="4" borderId="26" xfId="0" applyFont="1" applyFill="1" applyBorder="1" applyAlignment="1" applyProtection="1">
      <alignment horizontal="center" vertical="center"/>
      <protection hidden="1"/>
    </xf>
    <xf numFmtId="0" fontId="20" fillId="4" borderId="26" xfId="0" applyFont="1" applyFill="1" applyBorder="1" applyAlignment="1" applyProtection="1">
      <alignment horizontal="center" vertical="center"/>
      <protection hidden="1"/>
    </xf>
    <xf numFmtId="0" fontId="20" fillId="4" borderId="67" xfId="0" applyFont="1" applyFill="1" applyBorder="1" applyAlignment="1" applyProtection="1">
      <alignment horizontal="center" vertical="center"/>
      <protection hidden="1"/>
    </xf>
    <xf numFmtId="0" fontId="89" fillId="31" borderId="1" xfId="0" applyFont="1" applyFill="1" applyBorder="1" applyAlignment="1" applyProtection="1">
      <alignment horizontal="center" vertical="center"/>
      <protection hidden="1"/>
    </xf>
    <xf numFmtId="0" fontId="7" fillId="4" borderId="0" xfId="0" applyFont="1" applyFill="1" applyAlignment="1" applyProtection="1">
      <alignment horizontal="center"/>
      <protection hidden="1"/>
    </xf>
    <xf numFmtId="0" fontId="89" fillId="31" borderId="0" xfId="0" applyFont="1" applyFill="1" applyAlignment="1" applyProtection="1">
      <alignment horizontal="center" vertical="center"/>
      <protection hidden="1"/>
    </xf>
    <xf numFmtId="0" fontId="28" fillId="7" borderId="59" xfId="0" applyFont="1" applyFill="1" applyBorder="1" applyAlignment="1" applyProtection="1">
      <alignment horizontal="center" vertical="center" wrapText="1"/>
      <protection hidden="1"/>
    </xf>
    <xf numFmtId="0" fontId="28" fillId="7" borderId="60" xfId="0" applyFont="1" applyFill="1" applyBorder="1" applyAlignment="1" applyProtection="1">
      <alignment horizontal="center" vertical="center" wrapText="1"/>
      <protection hidden="1"/>
    </xf>
    <xf numFmtId="0" fontId="32" fillId="4" borderId="0" xfId="0" applyFont="1" applyFill="1" applyBorder="1" applyAlignment="1" applyProtection="1">
      <alignment horizontal="center"/>
      <protection hidden="1"/>
    </xf>
    <xf numFmtId="0" fontId="37" fillId="31" borderId="0" xfId="0" applyFont="1" applyFill="1" applyAlignment="1" applyProtection="1">
      <alignment horizontal="center" vertical="center" wrapText="1"/>
      <protection hidden="1"/>
    </xf>
    <xf numFmtId="0" fontId="31" fillId="31" borderId="0" xfId="0" applyFont="1" applyFill="1" applyAlignment="1" applyProtection="1">
      <alignment horizontal="center" vertical="center" wrapText="1"/>
      <protection hidden="1"/>
    </xf>
    <xf numFmtId="0" fontId="35" fillId="7" borderId="47" xfId="0" applyFont="1" applyFill="1" applyBorder="1" applyAlignment="1" applyProtection="1">
      <alignment horizontal="center"/>
      <protection hidden="1"/>
    </xf>
    <xf numFmtId="0" fontId="35" fillId="7" borderId="48" xfId="0" applyFont="1" applyFill="1" applyBorder="1" applyAlignment="1" applyProtection="1">
      <alignment horizontal="center"/>
      <protection hidden="1"/>
    </xf>
    <xf numFmtId="0" fontId="35" fillId="7" borderId="65" xfId="0" applyFont="1" applyFill="1" applyBorder="1" applyAlignment="1" applyProtection="1">
      <alignment horizontal="center"/>
      <protection hidden="1"/>
    </xf>
    <xf numFmtId="0" fontId="28" fillId="7" borderId="66" xfId="0" applyFont="1" applyFill="1" applyBorder="1" applyAlignment="1" applyProtection="1">
      <alignment horizontal="center" vertical="center"/>
      <protection locked="0"/>
    </xf>
    <xf numFmtId="0" fontId="28" fillId="7" borderId="48" xfId="0" applyFont="1" applyFill="1" applyBorder="1" applyAlignment="1" applyProtection="1">
      <alignment horizontal="center" vertical="center"/>
      <protection locked="0"/>
    </xf>
    <xf numFmtId="0" fontId="28" fillId="7" borderId="49" xfId="0" applyFont="1" applyFill="1" applyBorder="1" applyAlignment="1" applyProtection="1">
      <alignment horizontal="center" vertical="center"/>
      <protection locked="0"/>
    </xf>
    <xf numFmtId="0" fontId="29" fillId="7" borderId="46" xfId="0" applyFont="1" applyFill="1" applyBorder="1" applyAlignment="1" applyProtection="1">
      <alignment horizontal="center" vertical="center" wrapText="1"/>
      <protection hidden="1"/>
    </xf>
    <xf numFmtId="0" fontId="29" fillId="7" borderId="27" xfId="0" applyFont="1" applyFill="1" applyBorder="1" applyAlignment="1" applyProtection="1">
      <alignment horizontal="center" vertical="center" wrapText="1"/>
      <protection hidden="1"/>
    </xf>
    <xf numFmtId="0" fontId="83" fillId="31" borderId="0" xfId="0" applyFont="1" applyFill="1" applyAlignment="1" applyProtection="1">
      <alignment horizontal="center" vertical="center" wrapText="1"/>
      <protection hidden="1"/>
    </xf>
    <xf numFmtId="0" fontId="32" fillId="4" borderId="21" xfId="0" applyFont="1" applyFill="1" applyBorder="1" applyAlignment="1" applyProtection="1">
      <alignment horizontal="center"/>
      <protection hidden="1"/>
    </xf>
    <xf numFmtId="0" fontId="29" fillId="7" borderId="9" xfId="0" applyFont="1" applyFill="1" applyBorder="1" applyAlignment="1" applyProtection="1">
      <alignment horizontal="center" vertical="center" wrapText="1"/>
      <protection hidden="1"/>
    </xf>
    <xf numFmtId="0" fontId="29" fillId="7" borderId="10" xfId="0" applyFont="1" applyFill="1" applyBorder="1" applyAlignment="1" applyProtection="1">
      <alignment horizontal="center" vertical="center" wrapText="1"/>
      <protection hidden="1"/>
    </xf>
    <xf numFmtId="0" fontId="29" fillId="7" borderId="30" xfId="0" applyFont="1" applyFill="1" applyBorder="1" applyAlignment="1" applyProtection="1">
      <alignment horizontal="center" vertical="center" wrapText="1"/>
      <protection hidden="1"/>
    </xf>
    <xf numFmtId="0" fontId="29" fillId="7" borderId="29" xfId="0" applyFont="1" applyFill="1" applyBorder="1" applyAlignment="1" applyProtection="1">
      <alignment horizontal="center" vertical="center" wrapText="1"/>
      <protection hidden="1"/>
    </xf>
    <xf numFmtId="0" fontId="29" fillId="7" borderId="41" xfId="0" applyFont="1" applyFill="1" applyBorder="1" applyAlignment="1" applyProtection="1">
      <alignment horizontal="center" vertical="center" wrapText="1"/>
      <protection hidden="1"/>
    </xf>
    <xf numFmtId="0" fontId="29" fillId="7" borderId="42" xfId="0" applyFont="1" applyFill="1" applyBorder="1" applyAlignment="1" applyProtection="1">
      <alignment horizontal="center" vertical="center" wrapText="1"/>
      <protection hidden="1"/>
    </xf>
    <xf numFmtId="0" fontId="26" fillId="7" borderId="47" xfId="0" applyFont="1" applyFill="1" applyBorder="1" applyAlignment="1" applyProtection="1">
      <alignment horizontal="center"/>
      <protection hidden="1"/>
    </xf>
    <xf numFmtId="0" fontId="26" fillId="7" borderId="48" xfId="0" applyFont="1" applyFill="1" applyBorder="1" applyAlignment="1" applyProtection="1">
      <alignment horizontal="center"/>
      <protection hidden="1"/>
    </xf>
    <xf numFmtId="0" fontId="26" fillId="7" borderId="65" xfId="0" applyFont="1" applyFill="1" applyBorder="1" applyAlignment="1" applyProtection="1">
      <alignment horizontal="center"/>
      <protection hidden="1"/>
    </xf>
    <xf numFmtId="0" fontId="29" fillId="7" borderId="54" xfId="0" applyFont="1" applyFill="1" applyBorder="1" applyAlignment="1" applyProtection="1">
      <alignment horizontal="center" vertical="center"/>
      <protection locked="0"/>
    </xf>
    <xf numFmtId="0" fontId="29" fillId="7" borderId="38" xfId="0" applyFont="1" applyFill="1" applyBorder="1" applyAlignment="1" applyProtection="1">
      <alignment horizontal="center" vertical="center"/>
      <protection locked="0"/>
    </xf>
    <xf numFmtId="0" fontId="29" fillId="7" borderId="39" xfId="0" applyFont="1" applyFill="1" applyBorder="1" applyAlignment="1" applyProtection="1">
      <alignment horizontal="center" vertical="center"/>
      <protection locked="0"/>
    </xf>
    <xf numFmtId="0" fontId="49" fillId="7" borderId="6" xfId="0" applyFont="1" applyFill="1" applyBorder="1" applyAlignment="1" applyProtection="1">
      <alignment horizontal="center" vertical="center" wrapText="1"/>
      <protection locked="0"/>
    </xf>
    <xf numFmtId="0" fontId="49" fillId="7" borderId="22" xfId="0" applyFont="1" applyFill="1" applyBorder="1" applyAlignment="1" applyProtection="1">
      <alignment horizontal="center" vertical="center" wrapText="1"/>
      <protection locked="0"/>
    </xf>
    <xf numFmtId="0" fontId="27" fillId="7" borderId="31" xfId="0" applyFont="1" applyFill="1" applyBorder="1" applyAlignment="1" applyProtection="1">
      <alignment horizontal="center" vertical="center" wrapText="1"/>
      <protection locked="0"/>
    </xf>
    <xf numFmtId="0" fontId="8" fillId="31" borderId="0" xfId="0" applyFont="1" applyFill="1" applyAlignment="1" applyProtection="1">
      <alignment horizontal="center" vertical="center" wrapText="1"/>
      <protection hidden="1"/>
    </xf>
    <xf numFmtId="0" fontId="28" fillId="7" borderId="59" xfId="0" applyFont="1" applyFill="1" applyBorder="1" applyAlignment="1" applyProtection="1">
      <alignment horizontal="center"/>
      <protection hidden="1"/>
    </xf>
    <xf numFmtId="0" fontId="28" fillId="7" borderId="60" xfId="0" applyFont="1" applyFill="1" applyBorder="1" applyAlignment="1" applyProtection="1">
      <alignment horizontal="center"/>
      <protection hidden="1"/>
    </xf>
    <xf numFmtId="0" fontId="29" fillId="7" borderId="13" xfId="0" applyFont="1" applyFill="1" applyBorder="1" applyAlignment="1" applyProtection="1">
      <alignment horizontal="center" vertical="center" wrapText="1"/>
      <protection hidden="1"/>
    </xf>
    <xf numFmtId="2" fontId="66" fillId="7" borderId="31" xfId="0" applyNumberFormat="1" applyFont="1" applyFill="1" applyBorder="1" applyAlignment="1" applyProtection="1">
      <alignment horizontal="center" vertical="center" wrapText="1"/>
      <protection hidden="1"/>
    </xf>
    <xf numFmtId="0" fontId="29" fillId="7" borderId="59" xfId="0" applyFont="1" applyFill="1" applyBorder="1" applyAlignment="1" applyProtection="1">
      <alignment horizontal="center" vertical="center" wrapText="1"/>
      <protection hidden="1"/>
    </xf>
    <xf numFmtId="0" fontId="29" fillId="7" borderId="60" xfId="0" applyFont="1" applyFill="1" applyBorder="1" applyAlignment="1" applyProtection="1">
      <alignment horizontal="center" vertical="center" wrapText="1"/>
      <protection hidden="1"/>
    </xf>
    <xf numFmtId="0" fontId="38" fillId="31" borderId="0" xfId="0" applyFont="1" applyFill="1" applyAlignment="1" applyProtection="1">
      <alignment horizontal="center" vertical="center" wrapText="1"/>
      <protection hidden="1"/>
    </xf>
    <xf numFmtId="0" fontId="32" fillId="4" borderId="1" xfId="0" applyFont="1" applyFill="1" applyBorder="1" applyAlignment="1" applyProtection="1">
      <alignment horizontal="center" vertical="center"/>
      <protection hidden="1"/>
    </xf>
    <xf numFmtId="0" fontId="32" fillId="7" borderId="66" xfId="0" applyFont="1" applyFill="1" applyBorder="1" applyAlignment="1" applyProtection="1">
      <alignment horizontal="center" vertical="center"/>
      <protection locked="0"/>
    </xf>
    <xf numFmtId="0" fontId="32" fillId="7" borderId="48" xfId="0" applyFont="1" applyFill="1" applyBorder="1" applyAlignment="1" applyProtection="1">
      <alignment horizontal="center" vertical="center"/>
      <protection locked="0"/>
    </xf>
    <xf numFmtId="0" fontId="61" fillId="31" borderId="0" xfId="0" applyFont="1" applyFill="1" applyAlignment="1" applyProtection="1">
      <alignment horizontal="right" vertical="center" wrapText="1"/>
      <protection hidden="1"/>
    </xf>
    <xf numFmtId="0" fontId="29" fillId="7" borderId="25" xfId="0" applyFont="1" applyFill="1" applyBorder="1" applyAlignment="1" applyProtection="1">
      <alignment horizontal="center" vertical="center" wrapText="1"/>
      <protection hidden="1"/>
    </xf>
    <xf numFmtId="0" fontId="28" fillId="7" borderId="66" xfId="0" applyFont="1" applyFill="1" applyBorder="1" applyAlignment="1" applyProtection="1">
      <alignment horizontal="center" vertical="center"/>
      <protection hidden="1"/>
    </xf>
    <xf numFmtId="0" fontId="28" fillId="7" borderId="48" xfId="0" applyFont="1" applyFill="1" applyBorder="1" applyAlignment="1" applyProtection="1">
      <alignment horizontal="center" vertical="center"/>
      <protection hidden="1"/>
    </xf>
    <xf numFmtId="0" fontId="29" fillId="7" borderId="26" xfId="0" applyFont="1" applyFill="1" applyBorder="1" applyAlignment="1" applyProtection="1">
      <alignment horizontal="center" vertical="center" wrapText="1"/>
      <protection hidden="1"/>
    </xf>
    <xf numFmtId="0" fontId="29" fillId="7" borderId="68" xfId="0" applyFont="1" applyFill="1" applyBorder="1" applyAlignment="1" applyProtection="1">
      <alignment horizontal="center" vertical="center" wrapText="1"/>
      <protection hidden="1"/>
    </xf>
    <xf numFmtId="0" fontId="28" fillId="7" borderId="58" xfId="0" applyFont="1" applyFill="1" applyBorder="1" applyAlignment="1" applyProtection="1">
      <alignment horizontal="center" vertical="center"/>
      <protection locked="0"/>
    </xf>
    <xf numFmtId="0" fontId="28" fillId="7" borderId="0" xfId="0" applyFont="1" applyFill="1" applyBorder="1" applyAlignment="1" applyProtection="1">
      <alignment horizontal="center" vertical="center"/>
      <protection locked="0"/>
    </xf>
    <xf numFmtId="0" fontId="29" fillId="2" borderId="58" xfId="0" applyFont="1" applyFill="1" applyBorder="1" applyAlignment="1" applyProtection="1">
      <alignment horizontal="center" vertical="center" wrapText="1"/>
      <protection hidden="1"/>
    </xf>
    <xf numFmtId="0" fontId="29" fillId="2" borderId="25" xfId="0" applyFont="1" applyFill="1" applyBorder="1" applyAlignment="1" applyProtection="1">
      <alignment horizontal="center" vertical="center" wrapText="1"/>
      <protection hidden="1"/>
    </xf>
    <xf numFmtId="0" fontId="28" fillId="4" borderId="21" xfId="0" applyFont="1" applyFill="1" applyBorder="1" applyAlignment="1" applyProtection="1">
      <alignment horizontal="center"/>
      <protection hidden="1"/>
    </xf>
    <xf numFmtId="0" fontId="61" fillId="31" borderId="0" xfId="0" applyFont="1" applyFill="1" applyAlignment="1" applyProtection="1">
      <alignment horizontal="center" vertical="center" wrapText="1"/>
      <protection hidden="1"/>
    </xf>
    <xf numFmtId="0" fontId="32" fillId="4" borderId="1" xfId="0" applyFont="1" applyFill="1" applyBorder="1" applyAlignment="1" applyProtection="1">
      <alignment horizontal="right" vertical="center"/>
      <protection hidden="1"/>
    </xf>
    <xf numFmtId="0" fontId="41" fillId="7" borderId="59" xfId="0" applyFont="1" applyFill="1" applyBorder="1" applyAlignment="1" applyProtection="1">
      <alignment horizontal="center" vertical="center" wrapText="1"/>
      <protection hidden="1"/>
    </xf>
    <xf numFmtId="0" fontId="41" fillId="7" borderId="60" xfId="0" applyFont="1" applyFill="1" applyBorder="1" applyAlignment="1" applyProtection="1">
      <alignment horizontal="center" vertical="center" wrapText="1"/>
      <protection hidden="1"/>
    </xf>
    <xf numFmtId="0" fontId="36" fillId="31" borderId="0" xfId="0" applyFont="1" applyFill="1" applyBorder="1" applyAlignment="1" applyProtection="1">
      <alignment horizontal="center" vertical="center" wrapText="1"/>
      <protection hidden="1"/>
    </xf>
    <xf numFmtId="0" fontId="36" fillId="31" borderId="25" xfId="0" applyFont="1" applyFill="1" applyBorder="1" applyAlignment="1" applyProtection="1">
      <alignment horizontal="center" vertical="center" wrapText="1"/>
      <protection hidden="1"/>
    </xf>
    <xf numFmtId="0" fontId="11" fillId="7" borderId="3" xfId="0" applyFont="1" applyFill="1" applyBorder="1" applyAlignment="1" applyProtection="1">
      <alignment horizontal="center" vertical="center" wrapText="1"/>
      <protection hidden="1"/>
    </xf>
    <xf numFmtId="0" fontId="11" fillId="7" borderId="36" xfId="0" applyFont="1" applyFill="1" applyBorder="1" applyAlignment="1" applyProtection="1">
      <alignment horizontal="center" vertical="center" wrapText="1"/>
      <protection hidden="1"/>
    </xf>
    <xf numFmtId="0" fontId="11" fillId="7" borderId="4" xfId="0" applyFont="1" applyFill="1" applyBorder="1" applyAlignment="1" applyProtection="1">
      <alignment horizontal="center" vertical="center" wrapText="1"/>
      <protection hidden="1"/>
    </xf>
    <xf numFmtId="0" fontId="11" fillId="7" borderId="26" xfId="0" applyFont="1" applyFill="1" applyBorder="1" applyAlignment="1" applyProtection="1">
      <alignment horizontal="center" vertical="center" wrapText="1"/>
      <protection hidden="1"/>
    </xf>
    <xf numFmtId="0" fontId="12" fillId="7" borderId="4" xfId="0" applyFont="1" applyFill="1" applyBorder="1" applyAlignment="1" applyProtection="1">
      <alignment horizontal="center" vertical="center" wrapText="1"/>
      <protection hidden="1"/>
    </xf>
    <xf numFmtId="0" fontId="41" fillId="7" borderId="17" xfId="0" applyFont="1" applyFill="1" applyBorder="1" applyAlignment="1" applyProtection="1">
      <alignment horizontal="center" vertical="center" wrapText="1"/>
      <protection hidden="1"/>
    </xf>
    <xf numFmtId="0" fontId="41" fillId="7" borderId="67" xfId="0" applyFont="1" applyFill="1" applyBorder="1" applyAlignment="1" applyProtection="1">
      <alignment horizontal="center" vertical="center" wrapText="1"/>
      <protection hidden="1"/>
    </xf>
    <xf numFmtId="0" fontId="35" fillId="4" borderId="0" xfId="0" applyFont="1" applyFill="1" applyBorder="1" applyAlignment="1" applyProtection="1">
      <alignment horizontal="right"/>
      <protection hidden="1"/>
    </xf>
    <xf numFmtId="0" fontId="38" fillId="31" borderId="0" xfId="0" applyFont="1" applyFill="1" applyBorder="1" applyAlignment="1" applyProtection="1">
      <alignment horizontal="center" vertical="center" wrapText="1"/>
      <protection hidden="1"/>
    </xf>
    <xf numFmtId="0" fontId="38" fillId="31" borderId="25" xfId="0" applyFont="1" applyFill="1" applyBorder="1" applyAlignment="1" applyProtection="1">
      <alignment horizontal="center" vertical="center" wrapText="1"/>
      <protection hidden="1"/>
    </xf>
    <xf numFmtId="0" fontId="29" fillId="15" borderId="12" xfId="0" applyFont="1" applyFill="1" applyBorder="1" applyAlignment="1" applyProtection="1">
      <alignment horizontal="center" vertical="center"/>
      <protection hidden="1"/>
    </xf>
    <xf numFmtId="0" fontId="29" fillId="15" borderId="13" xfId="0" applyFont="1" applyFill="1" applyBorder="1" applyAlignment="1" applyProtection="1">
      <alignment horizontal="center" vertical="center"/>
      <protection hidden="1"/>
    </xf>
    <xf numFmtId="0" fontId="29" fillId="15" borderId="42" xfId="0" applyFont="1" applyFill="1" applyBorder="1" applyAlignment="1" applyProtection="1">
      <alignment horizontal="center" vertical="center"/>
      <protection hidden="1"/>
    </xf>
    <xf numFmtId="0" fontId="29" fillId="15" borderId="15" xfId="0" applyFont="1" applyFill="1" applyBorder="1" applyAlignment="1" applyProtection="1">
      <alignment horizontal="center" vertical="center"/>
      <protection hidden="1"/>
    </xf>
    <xf numFmtId="0" fontId="29" fillId="15" borderId="0" xfId="0" applyFont="1" applyFill="1" applyBorder="1" applyAlignment="1" applyProtection="1">
      <alignment horizontal="center" vertical="center"/>
      <protection hidden="1"/>
    </xf>
    <xf numFmtId="0" fontId="29" fillId="15" borderId="37" xfId="0" applyFont="1" applyFill="1" applyBorder="1" applyAlignment="1" applyProtection="1">
      <alignment horizontal="center" vertical="center"/>
      <protection hidden="1"/>
    </xf>
    <xf numFmtId="0" fontId="29" fillId="15" borderId="38" xfId="0" applyFont="1" applyFill="1" applyBorder="1" applyAlignment="1" applyProtection="1">
      <alignment horizontal="center" vertical="center"/>
      <protection hidden="1"/>
    </xf>
    <xf numFmtId="0" fontId="32" fillId="15" borderId="0" xfId="0" applyFont="1" applyFill="1" applyBorder="1" applyAlignment="1" applyProtection="1">
      <alignment horizontal="center" vertical="center"/>
      <protection hidden="1"/>
    </xf>
    <xf numFmtId="0" fontId="30" fillId="0" borderId="9" xfId="0" applyFont="1" applyBorder="1" applyAlignment="1" applyProtection="1">
      <alignment horizontal="center" vertical="center"/>
      <protection hidden="1"/>
    </xf>
    <xf numFmtId="0" fontId="7" fillId="0" borderId="10" xfId="0" applyFont="1" applyBorder="1" applyAlignment="1" applyProtection="1">
      <alignment horizontal="center" vertical="center"/>
      <protection hidden="1"/>
    </xf>
    <xf numFmtId="0" fontId="30" fillId="0" borderId="15" xfId="0" applyFont="1" applyBorder="1" applyAlignment="1" applyProtection="1">
      <alignment horizontal="center"/>
      <protection hidden="1"/>
    </xf>
    <xf numFmtId="0" fontId="30" fillId="0" borderId="0" xfId="0" applyFont="1" applyBorder="1" applyAlignment="1" applyProtection="1">
      <alignment horizontal="center"/>
      <protection hidden="1"/>
    </xf>
    <xf numFmtId="0" fontId="30" fillId="0" borderId="16" xfId="0" applyFont="1" applyBorder="1" applyAlignment="1" applyProtection="1">
      <alignment horizontal="center"/>
      <protection hidden="1"/>
    </xf>
    <xf numFmtId="0" fontId="29" fillId="15" borderId="59" xfId="0" applyFont="1" applyFill="1" applyBorder="1" applyAlignment="1" applyProtection="1">
      <alignment horizontal="center" vertical="center"/>
      <protection hidden="1"/>
    </xf>
    <xf numFmtId="0" fontId="29" fillId="15" borderId="60" xfId="0" applyFont="1" applyFill="1" applyBorder="1" applyAlignment="1" applyProtection="1">
      <alignment horizontal="center" vertical="center"/>
      <protection hidden="1"/>
    </xf>
    <xf numFmtId="0" fontId="29" fillId="15" borderId="61" xfId="0" applyFont="1" applyFill="1" applyBorder="1" applyAlignment="1" applyProtection="1">
      <alignment horizontal="center" vertical="center"/>
      <protection hidden="1"/>
    </xf>
    <xf numFmtId="0" fontId="29" fillId="15" borderId="3" xfId="0" applyFont="1" applyFill="1" applyBorder="1" applyAlignment="1" applyProtection="1">
      <alignment horizontal="center" vertical="center"/>
      <protection hidden="1"/>
    </xf>
    <xf numFmtId="0" fontId="29" fillId="15" borderId="4" xfId="0" applyFont="1" applyFill="1" applyBorder="1" applyAlignment="1" applyProtection="1">
      <alignment horizontal="center" vertical="center"/>
      <protection hidden="1"/>
    </xf>
    <xf numFmtId="0" fontId="29" fillId="15" borderId="5" xfId="0" applyFont="1" applyFill="1" applyBorder="1" applyAlignment="1" applyProtection="1">
      <alignment horizontal="center" vertical="center"/>
      <protection hidden="1"/>
    </xf>
    <xf numFmtId="0" fontId="29" fillId="15" borderId="2" xfId="0" applyFont="1" applyFill="1" applyBorder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/>
      <protection hidden="1"/>
    </xf>
    <xf numFmtId="0" fontId="29" fillId="15" borderId="13" xfId="0" applyFont="1" applyFill="1" applyBorder="1" applyAlignment="1" applyProtection="1">
      <alignment horizontal="center" vertical="center" wrapText="1"/>
      <protection hidden="1"/>
    </xf>
    <xf numFmtId="0" fontId="29" fillId="15" borderId="14" xfId="0" applyFont="1" applyFill="1" applyBorder="1" applyAlignment="1" applyProtection="1">
      <alignment horizontal="center" vertical="center" wrapText="1"/>
      <protection hidden="1"/>
    </xf>
    <xf numFmtId="0" fontId="29" fillId="15" borderId="0" xfId="0" applyFont="1" applyFill="1" applyBorder="1" applyAlignment="1" applyProtection="1">
      <alignment horizontal="left" vertical="center" wrapText="1"/>
      <protection hidden="1"/>
    </xf>
    <xf numFmtId="0" fontId="29" fillId="15" borderId="16" xfId="0" applyFont="1" applyFill="1" applyBorder="1" applyAlignment="1" applyProtection="1">
      <alignment horizontal="left" vertical="center" wrapText="1"/>
      <protection hidden="1"/>
    </xf>
    <xf numFmtId="0" fontId="29" fillId="15" borderId="35" xfId="0" applyFont="1" applyFill="1" applyBorder="1" applyAlignment="1" applyProtection="1">
      <alignment horizontal="center" vertical="center"/>
      <protection hidden="1"/>
    </xf>
    <xf numFmtId="0" fontId="29" fillId="15" borderId="7" xfId="0" applyFont="1" applyFill="1" applyBorder="1" applyAlignment="1" applyProtection="1">
      <alignment horizontal="center" vertical="center"/>
      <protection hidden="1"/>
    </xf>
    <xf numFmtId="1" fontId="28" fillId="15" borderId="5" xfId="0" applyNumberFormat="1" applyFont="1" applyFill="1" applyBorder="1" applyAlignment="1" applyProtection="1">
      <alignment horizontal="center" vertical="center" wrapText="1"/>
      <protection hidden="1"/>
    </xf>
    <xf numFmtId="1" fontId="28" fillId="15" borderId="2" xfId="0" applyNumberFormat="1" applyFont="1" applyFill="1" applyBorder="1" applyAlignment="1" applyProtection="1">
      <alignment horizontal="center" vertical="center" wrapText="1"/>
      <protection hidden="1"/>
    </xf>
    <xf numFmtId="0" fontId="28" fillId="15" borderId="5" xfId="0" applyFont="1" applyFill="1" applyBorder="1" applyAlignment="1" applyProtection="1">
      <alignment horizontal="center" vertical="center"/>
      <protection hidden="1"/>
    </xf>
    <xf numFmtId="0" fontId="28" fillId="15" borderId="2" xfId="0" applyFont="1" applyFill="1" applyBorder="1" applyAlignment="1" applyProtection="1">
      <alignment horizontal="center" vertical="center"/>
      <protection hidden="1"/>
    </xf>
    <xf numFmtId="0" fontId="28" fillId="15" borderId="2" xfId="0" applyFont="1" applyFill="1" applyBorder="1" applyAlignment="1" applyProtection="1">
      <alignment horizontal="center" vertical="center" wrapText="1"/>
      <protection hidden="1"/>
    </xf>
    <xf numFmtId="0" fontId="28" fillId="15" borderId="19" xfId="0" applyFont="1" applyFill="1" applyBorder="1" applyAlignment="1" applyProtection="1">
      <alignment horizontal="center" vertical="center"/>
      <protection hidden="1"/>
    </xf>
    <xf numFmtId="0" fontId="28" fillId="15" borderId="9" xfId="0" applyFont="1" applyFill="1" applyBorder="1" applyAlignment="1" applyProtection="1">
      <alignment horizontal="center" vertical="center"/>
      <protection hidden="1"/>
    </xf>
    <xf numFmtId="0" fontId="28" fillId="15" borderId="10" xfId="0" applyFont="1" applyFill="1" applyBorder="1" applyAlignment="1" applyProtection="1">
      <alignment horizontal="center" vertical="center"/>
      <protection hidden="1"/>
    </xf>
    <xf numFmtId="0" fontId="28" fillId="15" borderId="40" xfId="0" applyFont="1" applyFill="1" applyBorder="1" applyAlignment="1" applyProtection="1">
      <alignment horizontal="center" vertical="center"/>
      <protection hidden="1"/>
    </xf>
    <xf numFmtId="0" fontId="26" fillId="15" borderId="15" xfId="0" applyFont="1" applyFill="1" applyBorder="1" applyAlignment="1" applyProtection="1">
      <alignment horizontal="center" vertical="center" wrapText="1"/>
      <protection hidden="1"/>
    </xf>
    <xf numFmtId="0" fontId="26" fillId="15" borderId="0" xfId="0" applyFont="1" applyFill="1" applyBorder="1" applyAlignment="1" applyProtection="1">
      <alignment horizontal="center" vertical="center" wrapText="1"/>
      <protection hidden="1"/>
    </xf>
    <xf numFmtId="0" fontId="26" fillId="15" borderId="16" xfId="0" applyFont="1" applyFill="1" applyBorder="1" applyAlignment="1" applyProtection="1">
      <alignment horizontal="center" vertical="center" wrapText="1"/>
      <protection hidden="1"/>
    </xf>
    <xf numFmtId="0" fontId="26" fillId="15" borderId="23" xfId="0" applyFont="1" applyFill="1" applyBorder="1" applyAlignment="1" applyProtection="1">
      <alignment horizontal="center" vertical="center" wrapText="1"/>
      <protection hidden="1"/>
    </xf>
    <xf numFmtId="0" fontId="26" fillId="15" borderId="21" xfId="0" applyFont="1" applyFill="1" applyBorder="1" applyAlignment="1" applyProtection="1">
      <alignment horizontal="center" vertical="center" wrapText="1"/>
      <protection hidden="1"/>
    </xf>
    <xf numFmtId="0" fontId="26" fillId="15" borderId="24" xfId="0" applyFont="1" applyFill="1" applyBorder="1" applyAlignment="1" applyProtection="1">
      <alignment horizontal="center" vertical="center" wrapText="1"/>
      <protection hidden="1"/>
    </xf>
    <xf numFmtId="0" fontId="28" fillId="15" borderId="23" xfId="0" applyFont="1" applyFill="1" applyBorder="1" applyAlignment="1" applyProtection="1">
      <alignment horizontal="center" vertical="center"/>
      <protection hidden="1"/>
    </xf>
    <xf numFmtId="0" fontId="28" fillId="15" borderId="21" xfId="0" applyFont="1" applyFill="1" applyBorder="1" applyAlignment="1" applyProtection="1">
      <alignment horizontal="center" vertical="center"/>
      <protection hidden="1"/>
    </xf>
    <xf numFmtId="0" fontId="28" fillId="15" borderId="24" xfId="0" applyFont="1" applyFill="1" applyBorder="1" applyAlignment="1" applyProtection="1">
      <alignment horizontal="center" vertical="center"/>
      <protection hidden="1"/>
    </xf>
    <xf numFmtId="0" fontId="30" fillId="15" borderId="28" xfId="0" applyFont="1" applyFill="1" applyBorder="1" applyAlignment="1" applyProtection="1">
      <alignment horizontal="center" vertical="center"/>
      <protection hidden="1"/>
    </xf>
    <xf numFmtId="0" fontId="30" fillId="15" borderId="27" xfId="0" applyFont="1" applyFill="1" applyBorder="1" applyAlignment="1" applyProtection="1">
      <alignment horizontal="center" vertical="center"/>
      <protection hidden="1"/>
    </xf>
    <xf numFmtId="0" fontId="30" fillId="15" borderId="44" xfId="0" applyFont="1" applyFill="1" applyBorder="1" applyAlignment="1" applyProtection="1">
      <alignment horizontal="center" vertical="center"/>
      <protection hidden="1"/>
    </xf>
    <xf numFmtId="0" fontId="39" fillId="15" borderId="15" xfId="0" applyFont="1" applyFill="1" applyBorder="1" applyAlignment="1" applyProtection="1">
      <alignment horizontal="center" vertical="center" wrapText="1"/>
      <protection hidden="1"/>
    </xf>
    <xf numFmtId="0" fontId="39" fillId="15" borderId="0" xfId="0" applyFont="1" applyFill="1" applyBorder="1" applyAlignment="1" applyProtection="1">
      <alignment horizontal="center" vertical="center" wrapText="1"/>
      <protection hidden="1"/>
    </xf>
    <xf numFmtId="0" fontId="39" fillId="15" borderId="25" xfId="0" applyFont="1" applyFill="1" applyBorder="1" applyAlignment="1" applyProtection="1">
      <alignment horizontal="center" vertical="center" wrapText="1"/>
      <protection hidden="1"/>
    </xf>
    <xf numFmtId="1" fontId="28" fillId="15" borderId="58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25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16" xfId="0" applyNumberFormat="1" applyFont="1" applyFill="1" applyBorder="1" applyAlignment="1" applyProtection="1">
      <alignment horizontal="center" vertical="top" wrapText="1"/>
      <protection hidden="1"/>
    </xf>
    <xf numFmtId="0" fontId="28" fillId="15" borderId="0" xfId="0" applyFont="1" applyFill="1" applyBorder="1" applyAlignment="1" applyProtection="1">
      <alignment horizontal="left" vertical="center"/>
      <protection hidden="1"/>
    </xf>
    <xf numFmtId="0" fontId="28" fillId="15" borderId="16" xfId="0" applyFont="1" applyFill="1" applyBorder="1" applyAlignment="1" applyProtection="1">
      <alignment horizontal="left" vertical="center"/>
      <protection hidden="1"/>
    </xf>
    <xf numFmtId="0" fontId="29" fillId="15" borderId="4" xfId="0" applyFont="1" applyFill="1" applyBorder="1" applyAlignment="1" applyProtection="1">
      <alignment horizontal="center" vertical="center" wrapText="1"/>
      <protection hidden="1"/>
    </xf>
    <xf numFmtId="0" fontId="65" fillId="15" borderId="4" xfId="0" applyFont="1" applyFill="1" applyBorder="1" applyProtection="1">
      <protection hidden="1"/>
    </xf>
    <xf numFmtId="165" fontId="28" fillId="15" borderId="0" xfId="0" applyNumberFormat="1" applyFont="1" applyFill="1" applyBorder="1" applyAlignment="1" applyProtection="1">
      <alignment horizontal="left" vertical="center"/>
      <protection hidden="1"/>
    </xf>
    <xf numFmtId="165" fontId="28" fillId="15" borderId="16" xfId="0" applyNumberFormat="1" applyFont="1" applyFill="1" applyBorder="1" applyAlignment="1" applyProtection="1">
      <alignment horizontal="left" vertical="center"/>
      <protection hidden="1"/>
    </xf>
    <xf numFmtId="0" fontId="29" fillId="15" borderId="62" xfId="0" applyFont="1" applyFill="1" applyBorder="1" applyAlignment="1" applyProtection="1">
      <alignment horizontal="center"/>
      <protection hidden="1"/>
    </xf>
    <xf numFmtId="0" fontId="29" fillId="15" borderId="50" xfId="0" applyFont="1" applyFill="1" applyBorder="1" applyAlignment="1" applyProtection="1">
      <alignment horizontal="center"/>
      <protection hidden="1"/>
    </xf>
    <xf numFmtId="0" fontId="29" fillId="15" borderId="3" xfId="0" applyFont="1" applyFill="1" applyBorder="1" applyAlignment="1" applyProtection="1">
      <alignment horizontal="center" vertical="center" wrapText="1"/>
      <protection hidden="1"/>
    </xf>
    <xf numFmtId="0" fontId="29" fillId="15" borderId="22" xfId="0" applyFont="1" applyFill="1" applyBorder="1" applyAlignment="1" applyProtection="1">
      <alignment horizontal="center" vertical="center"/>
      <protection hidden="1"/>
    </xf>
    <xf numFmtId="0" fontId="29" fillId="4" borderId="13" xfId="0" applyFont="1" applyFill="1" applyBorder="1" applyAlignment="1" applyProtection="1">
      <alignment horizontal="right" vertical="center"/>
      <protection hidden="1"/>
    </xf>
    <xf numFmtId="0" fontId="85" fillId="15" borderId="0" xfId="0" applyFont="1" applyFill="1" applyBorder="1" applyAlignment="1" applyProtection="1">
      <alignment horizontal="center"/>
      <protection hidden="1"/>
    </xf>
    <xf numFmtId="0" fontId="43" fillId="15" borderId="16" xfId="0" applyFont="1" applyFill="1" applyBorder="1" applyAlignment="1" applyProtection="1">
      <alignment horizontal="center"/>
      <protection hidden="1"/>
    </xf>
    <xf numFmtId="0" fontId="29" fillId="15" borderId="0" xfId="0" applyFont="1" applyFill="1" applyBorder="1" applyAlignment="1" applyProtection="1">
      <alignment horizontal="center" vertical="center" wrapText="1"/>
      <protection hidden="1"/>
    </xf>
    <xf numFmtId="0" fontId="29" fillId="15" borderId="16" xfId="0" applyFont="1" applyFill="1" applyBorder="1" applyAlignment="1" applyProtection="1">
      <alignment horizontal="center" vertical="center" wrapText="1"/>
      <protection hidden="1"/>
    </xf>
    <xf numFmtId="0" fontId="29" fillId="15" borderId="21" xfId="0" applyFont="1" applyFill="1" applyBorder="1" applyAlignment="1" applyProtection="1">
      <alignment horizontal="center" vertical="center" wrapText="1"/>
      <protection hidden="1"/>
    </xf>
    <xf numFmtId="0" fontId="29" fillId="15" borderId="24" xfId="0" applyFont="1" applyFill="1" applyBorder="1" applyAlignment="1" applyProtection="1">
      <alignment horizontal="center" vertical="center" wrapText="1"/>
      <protection hidden="1"/>
    </xf>
    <xf numFmtId="0" fontId="69" fillId="15" borderId="13" xfId="0" applyFont="1" applyFill="1" applyBorder="1" applyAlignment="1" applyProtection="1">
      <alignment horizontal="center" vertical="top" wrapText="1"/>
      <protection hidden="1"/>
    </xf>
    <xf numFmtId="0" fontId="7" fillId="15" borderId="13" xfId="0" applyFont="1" applyFill="1" applyBorder="1" applyAlignment="1" applyProtection="1">
      <alignment horizontal="center"/>
      <protection hidden="1"/>
    </xf>
    <xf numFmtId="0" fontId="7" fillId="15" borderId="14" xfId="0" applyFont="1" applyFill="1" applyBorder="1" applyAlignment="1" applyProtection="1">
      <alignment horizontal="center"/>
      <protection hidden="1"/>
    </xf>
    <xf numFmtId="0" fontId="30" fillId="0" borderId="5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68" fillId="15" borderId="6" xfId="0" applyFont="1" applyFill="1" applyBorder="1" applyProtection="1">
      <protection hidden="1"/>
    </xf>
    <xf numFmtId="0" fontId="28" fillId="15" borderId="10" xfId="0" applyFont="1" applyFill="1" applyBorder="1" applyAlignment="1" applyProtection="1">
      <alignment horizontal="center" vertical="center" wrapText="1"/>
      <protection hidden="1"/>
    </xf>
    <xf numFmtId="0" fontId="29" fillId="15" borderId="21" xfId="0" applyFont="1" applyFill="1" applyBorder="1" applyAlignment="1" applyProtection="1">
      <alignment horizontal="center" vertical="center"/>
      <protection hidden="1"/>
    </xf>
    <xf numFmtId="1" fontId="28" fillId="15" borderId="9" xfId="0" applyNumberFormat="1" applyFont="1" applyFill="1" applyBorder="1" applyAlignment="1" applyProtection="1">
      <alignment horizontal="center" vertical="center" wrapText="1"/>
      <protection hidden="1"/>
    </xf>
    <xf numFmtId="1" fontId="28" fillId="15" borderId="10" xfId="0" applyNumberFormat="1" applyFont="1" applyFill="1" applyBorder="1" applyAlignment="1" applyProtection="1">
      <alignment horizontal="center" vertical="center" wrapText="1"/>
      <protection hidden="1"/>
    </xf>
    <xf numFmtId="0" fontId="68" fillId="15" borderId="54" xfId="0" applyFont="1" applyFill="1" applyBorder="1" applyProtection="1">
      <protection hidden="1"/>
    </xf>
    <xf numFmtId="0" fontId="7" fillId="15" borderId="48" xfId="0" applyFont="1" applyFill="1" applyBorder="1" applyAlignment="1" applyProtection="1">
      <alignment horizontal="center"/>
      <protection hidden="1"/>
    </xf>
    <xf numFmtId="0" fontId="30" fillId="15" borderId="0" xfId="0" applyFont="1" applyFill="1" applyBorder="1" applyAlignment="1" applyProtection="1">
      <alignment horizontal="center"/>
      <protection hidden="1"/>
    </xf>
    <xf numFmtId="0" fontId="30" fillId="15" borderId="15" xfId="0" applyFont="1" applyFill="1" applyBorder="1" applyAlignment="1" applyProtection="1">
      <alignment horizontal="center" vertical="center"/>
      <protection hidden="1"/>
    </xf>
    <xf numFmtId="0" fontId="30" fillId="15" borderId="0" xfId="0" applyFont="1" applyFill="1" applyBorder="1" applyAlignment="1" applyProtection="1">
      <alignment horizontal="center" vertical="center"/>
      <protection hidden="1"/>
    </xf>
    <xf numFmtId="0" fontId="29" fillId="15" borderId="15" xfId="0" applyFont="1" applyFill="1" applyBorder="1" applyAlignment="1" applyProtection="1">
      <alignment horizontal="center" vertical="center" wrapText="1"/>
      <protection hidden="1"/>
    </xf>
    <xf numFmtId="0" fontId="29" fillId="15" borderId="23" xfId="0" applyFont="1" applyFill="1" applyBorder="1" applyAlignment="1" applyProtection="1">
      <alignment horizontal="center" vertical="center" wrapText="1"/>
      <protection hidden="1"/>
    </xf>
    <xf numFmtId="0" fontId="28" fillId="15" borderId="12" xfId="0" applyFont="1" applyFill="1" applyBorder="1" applyAlignment="1" applyProtection="1">
      <alignment horizontal="center" vertical="center" wrapText="1"/>
      <protection hidden="1"/>
    </xf>
    <xf numFmtId="0" fontId="28" fillId="15" borderId="13" xfId="0" applyFont="1" applyFill="1" applyBorder="1" applyAlignment="1" applyProtection="1">
      <alignment horizontal="center" vertical="center" wrapText="1"/>
      <protection hidden="1"/>
    </xf>
    <xf numFmtId="0" fontId="28" fillId="15" borderId="14" xfId="0" applyFont="1" applyFill="1" applyBorder="1" applyAlignment="1" applyProtection="1">
      <alignment horizontal="center" vertical="center" wrapText="1"/>
      <protection hidden="1"/>
    </xf>
    <xf numFmtId="0" fontId="28" fillId="15" borderId="15" xfId="0" applyFont="1" applyFill="1" applyBorder="1" applyAlignment="1" applyProtection="1">
      <alignment horizontal="center" vertical="center" wrapText="1"/>
      <protection hidden="1"/>
    </xf>
    <xf numFmtId="0" fontId="28" fillId="15" borderId="0" xfId="0" applyFont="1" applyFill="1" applyBorder="1" applyAlignment="1" applyProtection="1">
      <alignment horizontal="center" vertical="center" wrapText="1"/>
      <protection hidden="1"/>
    </xf>
    <xf numFmtId="0" fontId="28" fillId="15" borderId="16" xfId="0" applyFont="1" applyFill="1" applyBorder="1" applyAlignment="1" applyProtection="1">
      <alignment horizontal="center" vertical="center" wrapText="1"/>
      <protection hidden="1"/>
    </xf>
    <xf numFmtId="0" fontId="28" fillId="15" borderId="23" xfId="0" applyFont="1" applyFill="1" applyBorder="1" applyAlignment="1" applyProtection="1">
      <alignment horizontal="center" vertical="center" wrapText="1"/>
      <protection hidden="1"/>
    </xf>
    <xf numFmtId="0" fontId="28" fillId="15" borderId="21" xfId="0" applyFont="1" applyFill="1" applyBorder="1" applyAlignment="1" applyProtection="1">
      <alignment horizontal="center" vertical="center" wrapText="1"/>
      <protection hidden="1"/>
    </xf>
    <xf numFmtId="0" fontId="28" fillId="15" borderId="24" xfId="0" applyFont="1" applyFill="1" applyBorder="1" applyAlignment="1" applyProtection="1">
      <alignment horizontal="center" vertical="center" wrapText="1"/>
      <protection hidden="1"/>
    </xf>
    <xf numFmtId="0" fontId="7" fillId="4" borderId="0" xfId="0" applyFont="1" applyFill="1" applyBorder="1" applyAlignment="1" applyProtection="1">
      <alignment horizontal="center"/>
      <protection hidden="1"/>
    </xf>
    <xf numFmtId="0" fontId="68" fillId="15" borderId="2" xfId="0" applyFont="1" applyFill="1" applyBorder="1" applyProtection="1">
      <protection hidden="1"/>
    </xf>
    <xf numFmtId="0" fontId="28" fillId="15" borderId="0" xfId="0" applyFont="1" applyFill="1" applyBorder="1" applyAlignment="1" applyProtection="1">
      <alignment horizontal="left" vertical="center"/>
      <protection locked="0"/>
    </xf>
    <xf numFmtId="0" fontId="28" fillId="15" borderId="16" xfId="0" applyFont="1" applyFill="1" applyBorder="1" applyAlignment="1" applyProtection="1">
      <alignment horizontal="left" vertical="center"/>
      <protection locked="0"/>
    </xf>
    <xf numFmtId="0" fontId="29" fillId="15" borderId="25" xfId="0" applyFont="1" applyFill="1" applyBorder="1" applyAlignment="1" applyProtection="1">
      <alignment horizontal="center" vertical="center"/>
      <protection hidden="1"/>
    </xf>
    <xf numFmtId="0" fontId="29" fillId="15" borderId="4" xfId="0" applyFont="1" applyFill="1" applyBorder="1" applyAlignment="1" applyProtection="1">
      <alignment horizontal="center"/>
      <protection hidden="1"/>
    </xf>
    <xf numFmtId="0" fontId="29" fillId="15" borderId="17" xfId="0" applyFont="1" applyFill="1" applyBorder="1" applyAlignment="1" applyProtection="1">
      <alignment horizontal="center"/>
      <protection hidden="1"/>
    </xf>
    <xf numFmtId="0" fontId="29" fillId="15" borderId="34" xfId="0" applyFont="1" applyFill="1" applyBorder="1" applyAlignment="1" applyProtection="1">
      <alignment horizontal="center" vertical="center" wrapText="1"/>
      <protection hidden="1"/>
    </xf>
    <xf numFmtId="0" fontId="29" fillId="15" borderId="57" xfId="0" applyFont="1" applyFill="1" applyBorder="1" applyAlignment="1" applyProtection="1">
      <alignment horizontal="center" vertical="center" wrapText="1"/>
      <protection hidden="1"/>
    </xf>
    <xf numFmtId="0" fontId="65" fillId="15" borderId="57" xfId="0" applyFont="1" applyFill="1" applyBorder="1" applyProtection="1">
      <protection hidden="1"/>
    </xf>
    <xf numFmtId="0" fontId="68" fillId="15" borderId="10" xfId="0" applyFont="1" applyFill="1" applyBorder="1" applyProtection="1">
      <protection hidden="1"/>
    </xf>
    <xf numFmtId="1" fontId="28" fillId="15" borderId="6" xfId="0" applyNumberFormat="1" applyFont="1" applyFill="1" applyBorder="1" applyAlignment="1" applyProtection="1">
      <alignment horizontal="center" vertical="center" wrapText="1"/>
      <protection hidden="1"/>
    </xf>
    <xf numFmtId="1" fontId="28" fillId="15" borderId="22" xfId="0" applyNumberFormat="1" applyFont="1" applyFill="1" applyBorder="1" applyAlignment="1" applyProtection="1">
      <alignment horizontal="center" vertical="center" wrapText="1"/>
      <protection hidden="1"/>
    </xf>
    <xf numFmtId="0" fontId="28" fillId="15" borderId="6" xfId="0" applyFont="1" applyFill="1" applyBorder="1" applyAlignment="1" applyProtection="1">
      <alignment horizontal="center" vertical="center"/>
      <protection hidden="1"/>
    </xf>
    <xf numFmtId="0" fontId="28" fillId="15" borderId="7" xfId="0" applyFont="1" applyFill="1" applyBorder="1" applyAlignment="1" applyProtection="1">
      <alignment horizontal="center" vertical="center"/>
      <protection hidden="1"/>
    </xf>
    <xf numFmtId="0" fontId="26" fillId="15" borderId="41" xfId="0" applyFont="1" applyFill="1" applyBorder="1" applyAlignment="1" applyProtection="1">
      <alignment horizontal="center" vertical="center" wrapText="1"/>
      <protection hidden="1"/>
    </xf>
    <xf numFmtId="0" fontId="26" fillId="15" borderId="58" xfId="0" applyFont="1" applyFill="1" applyBorder="1" applyAlignment="1" applyProtection="1">
      <alignment horizontal="center" vertical="center" wrapText="1"/>
      <protection hidden="1"/>
    </xf>
    <xf numFmtId="0" fontId="28" fillId="15" borderId="41" xfId="0" applyFont="1" applyFill="1" applyBorder="1" applyAlignment="1" applyProtection="1">
      <alignment horizontal="center" vertical="center" wrapText="1"/>
      <protection hidden="1"/>
    </xf>
    <xf numFmtId="0" fontId="28" fillId="15" borderId="58" xfId="0" applyFont="1" applyFill="1" applyBorder="1" applyAlignment="1" applyProtection="1">
      <alignment horizontal="center" vertical="center" wrapText="1"/>
      <protection hidden="1"/>
    </xf>
    <xf numFmtId="0" fontId="26" fillId="15" borderId="4" xfId="0" applyFont="1" applyFill="1" applyBorder="1" applyAlignment="1" applyProtection="1">
      <alignment horizontal="center" vertical="center" wrapText="1"/>
      <protection hidden="1"/>
    </xf>
    <xf numFmtId="0" fontId="26" fillId="15" borderId="2" xfId="0" applyFont="1" applyFill="1" applyBorder="1" applyAlignment="1" applyProtection="1">
      <alignment horizontal="center" vertical="center" wrapText="1"/>
      <protection hidden="1"/>
    </xf>
    <xf numFmtId="0" fontId="28" fillId="15" borderId="17" xfId="0" applyFont="1" applyFill="1" applyBorder="1" applyAlignment="1" applyProtection="1">
      <alignment horizontal="center" vertical="center" wrapText="1"/>
      <protection hidden="1"/>
    </xf>
    <xf numFmtId="0" fontId="28" fillId="15" borderId="19" xfId="0" applyFont="1" applyFill="1" applyBorder="1" applyAlignment="1" applyProtection="1">
      <alignment horizontal="center" vertical="center" wrapText="1"/>
      <protection hidden="1"/>
    </xf>
    <xf numFmtId="0" fontId="29" fillId="15" borderId="39" xfId="0" applyFont="1" applyFill="1" applyBorder="1" applyAlignment="1" applyProtection="1">
      <alignment horizontal="center" vertical="center"/>
      <protection hidden="1"/>
    </xf>
    <xf numFmtId="1" fontId="28" fillId="15" borderId="54" xfId="0" applyNumberFormat="1" applyFont="1" applyFill="1" applyBorder="1" applyAlignment="1" applyProtection="1">
      <alignment horizontal="center" vertical="center" wrapText="1"/>
      <protection hidden="1"/>
    </xf>
    <xf numFmtId="1" fontId="28" fillId="15" borderId="39" xfId="0" applyNumberFormat="1" applyFont="1" applyFill="1" applyBorder="1" applyAlignment="1" applyProtection="1">
      <alignment horizontal="center" vertical="center" wrapText="1"/>
      <protection hidden="1"/>
    </xf>
    <xf numFmtId="2" fontId="28" fillId="15" borderId="6" xfId="0" applyNumberFormat="1" applyFont="1" applyFill="1" applyBorder="1" applyAlignment="1" applyProtection="1">
      <alignment horizontal="center" vertical="top" wrapText="1"/>
      <protection hidden="1"/>
    </xf>
    <xf numFmtId="2" fontId="28" fillId="15" borderId="22" xfId="0" applyNumberFormat="1" applyFont="1" applyFill="1" applyBorder="1" applyAlignment="1" applyProtection="1">
      <alignment horizontal="center" vertical="top" wrapText="1"/>
      <protection hidden="1"/>
    </xf>
    <xf numFmtId="0" fontId="29" fillId="0" borderId="15" xfId="0" applyFont="1" applyBorder="1" applyAlignment="1" applyProtection="1">
      <alignment horizontal="center" vertical="center"/>
      <protection hidden="1"/>
    </xf>
    <xf numFmtId="0" fontId="29" fillId="0" borderId="0" xfId="0" applyFont="1" applyBorder="1" applyAlignment="1" applyProtection="1">
      <alignment horizontal="center" vertical="center"/>
      <protection hidden="1"/>
    </xf>
    <xf numFmtId="0" fontId="29" fillId="0" borderId="0" xfId="0" applyFont="1" applyBorder="1" applyAlignment="1" applyProtection="1">
      <alignment horizontal="left" vertical="center"/>
      <protection hidden="1"/>
    </xf>
    <xf numFmtId="0" fontId="29" fillId="0" borderId="0" xfId="0" applyFont="1" applyBorder="1" applyAlignment="1" applyProtection="1">
      <alignment horizontal="center" vertical="center"/>
      <protection locked="0"/>
    </xf>
    <xf numFmtId="0" fontId="51" fillId="15" borderId="0" xfId="0" applyFont="1" applyFill="1" applyBorder="1" applyAlignment="1" applyProtection="1">
      <alignment horizontal="left" vertical="center"/>
      <protection hidden="1"/>
    </xf>
    <xf numFmtId="0" fontId="51" fillId="15" borderId="16" xfId="0" applyFont="1" applyFill="1" applyBorder="1" applyAlignment="1" applyProtection="1">
      <alignment horizontal="left" vertical="center"/>
      <protection hidden="1"/>
    </xf>
    <xf numFmtId="0" fontId="43" fillId="15" borderId="6" xfId="0" applyFont="1" applyFill="1" applyBorder="1" applyAlignment="1" applyProtection="1">
      <alignment horizontal="center"/>
      <protection hidden="1"/>
    </xf>
    <xf numFmtId="0" fontId="43" fillId="15" borderId="7" xfId="0" applyFont="1" applyFill="1" applyBorder="1" applyAlignment="1" applyProtection="1">
      <alignment horizontal="center"/>
      <protection hidden="1"/>
    </xf>
    <xf numFmtId="0" fontId="43" fillId="15" borderId="22" xfId="0" applyFont="1" applyFill="1" applyBorder="1" applyAlignment="1" applyProtection="1">
      <alignment horizontal="center"/>
      <protection hidden="1"/>
    </xf>
    <xf numFmtId="1" fontId="28" fillId="15" borderId="2" xfId="0" applyNumberFormat="1" applyFont="1" applyFill="1" applyBorder="1" applyAlignment="1" applyProtection="1">
      <alignment horizontal="center"/>
      <protection hidden="1"/>
    </xf>
    <xf numFmtId="0" fontId="39" fillId="15" borderId="2" xfId="0" applyFont="1" applyFill="1" applyBorder="1" applyAlignment="1" applyProtection="1">
      <alignment horizontal="center" vertical="center" wrapText="1"/>
      <protection hidden="1"/>
    </xf>
    <xf numFmtId="0" fontId="44" fillId="15" borderId="2" xfId="0" applyFont="1" applyFill="1" applyBorder="1" applyAlignment="1" applyProtection="1">
      <alignment horizontal="center" vertical="center" wrapText="1"/>
      <protection hidden="1"/>
    </xf>
    <xf numFmtId="0" fontId="39" fillId="15" borderId="6" xfId="0" applyFont="1" applyFill="1" applyBorder="1" applyAlignment="1" applyProtection="1">
      <alignment horizontal="center" vertical="center" wrapText="1"/>
      <protection hidden="1"/>
    </xf>
    <xf numFmtId="0" fontId="39" fillId="15" borderId="7" xfId="0" applyFont="1" applyFill="1" applyBorder="1" applyAlignment="1" applyProtection="1">
      <alignment horizontal="center" vertical="center" wrapText="1"/>
      <protection hidden="1"/>
    </xf>
    <xf numFmtId="0" fontId="43" fillId="15" borderId="6" xfId="0" applyFont="1" applyFill="1" applyBorder="1" applyAlignment="1" applyProtection="1">
      <alignment horizontal="center" vertical="center" wrapText="1"/>
      <protection hidden="1"/>
    </xf>
    <xf numFmtId="0" fontId="43" fillId="15" borderId="7" xfId="0" applyFont="1" applyFill="1" applyBorder="1" applyAlignment="1" applyProtection="1">
      <alignment horizontal="center" vertical="center" wrapText="1"/>
      <protection hidden="1"/>
    </xf>
    <xf numFmtId="0" fontId="29" fillId="15" borderId="6" xfId="0" applyFont="1" applyFill="1" applyBorder="1" applyAlignment="1" applyProtection="1">
      <alignment horizontal="center" vertical="center" wrapText="1"/>
      <protection hidden="1"/>
    </xf>
    <xf numFmtId="0" fontId="65" fillId="15" borderId="7" xfId="0" applyFont="1" applyFill="1" applyBorder="1"/>
    <xf numFmtId="0" fontId="65" fillId="15" borderId="22" xfId="0" applyFont="1" applyFill="1" applyBorder="1"/>
    <xf numFmtId="1" fontId="28" fillId="15" borderId="32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1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11" xfId="0" applyNumberFormat="1" applyFont="1" applyFill="1" applyBorder="1" applyAlignment="1" applyProtection="1">
      <alignment horizontal="center" vertical="top" wrapText="1"/>
      <protection hidden="1"/>
    </xf>
    <xf numFmtId="2" fontId="28" fillId="15" borderId="54" xfId="0" applyNumberFormat="1" applyFont="1" applyFill="1" applyBorder="1" applyAlignment="1" applyProtection="1">
      <alignment horizontal="center" vertical="top" wrapText="1"/>
      <protection hidden="1"/>
    </xf>
    <xf numFmtId="2" fontId="28" fillId="15" borderId="39" xfId="0" applyNumberFormat="1" applyFont="1" applyFill="1" applyBorder="1" applyAlignment="1" applyProtection="1">
      <alignment horizontal="center" vertical="top" wrapText="1"/>
      <protection hidden="1"/>
    </xf>
    <xf numFmtId="0" fontId="28" fillId="15" borderId="6" xfId="0" applyFont="1" applyFill="1" applyBorder="1" applyAlignment="1" applyProtection="1">
      <alignment horizontal="center" vertical="top" wrapText="1"/>
      <protection hidden="1"/>
    </xf>
    <xf numFmtId="0" fontId="28" fillId="15" borderId="7" xfId="0" applyFont="1" applyFill="1" applyBorder="1" applyAlignment="1" applyProtection="1">
      <alignment horizontal="center" vertical="top" wrapText="1"/>
      <protection hidden="1"/>
    </xf>
    <xf numFmtId="0" fontId="28" fillId="15" borderId="22" xfId="0" applyFont="1" applyFill="1" applyBorder="1" applyAlignment="1" applyProtection="1">
      <alignment horizontal="center" vertical="top" wrapText="1"/>
      <protection hidden="1"/>
    </xf>
    <xf numFmtId="2" fontId="28" fillId="15" borderId="7" xfId="0" applyNumberFormat="1" applyFont="1" applyFill="1" applyBorder="1" applyAlignment="1" applyProtection="1">
      <alignment horizontal="center" vertical="top" wrapText="1"/>
      <protection hidden="1"/>
    </xf>
    <xf numFmtId="0" fontId="7" fillId="4" borderId="0" xfId="0" applyFont="1" applyFill="1" applyBorder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26" fillId="15" borderId="13" xfId="0" applyFont="1" applyFill="1" applyBorder="1" applyAlignment="1" applyProtection="1">
      <alignment horizontal="center" vertical="center" wrapText="1"/>
      <protection hidden="1"/>
    </xf>
    <xf numFmtId="0" fontId="28" fillId="15" borderId="0" xfId="0" applyFont="1" applyFill="1" applyBorder="1" applyAlignment="1" applyProtection="1">
      <alignment horizontal="center" vertical="center"/>
      <protection hidden="1"/>
    </xf>
    <xf numFmtId="0" fontId="28" fillId="15" borderId="0" xfId="0" applyFont="1" applyFill="1" applyBorder="1" applyAlignment="1" applyProtection="1">
      <alignment horizontal="center" vertical="center"/>
      <protection locked="0"/>
    </xf>
    <xf numFmtId="0" fontId="29" fillId="15" borderId="30" xfId="0" applyFont="1" applyFill="1" applyBorder="1" applyAlignment="1" applyProtection="1">
      <alignment horizontal="center" vertical="center" wrapText="1"/>
      <protection hidden="1"/>
    </xf>
    <xf numFmtId="0" fontId="29" fillId="15" borderId="31" xfId="0" applyFont="1" applyFill="1" applyBorder="1" applyAlignment="1" applyProtection="1">
      <alignment horizontal="center" vertical="center" wrapText="1"/>
      <protection hidden="1"/>
    </xf>
    <xf numFmtId="0" fontId="29" fillId="15" borderId="29" xfId="0" applyFont="1" applyFill="1" applyBorder="1" applyAlignment="1" applyProtection="1">
      <alignment horizontal="center" vertical="center" wrapText="1"/>
      <protection hidden="1"/>
    </xf>
    <xf numFmtId="0" fontId="29" fillId="15" borderId="32" xfId="0" applyFont="1" applyFill="1" applyBorder="1" applyAlignment="1" applyProtection="1">
      <alignment horizontal="center" vertical="center" wrapText="1"/>
      <protection hidden="1"/>
    </xf>
    <xf numFmtId="0" fontId="29" fillId="15" borderId="1" xfId="0" applyFont="1" applyFill="1" applyBorder="1" applyAlignment="1" applyProtection="1">
      <alignment horizontal="center" vertical="center" wrapText="1"/>
      <protection hidden="1"/>
    </xf>
    <xf numFmtId="0" fontId="29" fillId="15" borderId="11" xfId="0" applyFont="1" applyFill="1" applyBorder="1" applyAlignment="1" applyProtection="1">
      <alignment horizontal="center" vertical="center" wrapText="1"/>
      <protection hidden="1"/>
    </xf>
    <xf numFmtId="0" fontId="29" fillId="15" borderId="30" xfId="0" applyFont="1" applyFill="1" applyBorder="1" applyAlignment="1" applyProtection="1">
      <alignment horizontal="center" vertical="top" wrapText="1"/>
      <protection hidden="1"/>
    </xf>
    <xf numFmtId="0" fontId="29" fillId="15" borderId="31" xfId="0" applyFont="1" applyFill="1" applyBorder="1" applyAlignment="1" applyProtection="1">
      <alignment horizontal="center" vertical="top" wrapText="1"/>
      <protection hidden="1"/>
    </xf>
    <xf numFmtId="0" fontId="29" fillId="15" borderId="29" xfId="0" applyFont="1" applyFill="1" applyBorder="1" applyAlignment="1" applyProtection="1">
      <alignment horizontal="center" vertical="top" wrapText="1"/>
      <protection hidden="1"/>
    </xf>
    <xf numFmtId="0" fontId="29" fillId="15" borderId="32" xfId="0" applyFont="1" applyFill="1" applyBorder="1" applyAlignment="1" applyProtection="1">
      <alignment horizontal="center" vertical="top" wrapText="1"/>
      <protection hidden="1"/>
    </xf>
    <xf numFmtId="0" fontId="29" fillId="15" borderId="1" xfId="0" applyFont="1" applyFill="1" applyBorder="1" applyAlignment="1" applyProtection="1">
      <alignment horizontal="center" vertical="top" wrapText="1"/>
      <protection hidden="1"/>
    </xf>
    <xf numFmtId="0" fontId="29" fillId="15" borderId="11" xfId="0" applyFont="1" applyFill="1" applyBorder="1" applyAlignment="1" applyProtection="1">
      <alignment horizontal="center" vertical="top" wrapText="1"/>
      <protection hidden="1"/>
    </xf>
    <xf numFmtId="0" fontId="30" fillId="15" borderId="15" xfId="0" applyFont="1" applyFill="1" applyBorder="1" applyAlignment="1" applyProtection="1">
      <alignment horizontal="center"/>
      <protection hidden="1"/>
    </xf>
    <xf numFmtId="0" fontId="30" fillId="15" borderId="16" xfId="0" applyFont="1" applyFill="1" applyBorder="1" applyAlignment="1" applyProtection="1">
      <alignment horizontal="center"/>
      <protection hidden="1"/>
    </xf>
    <xf numFmtId="0" fontId="29" fillId="15" borderId="18" xfId="0" applyFont="1" applyFill="1" applyBorder="1" applyAlignment="1" applyProtection="1">
      <alignment horizontal="center" vertical="center"/>
      <protection hidden="1"/>
    </xf>
    <xf numFmtId="0" fontId="29" fillId="15" borderId="1" xfId="0" applyFont="1" applyFill="1" applyBorder="1" applyAlignment="1" applyProtection="1">
      <alignment horizontal="center" vertical="center"/>
      <protection hidden="1"/>
    </xf>
    <xf numFmtId="0" fontId="29" fillId="15" borderId="11" xfId="0" applyFont="1" applyFill="1" applyBorder="1" applyAlignment="1" applyProtection="1">
      <alignment horizontal="center" vertical="center"/>
      <protection hidden="1"/>
    </xf>
    <xf numFmtId="0" fontId="43" fillId="15" borderId="4" xfId="0" applyFont="1" applyFill="1" applyBorder="1" applyAlignment="1" applyProtection="1">
      <alignment horizontal="center" vertical="center" wrapText="1"/>
      <protection hidden="1"/>
    </xf>
    <xf numFmtId="2" fontId="28" fillId="15" borderId="10" xfId="0" applyNumberFormat="1" applyFont="1" applyFill="1" applyBorder="1" applyAlignment="1" applyProtection="1">
      <alignment horizontal="center" vertical="center" wrapText="1"/>
      <protection hidden="1"/>
    </xf>
    <xf numFmtId="0" fontId="29" fillId="15" borderId="5" xfId="0" applyFont="1" applyFill="1" applyBorder="1" applyAlignment="1" applyProtection="1">
      <alignment horizontal="center"/>
      <protection hidden="1"/>
    </xf>
    <xf numFmtId="0" fontId="29" fillId="15" borderId="2" xfId="0" applyFont="1" applyFill="1" applyBorder="1" applyAlignment="1" applyProtection="1">
      <alignment horizontal="center"/>
      <protection hidden="1"/>
    </xf>
    <xf numFmtId="2" fontId="28" fillId="15" borderId="6" xfId="0" applyNumberFormat="1" applyFont="1" applyFill="1" applyBorder="1" applyAlignment="1">
      <alignment horizontal="center" vertical="center"/>
    </xf>
    <xf numFmtId="2" fontId="28" fillId="15" borderId="22" xfId="0" applyNumberFormat="1" applyFont="1" applyFill="1" applyBorder="1" applyAlignment="1">
      <alignment horizontal="center" vertical="center"/>
    </xf>
    <xf numFmtId="0" fontId="30" fillId="15" borderId="35" xfId="0" applyFont="1" applyFill="1" applyBorder="1" applyAlignment="1" applyProtection="1">
      <alignment horizontal="center" vertical="center"/>
      <protection hidden="1"/>
    </xf>
    <xf numFmtId="0" fontId="30" fillId="15" borderId="7" xfId="0" applyFont="1" applyFill="1" applyBorder="1" applyAlignment="1" applyProtection="1">
      <alignment horizontal="center" vertical="center"/>
      <protection hidden="1"/>
    </xf>
    <xf numFmtId="0" fontId="28" fillId="15" borderId="6" xfId="0" applyFont="1" applyFill="1" applyBorder="1" applyAlignment="1" applyProtection="1">
      <alignment horizontal="center"/>
      <protection hidden="1"/>
    </xf>
    <xf numFmtId="0" fontId="28" fillId="15" borderId="7" xfId="0" applyFont="1" applyFill="1" applyBorder="1" applyAlignment="1" applyProtection="1">
      <alignment horizontal="center"/>
      <protection hidden="1"/>
    </xf>
    <xf numFmtId="0" fontId="7" fillId="15" borderId="21" xfId="0" applyFont="1" applyFill="1" applyBorder="1" applyAlignment="1" applyProtection="1">
      <alignment horizontal="center"/>
      <protection locked="0"/>
    </xf>
    <xf numFmtId="0" fontId="30" fillId="0" borderId="37" xfId="0" applyFont="1" applyBorder="1" applyAlignment="1" applyProtection="1">
      <alignment horizontal="center" vertical="center"/>
      <protection locked="0"/>
    </xf>
    <xf numFmtId="0" fontId="7" fillId="0" borderId="38" xfId="0" applyFont="1" applyBorder="1" applyAlignment="1" applyProtection="1">
      <alignment horizontal="center" vertical="center"/>
      <protection locked="0"/>
    </xf>
    <xf numFmtId="0" fontId="7" fillId="0" borderId="39" xfId="0" applyFont="1" applyBorder="1" applyAlignment="1" applyProtection="1">
      <alignment horizontal="center" vertical="center"/>
      <protection locked="0"/>
    </xf>
    <xf numFmtId="0" fontId="30" fillId="15" borderId="4" xfId="0" applyFont="1" applyFill="1" applyBorder="1" applyAlignment="1" applyProtection="1">
      <alignment horizontal="center" vertical="center" wrapText="1"/>
      <protection hidden="1"/>
    </xf>
    <xf numFmtId="0" fontId="29" fillId="15" borderId="9" xfId="0" applyFont="1" applyFill="1" applyBorder="1" applyAlignment="1" applyProtection="1">
      <alignment horizontal="center"/>
      <protection hidden="1"/>
    </xf>
    <xf numFmtId="0" fontId="29" fillId="15" borderId="10" xfId="0" applyFont="1" applyFill="1" applyBorder="1" applyAlignment="1" applyProtection="1">
      <alignment horizontal="center"/>
      <protection hidden="1"/>
    </xf>
    <xf numFmtId="0" fontId="39" fillId="15" borderId="18" xfId="0" applyFont="1" applyFill="1" applyBorder="1" applyAlignment="1" applyProtection="1">
      <alignment horizontal="center" vertical="center" wrapText="1"/>
      <protection hidden="1"/>
    </xf>
    <xf numFmtId="0" fontId="39" fillId="15" borderId="1" xfId="0" applyFont="1" applyFill="1" applyBorder="1" applyAlignment="1" applyProtection="1">
      <alignment horizontal="center" vertical="center" wrapText="1"/>
      <protection hidden="1"/>
    </xf>
    <xf numFmtId="0" fontId="39" fillId="15" borderId="11" xfId="0" applyFont="1" applyFill="1" applyBorder="1" applyAlignment="1" applyProtection="1">
      <alignment horizontal="center" vertical="center" wrapText="1"/>
      <protection hidden="1"/>
    </xf>
    <xf numFmtId="0" fontId="30" fillId="0" borderId="15" xfId="0" applyFont="1" applyBorder="1" applyAlignment="1" applyProtection="1">
      <alignment horizontal="center"/>
      <protection locked="0"/>
    </xf>
    <xf numFmtId="0" fontId="30" fillId="0" borderId="0" xfId="0" applyFont="1" applyBorder="1" applyAlignment="1" applyProtection="1">
      <alignment horizontal="center"/>
      <protection locked="0"/>
    </xf>
    <xf numFmtId="0" fontId="30" fillId="0" borderId="16" xfId="0" applyFont="1" applyBorder="1" applyAlignment="1" applyProtection="1">
      <alignment horizontal="center"/>
      <protection locked="0"/>
    </xf>
    <xf numFmtId="0" fontId="30" fillId="15" borderId="5" xfId="0" applyFont="1" applyFill="1" applyBorder="1" applyAlignment="1" applyProtection="1">
      <alignment horizontal="center" vertical="center"/>
      <protection hidden="1"/>
    </xf>
    <xf numFmtId="0" fontId="30" fillId="15" borderId="2" xfId="0" applyFont="1" applyFill="1" applyBorder="1" applyAlignment="1" applyProtection="1">
      <alignment horizontal="center" vertical="center"/>
      <protection hidden="1"/>
    </xf>
    <xf numFmtId="0" fontId="69" fillId="15" borderId="13" xfId="0" applyFont="1" applyFill="1" applyBorder="1" applyAlignment="1" applyProtection="1">
      <alignment horizontal="center" vertical="center" wrapText="1"/>
      <protection hidden="1"/>
    </xf>
    <xf numFmtId="0" fontId="69" fillId="15" borderId="0" xfId="0" applyFont="1" applyFill="1" applyBorder="1" applyAlignment="1" applyProtection="1">
      <alignment horizontal="center" vertical="center" wrapText="1"/>
      <protection hidden="1"/>
    </xf>
    <xf numFmtId="0" fontId="69" fillId="15" borderId="21" xfId="0" applyFont="1" applyFill="1" applyBorder="1" applyAlignment="1" applyProtection="1">
      <alignment horizontal="center" vertical="center" wrapText="1"/>
      <protection hidden="1"/>
    </xf>
    <xf numFmtId="0" fontId="53" fillId="15" borderId="0" xfId="0" applyFont="1" applyFill="1" applyBorder="1" applyAlignment="1" applyProtection="1">
      <alignment horizontal="center" vertical="center" wrapText="1"/>
      <protection hidden="1"/>
    </xf>
    <xf numFmtId="0" fontId="53" fillId="15" borderId="16" xfId="0" applyFont="1" applyFill="1" applyBorder="1" applyAlignment="1" applyProtection="1">
      <alignment horizontal="center" vertical="center" wrapText="1"/>
      <protection hidden="1"/>
    </xf>
    <xf numFmtId="0" fontId="52" fillId="15" borderId="0" xfId="0" applyFont="1" applyFill="1" applyBorder="1" applyAlignment="1" applyProtection="1">
      <alignment horizontal="center"/>
      <protection hidden="1"/>
    </xf>
    <xf numFmtId="0" fontId="52" fillId="15" borderId="16" xfId="0" applyFont="1" applyFill="1" applyBorder="1" applyAlignment="1" applyProtection="1">
      <alignment horizontal="center"/>
      <protection hidden="1"/>
    </xf>
    <xf numFmtId="0" fontId="68" fillId="0" borderId="5" xfId="0" applyFont="1" applyBorder="1" applyAlignment="1" applyProtection="1">
      <alignment horizontal="center" vertical="center"/>
      <protection hidden="1"/>
    </xf>
    <xf numFmtId="0" fontId="68" fillId="0" borderId="2" xfId="0" applyFont="1" applyBorder="1" applyAlignment="1" applyProtection="1">
      <alignment horizontal="center" vertical="center"/>
      <protection hidden="1"/>
    </xf>
    <xf numFmtId="0" fontId="35" fillId="0" borderId="2" xfId="0" applyFont="1" applyBorder="1" applyAlignment="1" applyProtection="1">
      <alignment horizontal="center" vertical="center"/>
      <protection hidden="1"/>
    </xf>
    <xf numFmtId="0" fontId="35" fillId="0" borderId="19" xfId="0" applyFont="1" applyBorder="1" applyAlignment="1" applyProtection="1">
      <alignment horizontal="center" vertical="center"/>
      <protection hidden="1"/>
    </xf>
    <xf numFmtId="0" fontId="78" fillId="0" borderId="2" xfId="0" applyFont="1" applyBorder="1" applyAlignment="1" applyProtection="1">
      <alignment horizontal="center" vertical="center"/>
      <protection hidden="1"/>
    </xf>
    <xf numFmtId="0" fontId="78" fillId="0" borderId="19" xfId="0" applyFont="1" applyBorder="1" applyAlignment="1" applyProtection="1">
      <alignment horizontal="center" vertical="center"/>
      <protection hidden="1"/>
    </xf>
    <xf numFmtId="0" fontId="33" fillId="0" borderId="2" xfId="0" applyFont="1" applyBorder="1" applyAlignment="1" applyProtection="1">
      <alignment horizontal="center" vertical="center" wrapText="1"/>
      <protection hidden="1"/>
    </xf>
    <xf numFmtId="0" fontId="33" fillId="0" borderId="19" xfId="0" applyFont="1" applyBorder="1" applyAlignment="1" applyProtection="1">
      <alignment horizontal="center" vertical="center" wrapText="1"/>
      <protection hidden="1"/>
    </xf>
    <xf numFmtId="0" fontId="33" fillId="0" borderId="10" xfId="0" applyFont="1" applyBorder="1" applyAlignment="1" applyProtection="1">
      <alignment horizontal="center" vertical="center" wrapText="1"/>
      <protection hidden="1"/>
    </xf>
    <xf numFmtId="0" fontId="33" fillId="0" borderId="40" xfId="0" applyFont="1" applyBorder="1" applyAlignment="1" applyProtection="1">
      <alignment horizontal="center" vertical="center" wrapText="1"/>
      <protection hidden="1"/>
    </xf>
    <xf numFmtId="0" fontId="68" fillId="0" borderId="19" xfId="0" applyFont="1" applyBorder="1" applyAlignment="1" applyProtection="1">
      <alignment horizontal="center" vertical="center"/>
      <protection hidden="1"/>
    </xf>
    <xf numFmtId="0" fontId="79" fillId="0" borderId="2" xfId="0" applyFont="1" applyBorder="1" applyAlignment="1" applyProtection="1">
      <alignment horizontal="center" vertical="center"/>
      <protection hidden="1"/>
    </xf>
    <xf numFmtId="0" fontId="79" fillId="0" borderId="10" xfId="0" applyFont="1" applyBorder="1" applyAlignment="1" applyProtection="1">
      <alignment horizontal="center" vertical="center"/>
      <protection hidden="1"/>
    </xf>
    <xf numFmtId="1" fontId="28" fillId="15" borderId="10" xfId="0" applyNumberFormat="1" applyFont="1" applyFill="1" applyBorder="1" applyAlignment="1" applyProtection="1">
      <alignment horizontal="center"/>
      <protection hidden="1"/>
    </xf>
    <xf numFmtId="0" fontId="29" fillId="4" borderId="0" xfId="0" applyFont="1" applyFill="1" applyBorder="1" applyAlignment="1" applyProtection="1">
      <alignment horizontal="right" vertical="center"/>
      <protection locked="0"/>
    </xf>
    <xf numFmtId="0" fontId="29" fillId="15" borderId="50" xfId="0" applyFont="1" applyFill="1" applyBorder="1" applyAlignment="1" applyProtection="1">
      <alignment horizontal="center" vertical="center" textRotation="90"/>
      <protection hidden="1"/>
    </xf>
    <xf numFmtId="0" fontId="29" fillId="15" borderId="51" xfId="0" applyFont="1" applyFill="1" applyBorder="1" applyAlignment="1" applyProtection="1">
      <alignment horizontal="center" vertical="center" textRotation="90"/>
      <protection hidden="1"/>
    </xf>
    <xf numFmtId="0" fontId="29" fillId="15" borderId="44" xfId="0" applyFont="1" applyFill="1" applyBorder="1" applyAlignment="1" applyProtection="1">
      <alignment horizontal="center" vertical="center" textRotation="90"/>
      <protection hidden="1"/>
    </xf>
    <xf numFmtId="0" fontId="29" fillId="15" borderId="47" xfId="0" applyFont="1" applyFill="1" applyBorder="1" applyAlignment="1" applyProtection="1">
      <alignment horizontal="center" vertical="center"/>
      <protection hidden="1"/>
    </xf>
    <xf numFmtId="0" fontId="29" fillId="15" borderId="48" xfId="0" applyFont="1" applyFill="1" applyBorder="1" applyAlignment="1" applyProtection="1">
      <alignment horizontal="center" vertical="center"/>
      <protection hidden="1"/>
    </xf>
    <xf numFmtId="0" fontId="29" fillId="15" borderId="49" xfId="0" applyFont="1" applyFill="1" applyBorder="1" applyAlignment="1" applyProtection="1">
      <alignment horizontal="center" vertical="center"/>
      <protection hidden="1"/>
    </xf>
    <xf numFmtId="0" fontId="29" fillId="15" borderId="50" xfId="0" applyFont="1" applyFill="1" applyBorder="1" applyAlignment="1" applyProtection="1">
      <alignment vertical="center" textRotation="90" wrapText="1"/>
      <protection hidden="1"/>
    </xf>
    <xf numFmtId="0" fontId="29" fillId="15" borderId="44" xfId="0" applyFont="1" applyFill="1" applyBorder="1" applyAlignment="1" applyProtection="1">
      <alignment vertical="center" textRotation="90" wrapText="1"/>
      <protection hidden="1"/>
    </xf>
    <xf numFmtId="0" fontId="29" fillId="15" borderId="17" xfId="0" applyFont="1" applyFill="1" applyBorder="1" applyAlignment="1" applyProtection="1">
      <alignment vertical="center" textRotation="90" wrapText="1"/>
      <protection hidden="1"/>
    </xf>
    <xf numFmtId="0" fontId="29" fillId="15" borderId="19" xfId="0" applyFont="1" applyFill="1" applyBorder="1" applyAlignment="1" applyProtection="1">
      <alignment vertical="center" textRotation="90" wrapText="1"/>
      <protection hidden="1"/>
    </xf>
    <xf numFmtId="1" fontId="28" fillId="15" borderId="32" xfId="0" applyNumberFormat="1" applyFont="1" applyFill="1" applyBorder="1" applyAlignment="1">
      <alignment horizontal="center" vertical="center"/>
    </xf>
    <xf numFmtId="1" fontId="28" fillId="15" borderId="11" xfId="0" applyNumberFormat="1" applyFont="1" applyFill="1" applyBorder="1" applyAlignment="1">
      <alignment horizontal="center" vertical="center"/>
    </xf>
    <xf numFmtId="2" fontId="28" fillId="15" borderId="38" xfId="0" applyNumberFormat="1" applyFont="1" applyFill="1" applyBorder="1" applyAlignment="1" applyProtection="1">
      <alignment horizontal="center" vertical="top" wrapText="1"/>
      <protection hidden="1"/>
    </xf>
    <xf numFmtId="2" fontId="28" fillId="15" borderId="54" xfId="0" applyNumberFormat="1" applyFont="1" applyFill="1" applyBorder="1" applyAlignment="1">
      <alignment horizontal="center" vertical="center"/>
    </xf>
    <xf numFmtId="2" fontId="28" fillId="15" borderId="39" xfId="0" applyNumberFormat="1" applyFont="1" applyFill="1" applyBorder="1" applyAlignment="1">
      <alignment horizontal="center" vertical="center"/>
    </xf>
    <xf numFmtId="0" fontId="54" fillId="15" borderId="13" xfId="0" applyFont="1" applyFill="1" applyBorder="1" applyAlignment="1" applyProtection="1">
      <alignment horizontal="center" vertical="center" wrapText="1"/>
      <protection hidden="1"/>
    </xf>
    <xf numFmtId="0" fontId="54" fillId="15" borderId="0" xfId="0" applyFont="1" applyFill="1" applyBorder="1" applyAlignment="1" applyProtection="1">
      <alignment horizontal="center" vertical="center" wrapText="1"/>
      <protection hidden="1"/>
    </xf>
    <xf numFmtId="0" fontId="54" fillId="15" borderId="21" xfId="0" applyFont="1" applyFill="1" applyBorder="1" applyAlignment="1" applyProtection="1">
      <alignment horizontal="center" vertical="center" wrapText="1"/>
      <protection hidden="1"/>
    </xf>
    <xf numFmtId="0" fontId="81" fillId="15" borderId="13" xfId="0" applyFont="1" applyFill="1" applyBorder="1" applyAlignment="1" applyProtection="1">
      <alignment horizontal="center" vertical="center"/>
      <protection hidden="1"/>
    </xf>
    <xf numFmtId="0" fontId="81" fillId="15" borderId="14" xfId="0" applyFont="1" applyFill="1" applyBorder="1" applyAlignment="1" applyProtection="1">
      <alignment horizontal="center" vertical="center"/>
      <protection hidden="1"/>
    </xf>
    <xf numFmtId="0" fontId="81" fillId="15" borderId="0" xfId="0" applyFont="1" applyFill="1" applyBorder="1" applyAlignment="1" applyProtection="1">
      <alignment horizontal="center" vertical="center"/>
      <protection hidden="1"/>
    </xf>
    <xf numFmtId="0" fontId="81" fillId="15" borderId="16" xfId="0" applyFont="1" applyFill="1" applyBorder="1" applyAlignment="1" applyProtection="1">
      <alignment horizontal="center" vertical="center"/>
      <protection hidden="1"/>
    </xf>
    <xf numFmtId="0" fontId="81" fillId="15" borderId="21" xfId="0" applyFont="1" applyFill="1" applyBorder="1" applyAlignment="1" applyProtection="1">
      <alignment horizontal="center" vertical="center"/>
      <protection hidden="1"/>
    </xf>
    <xf numFmtId="0" fontId="81" fillId="15" borderId="24" xfId="0" applyFont="1" applyFill="1" applyBorder="1" applyAlignment="1" applyProtection="1">
      <alignment horizontal="center" vertical="center"/>
      <protection hidden="1"/>
    </xf>
    <xf numFmtId="0" fontId="80" fillId="15" borderId="12" xfId="0" applyFont="1" applyFill="1" applyBorder="1" applyAlignment="1" applyProtection="1">
      <alignment horizontal="center" vertical="center"/>
      <protection hidden="1"/>
    </xf>
    <xf numFmtId="0" fontId="80" fillId="15" borderId="13" xfId="0" applyFont="1" applyFill="1" applyBorder="1" applyAlignment="1" applyProtection="1">
      <alignment horizontal="center" vertical="center"/>
      <protection hidden="1"/>
    </xf>
    <xf numFmtId="0" fontId="80" fillId="15" borderId="15" xfId="0" applyFont="1" applyFill="1" applyBorder="1" applyAlignment="1" applyProtection="1">
      <alignment horizontal="center" vertical="center"/>
      <protection hidden="1"/>
    </xf>
    <xf numFmtId="0" fontId="80" fillId="15" borderId="0" xfId="0" applyFont="1" applyFill="1" applyBorder="1" applyAlignment="1" applyProtection="1">
      <alignment horizontal="center" vertical="center"/>
      <protection hidden="1"/>
    </xf>
    <xf numFmtId="0" fontId="80" fillId="15" borderId="23" xfId="0" applyFont="1" applyFill="1" applyBorder="1" applyAlignment="1" applyProtection="1">
      <alignment horizontal="center" vertical="center"/>
      <protection hidden="1"/>
    </xf>
    <xf numFmtId="0" fontId="80" fillId="15" borderId="21" xfId="0" applyFont="1" applyFill="1" applyBorder="1" applyAlignment="1" applyProtection="1">
      <alignment horizontal="center" vertical="center"/>
      <protection hidden="1"/>
    </xf>
    <xf numFmtId="0" fontId="26" fillId="15" borderId="0" xfId="0" applyFont="1" applyFill="1" applyBorder="1" applyAlignment="1" applyProtection="1">
      <alignment horizontal="left" vertical="center"/>
      <protection locked="0"/>
    </xf>
    <xf numFmtId="0" fontId="68" fillId="0" borderId="10" xfId="0" applyFont="1" applyBorder="1" applyAlignment="1" applyProtection="1">
      <alignment horizontal="center" vertical="center"/>
      <protection hidden="1"/>
    </xf>
    <xf numFmtId="0" fontId="68" fillId="0" borderId="9" xfId="0" applyFont="1" applyBorder="1" applyAlignment="1" applyProtection="1">
      <alignment horizontal="center" vertical="center"/>
      <protection hidden="1"/>
    </xf>
    <xf numFmtId="0" fontId="26" fillId="15" borderId="0" xfId="0" applyFont="1" applyFill="1" applyBorder="1" applyAlignment="1" applyProtection="1">
      <alignment horizontal="left" vertical="center"/>
      <protection hidden="1"/>
    </xf>
    <xf numFmtId="165" fontId="26" fillId="15" borderId="0" xfId="0" applyNumberFormat="1" applyFont="1" applyFill="1" applyBorder="1" applyAlignment="1" applyProtection="1">
      <alignment horizontal="left" vertical="center"/>
      <protection hidden="1"/>
    </xf>
    <xf numFmtId="0" fontId="26" fillId="15" borderId="21" xfId="0" applyFont="1" applyFill="1" applyBorder="1" applyAlignment="1" applyProtection="1">
      <alignment horizontal="left" vertical="center"/>
      <protection hidden="1"/>
    </xf>
    <xf numFmtId="0" fontId="26" fillId="0" borderId="47" xfId="0" applyFont="1" applyBorder="1" applyAlignment="1" applyProtection="1">
      <alignment horizontal="center" vertical="top"/>
      <protection hidden="1"/>
    </xf>
    <xf numFmtId="0" fontId="26" fillId="0" borderId="48" xfId="0" applyFont="1" applyBorder="1" applyAlignment="1" applyProtection="1">
      <alignment horizontal="center" vertical="top"/>
      <protection hidden="1"/>
    </xf>
    <xf numFmtId="0" fontId="26" fillId="0" borderId="49" xfId="0" applyFont="1" applyBorder="1" applyAlignment="1" applyProtection="1">
      <alignment horizontal="center" vertical="top"/>
      <protection hidden="1"/>
    </xf>
    <xf numFmtId="0" fontId="41" fillId="15" borderId="0" xfId="0" applyFont="1" applyFill="1" applyBorder="1" applyAlignment="1" applyProtection="1">
      <alignment horizontal="center" vertical="center"/>
      <protection hidden="1"/>
    </xf>
    <xf numFmtId="0" fontId="41" fillId="15" borderId="16" xfId="0" applyFont="1" applyFill="1" applyBorder="1" applyAlignment="1" applyProtection="1">
      <alignment horizontal="center" vertical="center"/>
      <protection hidden="1"/>
    </xf>
    <xf numFmtId="0" fontId="43" fillId="15" borderId="27" xfId="0" applyFont="1" applyFill="1" applyBorder="1" applyAlignment="1" applyProtection="1">
      <alignment horizontal="center"/>
      <protection hidden="1"/>
    </xf>
    <xf numFmtId="0" fontId="43" fillId="15" borderId="44" xfId="0" applyFont="1" applyFill="1" applyBorder="1" applyAlignment="1" applyProtection="1">
      <alignment horizontal="center"/>
      <protection hidden="1"/>
    </xf>
    <xf numFmtId="0" fontId="26" fillId="15" borderId="12" xfId="0" applyFont="1" applyFill="1" applyBorder="1" applyAlignment="1" applyProtection="1">
      <alignment horizontal="center" vertical="center" wrapText="1"/>
      <protection hidden="1"/>
    </xf>
    <xf numFmtId="0" fontId="26" fillId="15" borderId="14" xfId="0" applyFont="1" applyFill="1" applyBorder="1" applyAlignment="1" applyProtection="1">
      <alignment horizontal="center" vertical="center" wrapText="1"/>
      <protection hidden="1"/>
    </xf>
    <xf numFmtId="0" fontId="28" fillId="15" borderId="47" xfId="0" applyFont="1" applyFill="1" applyBorder="1" applyAlignment="1" applyProtection="1">
      <alignment horizontal="center" vertical="center"/>
      <protection hidden="1"/>
    </xf>
    <xf numFmtId="0" fontId="28" fillId="15" borderId="48" xfId="0" applyFont="1" applyFill="1" applyBorder="1" applyAlignment="1" applyProtection="1">
      <alignment horizontal="center" vertical="center"/>
      <protection hidden="1"/>
    </xf>
    <xf numFmtId="0" fontId="28" fillId="15" borderId="49" xfId="0" applyFont="1" applyFill="1" applyBorder="1" applyAlignment="1" applyProtection="1">
      <alignment horizontal="center" vertical="center"/>
      <protection hidden="1"/>
    </xf>
    <xf numFmtId="0" fontId="28" fillId="15" borderId="2" xfId="0" applyFont="1" applyFill="1" applyBorder="1" applyAlignment="1" applyProtection="1">
      <alignment horizontal="center"/>
      <protection hidden="1"/>
    </xf>
    <xf numFmtId="0" fontId="28" fillId="15" borderId="2" xfId="0" applyFont="1" applyFill="1" applyBorder="1" applyAlignment="1" applyProtection="1">
      <alignment horizontal="center" vertical="top" wrapText="1"/>
      <protection hidden="1"/>
    </xf>
    <xf numFmtId="0" fontId="28" fillId="15" borderId="2" xfId="0" applyFont="1" applyFill="1" applyBorder="1" applyAlignment="1">
      <alignment horizontal="center" vertical="center"/>
    </xf>
    <xf numFmtId="0" fontId="98" fillId="5" borderId="12" xfId="0" applyFont="1" applyFill="1" applyBorder="1" applyAlignment="1" applyProtection="1">
      <alignment horizontal="center" vertical="center" wrapText="1"/>
      <protection hidden="1"/>
    </xf>
    <xf numFmtId="0" fontId="98" fillId="5" borderId="13" xfId="0" applyFont="1" applyFill="1" applyBorder="1" applyAlignment="1" applyProtection="1">
      <alignment horizontal="center" vertical="center" wrapText="1"/>
      <protection hidden="1"/>
    </xf>
    <xf numFmtId="0" fontId="98" fillId="5" borderId="14" xfId="0" applyFont="1" applyFill="1" applyBorder="1" applyAlignment="1" applyProtection="1">
      <alignment horizontal="center" vertical="center" wrapText="1"/>
      <protection hidden="1"/>
    </xf>
    <xf numFmtId="0" fontId="98" fillId="5" borderId="15" xfId="0" applyFont="1" applyFill="1" applyBorder="1" applyAlignment="1" applyProtection="1">
      <alignment horizontal="center" vertical="center" wrapText="1"/>
      <protection hidden="1"/>
    </xf>
    <xf numFmtId="0" fontId="98" fillId="5" borderId="0" xfId="0" applyFont="1" applyFill="1" applyBorder="1" applyAlignment="1" applyProtection="1">
      <alignment horizontal="center" vertical="center" wrapText="1"/>
      <protection hidden="1"/>
    </xf>
    <xf numFmtId="0" fontId="98" fillId="5" borderId="16" xfId="0" applyFont="1" applyFill="1" applyBorder="1" applyAlignment="1" applyProtection="1">
      <alignment horizontal="center" vertical="center" wrapText="1"/>
      <protection hidden="1"/>
    </xf>
    <xf numFmtId="0" fontId="32" fillId="8" borderId="30" xfId="0" applyFont="1" applyFill="1" applyBorder="1" applyAlignment="1" applyProtection="1">
      <alignment horizontal="center" vertical="center"/>
      <protection hidden="1"/>
    </xf>
    <xf numFmtId="0" fontId="32" fillId="8" borderId="31" xfId="0" applyFont="1" applyFill="1" applyBorder="1" applyAlignment="1" applyProtection="1">
      <alignment horizontal="center" vertical="center"/>
      <protection hidden="1"/>
    </xf>
    <xf numFmtId="0" fontId="32" fillId="8" borderId="32" xfId="0" applyFont="1" applyFill="1" applyBorder="1" applyAlignment="1" applyProtection="1">
      <alignment horizontal="center" vertical="center"/>
      <protection hidden="1"/>
    </xf>
    <xf numFmtId="0" fontId="32" fillId="8" borderId="1" xfId="0" applyFont="1" applyFill="1" applyBorder="1" applyAlignment="1" applyProtection="1">
      <alignment horizontal="center" vertical="center"/>
      <protection hidden="1"/>
    </xf>
    <xf numFmtId="0" fontId="35" fillId="17" borderId="31" xfId="0" applyFont="1" applyFill="1" applyBorder="1" applyAlignment="1" applyProtection="1">
      <alignment horizontal="center" vertical="center"/>
      <protection hidden="1"/>
    </xf>
    <xf numFmtId="0" fontId="35" fillId="17" borderId="29" xfId="0" applyFont="1" applyFill="1" applyBorder="1" applyAlignment="1" applyProtection="1">
      <alignment horizontal="center" vertical="center"/>
      <protection hidden="1"/>
    </xf>
    <xf numFmtId="0" fontId="35" fillId="17" borderId="1" xfId="0" applyFont="1" applyFill="1" applyBorder="1" applyAlignment="1" applyProtection="1">
      <alignment horizontal="center" vertical="center"/>
      <protection hidden="1"/>
    </xf>
    <xf numFmtId="0" fontId="35" fillId="17" borderId="11" xfId="0" applyFont="1" applyFill="1" applyBorder="1" applyAlignment="1" applyProtection="1">
      <alignment horizontal="center" vertical="center"/>
      <protection hidden="1"/>
    </xf>
    <xf numFmtId="0" fontId="97" fillId="12" borderId="13" xfId="0" applyFont="1" applyFill="1" applyBorder="1" applyAlignment="1" applyProtection="1">
      <alignment horizontal="center" vertical="center" wrapText="1"/>
      <protection hidden="1"/>
    </xf>
    <xf numFmtId="0" fontId="97" fillId="12" borderId="42" xfId="0" applyFont="1" applyFill="1" applyBorder="1" applyAlignment="1" applyProtection="1">
      <alignment horizontal="center" vertical="center" wrapText="1"/>
      <protection hidden="1"/>
    </xf>
    <xf numFmtId="0" fontId="97" fillId="12" borderId="0" xfId="0" applyFont="1" applyFill="1" applyBorder="1" applyAlignment="1" applyProtection="1">
      <alignment horizontal="center" vertical="center" wrapText="1"/>
      <protection hidden="1"/>
    </xf>
    <xf numFmtId="0" fontId="97" fillId="12" borderId="25" xfId="0" applyFont="1" applyFill="1" applyBorder="1" applyAlignment="1" applyProtection="1">
      <alignment horizontal="center" vertical="center" wrapText="1"/>
      <protection hidden="1"/>
    </xf>
    <xf numFmtId="0" fontId="97" fillId="12" borderId="21" xfId="0" applyFont="1" applyFill="1" applyBorder="1" applyAlignment="1" applyProtection="1">
      <alignment horizontal="center" vertical="center" wrapText="1"/>
      <protection hidden="1"/>
    </xf>
    <xf numFmtId="0" fontId="97" fillId="12" borderId="56" xfId="0" applyFont="1" applyFill="1" applyBorder="1" applyAlignment="1" applyProtection="1">
      <alignment horizontal="center" vertical="center" wrapText="1"/>
      <protection hidden="1"/>
    </xf>
    <xf numFmtId="0" fontId="30" fillId="14" borderId="6" xfId="0" applyFont="1" applyFill="1" applyBorder="1" applyAlignment="1" applyProtection="1">
      <alignment horizontal="center" vertical="center"/>
      <protection hidden="1"/>
    </xf>
    <xf numFmtId="0" fontId="30" fillId="14" borderId="22" xfId="0" applyFont="1" applyFill="1" applyBorder="1" applyAlignment="1" applyProtection="1">
      <alignment horizontal="center" vertical="center"/>
      <protection hidden="1"/>
    </xf>
    <xf numFmtId="0" fontId="7" fillId="10" borderId="6" xfId="0" applyFont="1" applyFill="1" applyBorder="1" applyAlignment="1" applyProtection="1">
      <alignment horizontal="center"/>
      <protection hidden="1"/>
    </xf>
    <xf numFmtId="0" fontId="7" fillId="10" borderId="22" xfId="0" applyFont="1" applyFill="1" applyBorder="1" applyAlignment="1" applyProtection="1">
      <alignment horizontal="center"/>
      <protection hidden="1"/>
    </xf>
    <xf numFmtId="0" fontId="7" fillId="9" borderId="6" xfId="0" applyFont="1" applyFill="1" applyBorder="1" applyAlignment="1" applyProtection="1">
      <alignment horizontal="center" vertical="center"/>
      <protection hidden="1"/>
    </xf>
    <xf numFmtId="0" fontId="7" fillId="9" borderId="22" xfId="0" applyFont="1" applyFill="1" applyBorder="1" applyAlignment="1" applyProtection="1">
      <alignment horizontal="center" vertical="center"/>
      <protection hidden="1"/>
    </xf>
    <xf numFmtId="0" fontId="48" fillId="9" borderId="6" xfId="0" applyFont="1" applyFill="1" applyBorder="1" applyAlignment="1" applyProtection="1">
      <alignment horizontal="center" vertical="center"/>
      <protection hidden="1"/>
    </xf>
    <xf numFmtId="0" fontId="48" fillId="9" borderId="22" xfId="0" applyFont="1" applyFill="1" applyBorder="1" applyAlignment="1" applyProtection="1">
      <alignment horizontal="center" vertical="center"/>
      <protection hidden="1"/>
    </xf>
    <xf numFmtId="0" fontId="7" fillId="14" borderId="6" xfId="0" applyFont="1" applyFill="1" applyBorder="1" applyAlignment="1" applyProtection="1">
      <alignment horizontal="center"/>
      <protection hidden="1"/>
    </xf>
    <xf numFmtId="0" fontId="7" fillId="14" borderId="22" xfId="0" applyFont="1" applyFill="1" applyBorder="1" applyAlignment="1" applyProtection="1">
      <alignment horizontal="center"/>
      <protection hidden="1"/>
    </xf>
    <xf numFmtId="0" fontId="64" fillId="7" borderId="47" xfId="0" applyFont="1" applyFill="1" applyBorder="1" applyAlignment="1" applyProtection="1">
      <alignment horizontal="center" vertical="center" wrapText="1"/>
      <protection hidden="1"/>
    </xf>
    <xf numFmtId="0" fontId="64" fillId="7" borderId="48" xfId="0" applyFont="1" applyFill="1" applyBorder="1" applyAlignment="1" applyProtection="1">
      <alignment horizontal="center" vertical="center" wrapText="1"/>
      <protection hidden="1"/>
    </xf>
    <xf numFmtId="0" fontId="64" fillId="7" borderId="49" xfId="0" applyFont="1" applyFill="1" applyBorder="1" applyAlignment="1" applyProtection="1">
      <alignment horizontal="center" vertical="center" wrapText="1"/>
      <protection hidden="1"/>
    </xf>
    <xf numFmtId="0" fontId="62" fillId="7" borderId="47" xfId="0" applyFont="1" applyFill="1" applyBorder="1" applyAlignment="1" applyProtection="1">
      <alignment horizontal="center" vertical="center" wrapText="1"/>
      <protection hidden="1"/>
    </xf>
    <xf numFmtId="0" fontId="62" fillId="7" borderId="48" xfId="0" applyFont="1" applyFill="1" applyBorder="1" applyAlignment="1" applyProtection="1">
      <alignment horizontal="center" vertical="center" wrapText="1"/>
      <protection hidden="1"/>
    </xf>
    <xf numFmtId="0" fontId="62" fillId="7" borderId="49" xfId="0" applyFont="1" applyFill="1" applyBorder="1" applyAlignment="1" applyProtection="1">
      <alignment horizontal="center" vertical="center" wrapText="1"/>
      <protection hidden="1"/>
    </xf>
    <xf numFmtId="0" fontId="38" fillId="31" borderId="21" xfId="0" applyFont="1" applyFill="1" applyBorder="1" applyAlignment="1" applyProtection="1">
      <alignment horizontal="center" vertical="center" wrapText="1"/>
      <protection hidden="1"/>
    </xf>
    <xf numFmtId="0" fontId="38" fillId="31" borderId="56" xfId="0" applyFont="1" applyFill="1" applyBorder="1" applyAlignment="1" applyProtection="1">
      <alignment horizontal="center" vertical="center" wrapText="1"/>
      <protection hidden="1"/>
    </xf>
    <xf numFmtId="0" fontId="43" fillId="9" borderId="6" xfId="0" applyFont="1" applyFill="1" applyBorder="1" applyAlignment="1" applyProtection="1">
      <alignment horizontal="center" vertical="center" wrapText="1"/>
      <protection hidden="1"/>
    </xf>
    <xf numFmtId="0" fontId="43" fillId="9" borderId="22" xfId="0" applyFont="1" applyFill="1" applyBorder="1" applyAlignment="1" applyProtection="1">
      <alignment horizontal="center" vertical="center" wrapText="1"/>
      <protection hidden="1"/>
    </xf>
    <xf numFmtId="0" fontId="32" fillId="10" borderId="6" xfId="0" applyFont="1" applyFill="1" applyBorder="1" applyAlignment="1" applyProtection="1">
      <alignment horizontal="center" vertical="center"/>
      <protection hidden="1"/>
    </xf>
    <xf numFmtId="0" fontId="32" fillId="10" borderId="7" xfId="0" applyFont="1" applyFill="1" applyBorder="1" applyAlignment="1" applyProtection="1">
      <alignment horizontal="center" vertical="center"/>
      <protection hidden="1"/>
    </xf>
    <xf numFmtId="0" fontId="32" fillId="10" borderId="22" xfId="0" applyFont="1" applyFill="1" applyBorder="1" applyAlignment="1" applyProtection="1">
      <alignment horizontal="center" vertical="center"/>
      <protection hidden="1"/>
    </xf>
    <xf numFmtId="0" fontId="35" fillId="10" borderId="6" xfId="0" applyFont="1" applyFill="1" applyBorder="1" applyAlignment="1" applyProtection="1">
      <alignment horizontal="center" vertical="center"/>
      <protection hidden="1"/>
    </xf>
    <xf numFmtId="0" fontId="35" fillId="10" borderId="7" xfId="0" applyFont="1" applyFill="1" applyBorder="1" applyAlignment="1" applyProtection="1">
      <alignment horizontal="center" vertical="center"/>
      <protection hidden="1"/>
    </xf>
    <xf numFmtId="0" fontId="35" fillId="10" borderId="22" xfId="0" applyFont="1" applyFill="1" applyBorder="1" applyAlignment="1" applyProtection="1">
      <alignment horizontal="center" vertical="center"/>
      <protection hidden="1"/>
    </xf>
    <xf numFmtId="0" fontId="32" fillId="9" borderId="6" xfId="0" applyFont="1" applyFill="1" applyBorder="1" applyAlignment="1" applyProtection="1">
      <alignment horizontal="center" vertical="center"/>
      <protection hidden="1"/>
    </xf>
    <xf numFmtId="0" fontId="32" fillId="9" borderId="7" xfId="0" applyFont="1" applyFill="1" applyBorder="1" applyAlignment="1" applyProtection="1">
      <alignment horizontal="center" vertical="center"/>
      <protection hidden="1"/>
    </xf>
    <xf numFmtId="0" fontId="32" fillId="9" borderId="22" xfId="0" applyFont="1" applyFill="1" applyBorder="1" applyAlignment="1" applyProtection="1">
      <alignment horizontal="center" vertical="center"/>
      <protection hidden="1"/>
    </xf>
    <xf numFmtId="0" fontId="35" fillId="9" borderId="6" xfId="0" applyFont="1" applyFill="1" applyBorder="1" applyAlignment="1" applyProtection="1">
      <alignment horizontal="center" vertical="center"/>
      <protection hidden="1"/>
    </xf>
    <xf numFmtId="0" fontId="35" fillId="9" borderId="7" xfId="0" applyFont="1" applyFill="1" applyBorder="1" applyAlignment="1" applyProtection="1">
      <alignment horizontal="center" vertical="center"/>
      <protection hidden="1"/>
    </xf>
    <xf numFmtId="0" fontId="35" fillId="9" borderId="22" xfId="0" applyFont="1" applyFill="1" applyBorder="1" applyAlignment="1" applyProtection="1">
      <alignment horizontal="center" vertical="center"/>
      <protection hidden="1"/>
    </xf>
    <xf numFmtId="0" fontId="43" fillId="10" borderId="6" xfId="0" applyFont="1" applyFill="1" applyBorder="1" applyAlignment="1" applyProtection="1">
      <alignment horizontal="center" vertical="center" wrapText="1"/>
      <protection hidden="1"/>
    </xf>
    <xf numFmtId="0" fontId="7" fillId="10" borderId="22" xfId="0" applyFont="1" applyFill="1" applyBorder="1" applyProtection="1">
      <protection hidden="1"/>
    </xf>
    <xf numFmtId="0" fontId="43" fillId="10" borderId="22" xfId="0" applyFont="1" applyFill="1" applyBorder="1" applyAlignment="1" applyProtection="1">
      <alignment horizontal="center" vertical="center" wrapText="1"/>
      <protection hidden="1"/>
    </xf>
    <xf numFmtId="0" fontId="29" fillId="14" borderId="34" xfId="0" applyFont="1" applyFill="1" applyBorder="1" applyAlignment="1" applyProtection="1">
      <alignment horizontal="center" vertical="center"/>
      <protection hidden="1"/>
    </xf>
    <xf numFmtId="0" fontId="29" fillId="14" borderId="57" xfId="0" applyFont="1" applyFill="1" applyBorder="1" applyAlignment="1" applyProtection="1">
      <alignment horizontal="center" vertical="center"/>
      <protection hidden="1"/>
    </xf>
    <xf numFmtId="0" fontId="29" fillId="14" borderId="33" xfId="0" applyFont="1" applyFill="1" applyBorder="1" applyAlignment="1" applyProtection="1">
      <alignment horizontal="center" vertical="center"/>
      <protection hidden="1"/>
    </xf>
    <xf numFmtId="0" fontId="7" fillId="9" borderId="22" xfId="0" applyFont="1" applyFill="1" applyBorder="1" applyProtection="1">
      <protection hidden="1"/>
    </xf>
    <xf numFmtId="0" fontId="46" fillId="14" borderId="34" xfId="0" applyFont="1" applyFill="1" applyBorder="1" applyAlignment="1" applyProtection="1">
      <alignment horizontal="center" vertical="center" wrapText="1"/>
      <protection hidden="1"/>
    </xf>
    <xf numFmtId="0" fontId="46" fillId="14" borderId="57" xfId="0" applyFont="1" applyFill="1" applyBorder="1" applyAlignment="1" applyProtection="1">
      <alignment horizontal="center" vertical="center" wrapText="1"/>
      <protection hidden="1"/>
    </xf>
    <xf numFmtId="0" fontId="46" fillId="14" borderId="33" xfId="0" applyFont="1" applyFill="1" applyBorder="1" applyAlignment="1" applyProtection="1">
      <alignment horizontal="center" vertical="center" wrapText="1"/>
      <protection hidden="1"/>
    </xf>
    <xf numFmtId="0" fontId="30" fillId="2" borderId="6" xfId="0" applyFont="1" applyFill="1" applyBorder="1" applyAlignment="1" applyProtection="1">
      <alignment horizontal="center" vertical="center"/>
      <protection hidden="1"/>
    </xf>
    <xf numFmtId="0" fontId="30" fillId="2" borderId="7" xfId="0" applyFont="1" applyFill="1" applyBorder="1" applyAlignment="1" applyProtection="1">
      <alignment horizontal="center" vertical="center"/>
      <protection hidden="1"/>
    </xf>
    <xf numFmtId="0" fontId="30" fillId="2" borderId="22" xfId="0" applyFont="1" applyFill="1" applyBorder="1" applyAlignment="1" applyProtection="1">
      <alignment horizontal="center" vertical="center"/>
      <protection hidden="1"/>
    </xf>
    <xf numFmtId="0" fontId="46" fillId="2" borderId="6" xfId="0" applyFont="1" applyFill="1" applyBorder="1" applyAlignment="1" applyProtection="1">
      <alignment horizontal="center" vertical="center" wrapText="1"/>
      <protection hidden="1"/>
    </xf>
    <xf numFmtId="0" fontId="46" fillId="2" borderId="7" xfId="0" applyFont="1" applyFill="1" applyBorder="1" applyAlignment="1" applyProtection="1">
      <alignment horizontal="center" vertical="center" wrapText="1"/>
      <protection hidden="1"/>
    </xf>
    <xf numFmtId="0" fontId="46" fillId="2" borderId="22" xfId="0" applyFont="1" applyFill="1" applyBorder="1" applyAlignment="1" applyProtection="1">
      <alignment horizontal="center" vertical="center" wrapText="1"/>
      <protection hidden="1"/>
    </xf>
    <xf numFmtId="0" fontId="43" fillId="2" borderId="47" xfId="0" applyFont="1" applyFill="1" applyBorder="1" applyAlignment="1" applyProtection="1">
      <alignment horizontal="center" vertical="center"/>
      <protection hidden="1"/>
    </xf>
    <xf numFmtId="0" fontId="43" fillId="2" borderId="48" xfId="0" applyFont="1" applyFill="1" applyBorder="1" applyAlignment="1" applyProtection="1">
      <alignment horizontal="center" vertical="center"/>
      <protection hidden="1"/>
    </xf>
    <xf numFmtId="0" fontId="43" fillId="2" borderId="49" xfId="0" applyFont="1" applyFill="1" applyBorder="1" applyAlignment="1" applyProtection="1">
      <alignment horizontal="center" vertical="center"/>
      <protection hidden="1"/>
    </xf>
    <xf numFmtId="0" fontId="43" fillId="20" borderId="6" xfId="0" applyFont="1" applyFill="1" applyBorder="1" applyAlignment="1" applyProtection="1">
      <alignment horizontal="center" vertical="center"/>
      <protection hidden="1"/>
    </xf>
    <xf numFmtId="0" fontId="43" fillId="20" borderId="7" xfId="0" applyFont="1" applyFill="1" applyBorder="1" applyAlignment="1" applyProtection="1">
      <alignment horizontal="center" vertical="center"/>
      <protection hidden="1"/>
    </xf>
    <xf numFmtId="0" fontId="43" fillId="20" borderId="22" xfId="0" applyFont="1" applyFill="1" applyBorder="1" applyAlignment="1" applyProtection="1">
      <alignment horizontal="center" vertical="center"/>
      <protection hidden="1"/>
    </xf>
    <xf numFmtId="0" fontId="43" fillId="20" borderId="47" xfId="0" applyFont="1" applyFill="1" applyBorder="1" applyAlignment="1" applyProtection="1">
      <alignment horizontal="center" vertical="center"/>
      <protection hidden="1"/>
    </xf>
    <xf numFmtId="0" fontId="43" fillId="20" borderId="48" xfId="0" applyFont="1" applyFill="1" applyBorder="1" applyAlignment="1" applyProtection="1">
      <alignment horizontal="center" vertical="center"/>
      <protection hidden="1"/>
    </xf>
    <xf numFmtId="0" fontId="43" fillId="20" borderId="49" xfId="0" applyFont="1" applyFill="1" applyBorder="1" applyAlignment="1" applyProtection="1">
      <alignment horizontal="center" vertical="center"/>
      <protection hidden="1"/>
    </xf>
    <xf numFmtId="0" fontId="65" fillId="2" borderId="6" xfId="0" applyFont="1" applyFill="1" applyBorder="1" applyAlignment="1" applyProtection="1">
      <alignment horizontal="center" vertical="center"/>
      <protection hidden="1"/>
    </xf>
    <xf numFmtId="0" fontId="65" fillId="2" borderId="7" xfId="0" applyFont="1" applyFill="1" applyBorder="1" applyAlignment="1" applyProtection="1">
      <alignment horizontal="center" vertical="center"/>
      <protection hidden="1"/>
    </xf>
    <xf numFmtId="0" fontId="65" fillId="2" borderId="22" xfId="0" applyFont="1" applyFill="1" applyBorder="1" applyAlignment="1" applyProtection="1">
      <alignment horizontal="center" vertical="center"/>
      <protection hidden="1"/>
    </xf>
    <xf numFmtId="0" fontId="30" fillId="18" borderId="6" xfId="0" applyFont="1" applyFill="1" applyBorder="1" applyAlignment="1" applyProtection="1">
      <alignment horizontal="center" vertical="center"/>
      <protection hidden="1"/>
    </xf>
    <xf numFmtId="0" fontId="30" fillId="18" borderId="7" xfId="0" applyFont="1" applyFill="1" applyBorder="1" applyAlignment="1" applyProtection="1">
      <alignment horizontal="center" vertical="center"/>
      <protection hidden="1"/>
    </xf>
    <xf numFmtId="0" fontId="30" fillId="18" borderId="22" xfId="0" applyFont="1" applyFill="1" applyBorder="1" applyAlignment="1" applyProtection="1">
      <alignment horizontal="center" vertical="center"/>
      <protection hidden="1"/>
    </xf>
    <xf numFmtId="0" fontId="46" fillId="14" borderId="54" xfId="0" applyFont="1" applyFill="1" applyBorder="1" applyAlignment="1" applyProtection="1">
      <alignment horizontal="center" vertical="center" wrapText="1"/>
      <protection hidden="1"/>
    </xf>
    <xf numFmtId="0" fontId="46" fillId="14" borderId="38" xfId="0" applyFont="1" applyFill="1" applyBorder="1" applyAlignment="1" applyProtection="1">
      <alignment horizontal="center" vertical="center" wrapText="1"/>
      <protection hidden="1"/>
    </xf>
    <xf numFmtId="0" fontId="46" fillId="14" borderId="39" xfId="0" applyFont="1" applyFill="1" applyBorder="1" applyAlignment="1" applyProtection="1">
      <alignment horizontal="center" vertical="center" wrapText="1"/>
      <protection hidden="1"/>
    </xf>
    <xf numFmtId="0" fontId="30" fillId="14" borderId="54" xfId="0" applyFont="1" applyFill="1" applyBorder="1" applyAlignment="1" applyProtection="1">
      <alignment horizontal="center" vertical="center"/>
      <protection hidden="1"/>
    </xf>
    <xf numFmtId="0" fontId="30" fillId="14" borderId="38" xfId="0" applyFont="1" applyFill="1" applyBorder="1" applyAlignment="1" applyProtection="1">
      <alignment horizontal="center" vertical="center"/>
      <protection hidden="1"/>
    </xf>
    <xf numFmtId="0" fontId="30" fillId="14" borderId="39" xfId="0" applyFont="1" applyFill="1" applyBorder="1" applyAlignment="1" applyProtection="1">
      <alignment horizontal="center" vertical="center"/>
      <protection hidden="1"/>
    </xf>
    <xf numFmtId="0" fontId="43" fillId="20" borderId="35" xfId="0" applyFont="1" applyFill="1" applyBorder="1" applyAlignment="1" applyProtection="1">
      <alignment horizontal="center" vertical="center"/>
      <protection hidden="1"/>
    </xf>
    <xf numFmtId="0" fontId="43" fillId="20" borderId="8" xfId="0" applyFont="1" applyFill="1" applyBorder="1" applyAlignment="1" applyProtection="1">
      <alignment horizontal="center" vertical="center"/>
      <protection hidden="1"/>
    </xf>
    <xf numFmtId="0" fontId="50" fillId="5" borderId="12" xfId="0" applyFont="1" applyFill="1" applyBorder="1" applyAlignment="1" applyProtection="1">
      <alignment horizontal="center" vertical="center" wrapText="1"/>
      <protection hidden="1"/>
    </xf>
    <xf numFmtId="0" fontId="50" fillId="5" borderId="15" xfId="0" applyFont="1" applyFill="1" applyBorder="1" applyAlignment="1" applyProtection="1">
      <alignment horizontal="center" vertical="center" wrapText="1"/>
      <protection hidden="1"/>
    </xf>
    <xf numFmtId="0" fontId="50" fillId="5" borderId="23" xfId="0" applyFont="1" applyFill="1" applyBorder="1" applyAlignment="1" applyProtection="1">
      <alignment horizontal="center" vertical="center" wrapText="1"/>
      <protection hidden="1"/>
    </xf>
    <xf numFmtId="0" fontId="99" fillId="5" borderId="15" xfId="0" applyFont="1" applyFill="1" applyBorder="1" applyAlignment="1" applyProtection="1">
      <alignment horizontal="center" wrapText="1"/>
      <protection hidden="1"/>
    </xf>
    <xf numFmtId="0" fontId="99" fillId="5" borderId="0" xfId="0" applyFont="1" applyFill="1" applyBorder="1" applyAlignment="1" applyProtection="1">
      <alignment horizontal="center" wrapText="1"/>
      <protection hidden="1"/>
    </xf>
    <xf numFmtId="0" fontId="98" fillId="5" borderId="15" xfId="0" applyFont="1" applyFill="1" applyBorder="1" applyAlignment="1" applyProtection="1">
      <alignment horizontal="center" vertical="top" wrapText="1"/>
      <protection hidden="1"/>
    </xf>
    <xf numFmtId="0" fontId="98" fillId="5" borderId="0" xfId="0" applyFont="1" applyFill="1" applyBorder="1" applyAlignment="1" applyProtection="1">
      <alignment horizontal="center" vertical="top" wrapText="1"/>
      <protection hidden="1"/>
    </xf>
    <xf numFmtId="0" fontId="24" fillId="5" borderId="26" xfId="0" applyFont="1" applyFill="1" applyBorder="1" applyAlignment="1" applyProtection="1">
      <alignment horizontal="center" vertical="center" wrapText="1"/>
      <protection hidden="1"/>
    </xf>
    <xf numFmtId="0" fontId="24" fillId="5" borderId="46" xfId="0" applyFont="1" applyFill="1" applyBorder="1" applyAlignment="1" applyProtection="1">
      <alignment horizontal="center" vertical="center" wrapText="1"/>
      <protection hidden="1"/>
    </xf>
    <xf numFmtId="0" fontId="11" fillId="5" borderId="26" xfId="0" applyFont="1" applyFill="1" applyBorder="1" applyAlignment="1" applyProtection="1">
      <alignment horizontal="center" vertical="center" wrapText="1"/>
      <protection hidden="1"/>
    </xf>
    <xf numFmtId="0" fontId="11" fillId="5" borderId="46" xfId="0" applyFont="1" applyFill="1" applyBorder="1" applyAlignment="1" applyProtection="1">
      <alignment horizontal="center" vertical="center" wrapText="1"/>
      <protection hidden="1"/>
    </xf>
    <xf numFmtId="0" fontId="98" fillId="5" borderId="23" xfId="0" applyFont="1" applyFill="1" applyBorder="1" applyAlignment="1" applyProtection="1">
      <alignment horizontal="center" vertical="center" wrapText="1"/>
      <protection hidden="1"/>
    </xf>
    <xf numFmtId="0" fontId="98" fillId="5" borderId="21" xfId="0" applyFont="1" applyFill="1" applyBorder="1" applyAlignment="1" applyProtection="1">
      <alignment horizontal="center" vertical="center" wrapText="1"/>
      <protection hidden="1"/>
    </xf>
    <xf numFmtId="0" fontId="98" fillId="5" borderId="24" xfId="0" applyFont="1" applyFill="1" applyBorder="1" applyAlignment="1" applyProtection="1">
      <alignment horizontal="center" vertical="center" wrapText="1"/>
      <protection hidden="1"/>
    </xf>
    <xf numFmtId="0" fontId="11" fillId="5" borderId="27" xfId="0" applyFont="1" applyFill="1" applyBorder="1" applyAlignment="1" applyProtection="1">
      <alignment horizontal="center" vertical="center" wrapText="1"/>
      <protection hidden="1"/>
    </xf>
    <xf numFmtId="0" fontId="46" fillId="5" borderId="6" xfId="0" applyFont="1" applyFill="1" applyBorder="1" applyAlignment="1" applyProtection="1">
      <alignment horizontal="center" vertical="center" wrapText="1"/>
      <protection hidden="1"/>
    </xf>
    <xf numFmtId="0" fontId="46" fillId="5" borderId="22" xfId="0" applyFont="1" applyFill="1" applyBorder="1" applyAlignment="1" applyProtection="1">
      <alignment horizontal="center" vertical="center" wrapText="1"/>
      <protection hidden="1"/>
    </xf>
    <xf numFmtId="0" fontId="29" fillId="5" borderId="41" xfId="0" applyFont="1" applyFill="1" applyBorder="1" applyAlignment="1" applyProtection="1">
      <alignment horizontal="center" vertical="center"/>
      <protection hidden="1"/>
    </xf>
    <xf numFmtId="0" fontId="29" fillId="5" borderId="13" xfId="0" applyFont="1" applyFill="1" applyBorder="1" applyAlignment="1" applyProtection="1">
      <alignment horizontal="center" vertical="center"/>
      <protection hidden="1"/>
    </xf>
    <xf numFmtId="0" fontId="29" fillId="5" borderId="32" xfId="0" applyFont="1" applyFill="1" applyBorder="1" applyAlignment="1" applyProtection="1">
      <alignment horizontal="center" vertical="center"/>
      <protection hidden="1"/>
    </xf>
    <xf numFmtId="0" fontId="29" fillId="5" borderId="1" xfId="0" applyFont="1" applyFill="1" applyBorder="1" applyAlignment="1" applyProtection="1">
      <alignment horizontal="center" vertical="center"/>
      <protection hidden="1"/>
    </xf>
    <xf numFmtId="0" fontId="29" fillId="5" borderId="2" xfId="0" applyFont="1" applyFill="1" applyBorder="1" applyAlignment="1" applyProtection="1">
      <alignment horizontal="center" vertical="center"/>
      <protection hidden="1"/>
    </xf>
    <xf numFmtId="0" fontId="26" fillId="5" borderId="4" xfId="0" applyFont="1" applyFill="1" applyBorder="1" applyAlignment="1" applyProtection="1">
      <alignment horizontal="center" vertical="center"/>
      <protection hidden="1"/>
    </xf>
    <xf numFmtId="0" fontId="26" fillId="5" borderId="2" xfId="0" applyFont="1" applyFill="1" applyBorder="1" applyAlignment="1" applyProtection="1">
      <alignment horizontal="center" vertical="center"/>
      <protection hidden="1"/>
    </xf>
    <xf numFmtId="0" fontId="29" fillId="5" borderId="17" xfId="0" applyFont="1" applyFill="1" applyBorder="1" applyAlignment="1" applyProtection="1">
      <alignment horizontal="center" vertical="center"/>
      <protection hidden="1"/>
    </xf>
    <xf numFmtId="0" fontId="29" fillId="5" borderId="19" xfId="0" applyFont="1" applyFill="1" applyBorder="1" applyAlignment="1" applyProtection="1">
      <alignment horizontal="center" vertical="center"/>
      <protection hidden="1"/>
    </xf>
    <xf numFmtId="0" fontId="11" fillId="5" borderId="67" xfId="0" applyFont="1" applyFill="1" applyBorder="1" applyAlignment="1" applyProtection="1">
      <alignment horizontal="center" vertical="center" wrapText="1"/>
      <protection hidden="1"/>
    </xf>
    <xf numFmtId="0" fontId="11" fillId="5" borderId="44" xfId="0" applyFont="1" applyFill="1" applyBorder="1" applyAlignment="1" applyProtection="1">
      <alignment horizontal="center" vertical="center" wrapText="1"/>
      <protection hidden="1"/>
    </xf>
    <xf numFmtId="0" fontId="11" fillId="5" borderId="51" xfId="0" applyFont="1" applyFill="1" applyBorder="1" applyAlignment="1" applyProtection="1">
      <alignment horizontal="center" vertical="center" wrapText="1"/>
      <protection hidden="1"/>
    </xf>
    <xf numFmtId="0" fontId="29" fillId="5" borderId="4" xfId="0" applyFont="1" applyFill="1" applyBorder="1" applyAlignment="1" applyProtection="1">
      <alignment horizontal="center" vertical="center"/>
      <protection hidden="1"/>
    </xf>
    <xf numFmtId="0" fontId="28" fillId="15" borderId="15" xfId="0" applyFont="1" applyFill="1" applyBorder="1" applyAlignment="1" applyProtection="1">
      <alignment horizontal="left" vertical="center"/>
      <protection hidden="1"/>
    </xf>
    <xf numFmtId="0" fontId="7" fillId="4" borderId="38" xfId="0" applyFont="1" applyFill="1" applyBorder="1" applyAlignment="1" applyProtection="1">
      <alignment horizontal="center"/>
      <protection hidden="1"/>
    </xf>
    <xf numFmtId="0" fontId="87" fillId="15" borderId="0" xfId="0" applyFont="1" applyFill="1" applyBorder="1" applyAlignment="1" applyProtection="1">
      <alignment horizontal="center" vertical="center" wrapText="1"/>
      <protection hidden="1"/>
    </xf>
    <xf numFmtId="0" fontId="87" fillId="15" borderId="16" xfId="0" applyFont="1" applyFill="1" applyBorder="1" applyAlignment="1" applyProtection="1">
      <alignment horizontal="center" vertical="center" wrapText="1"/>
      <protection hidden="1"/>
    </xf>
    <xf numFmtId="0" fontId="52" fillId="15" borderId="21" xfId="0" applyFont="1" applyFill="1" applyBorder="1" applyAlignment="1" applyProtection="1">
      <alignment horizontal="center"/>
      <protection hidden="1"/>
    </xf>
    <xf numFmtId="0" fontId="52" fillId="15" borderId="24" xfId="0" applyFont="1" applyFill="1" applyBorder="1" applyAlignment="1" applyProtection="1">
      <alignment horizontal="center"/>
      <protection hidden="1"/>
    </xf>
    <xf numFmtId="0" fontId="26" fillId="15" borderId="0" xfId="0" applyFont="1" applyFill="1" applyBorder="1" applyAlignment="1" applyProtection="1">
      <alignment horizontal="center" vertical="center"/>
      <protection hidden="1"/>
    </xf>
    <xf numFmtId="0" fontId="30" fillId="0" borderId="37" xfId="0" applyFont="1" applyBorder="1" applyAlignment="1" applyProtection="1">
      <alignment horizontal="center" vertical="center"/>
      <protection hidden="1"/>
    </xf>
    <xf numFmtId="0" fontId="30" fillId="0" borderId="38" xfId="0" applyFont="1" applyBorder="1" applyAlignment="1" applyProtection="1">
      <alignment horizontal="center" vertical="center"/>
      <protection hidden="1"/>
    </xf>
    <xf numFmtId="0" fontId="30" fillId="0" borderId="39" xfId="0" applyFont="1" applyBorder="1" applyAlignment="1" applyProtection="1">
      <alignment horizontal="center" vertical="center"/>
      <protection hidden="1"/>
    </xf>
    <xf numFmtId="1" fontId="28" fillId="15" borderId="38" xfId="0" applyNumberFormat="1" applyFont="1" applyFill="1" applyBorder="1" applyAlignment="1" applyProtection="1">
      <alignment horizontal="center" vertical="center" wrapText="1"/>
      <protection hidden="1"/>
    </xf>
    <xf numFmtId="0" fontId="30" fillId="0" borderId="47" xfId="0" applyFont="1" applyBorder="1" applyAlignment="1" applyProtection="1">
      <alignment horizontal="center"/>
      <protection hidden="1"/>
    </xf>
    <xf numFmtId="0" fontId="30" fillId="0" borderId="48" xfId="0" applyFont="1" applyBorder="1" applyAlignment="1" applyProtection="1">
      <alignment horizontal="center"/>
      <protection hidden="1"/>
    </xf>
    <xf numFmtId="0" fontId="30" fillId="0" borderId="49" xfId="0" applyFont="1" applyBorder="1" applyAlignment="1" applyProtection="1">
      <alignment horizontal="center"/>
      <protection hidden="1"/>
    </xf>
    <xf numFmtId="0" fontId="29" fillId="15" borderId="63" xfId="0" applyFont="1" applyFill="1" applyBorder="1" applyAlignment="1" applyProtection="1">
      <alignment horizontal="center" vertical="center"/>
      <protection hidden="1"/>
    </xf>
    <xf numFmtId="0" fontId="29" fillId="15" borderId="57" xfId="0" applyFont="1" applyFill="1" applyBorder="1" applyAlignment="1" applyProtection="1">
      <alignment horizontal="center" vertical="center"/>
      <protection hidden="1"/>
    </xf>
    <xf numFmtId="0" fontId="29" fillId="15" borderId="33" xfId="0" applyFont="1" applyFill="1" applyBorder="1" applyAlignment="1" applyProtection="1">
      <alignment horizontal="center" vertical="center"/>
      <protection hidden="1"/>
    </xf>
    <xf numFmtId="0" fontId="30" fillId="15" borderId="34" xfId="0" applyFont="1" applyFill="1" applyBorder="1" applyAlignment="1" applyProtection="1">
      <alignment horizontal="center" vertical="center" wrapText="1"/>
      <protection hidden="1"/>
    </xf>
    <xf numFmtId="0" fontId="30" fillId="15" borderId="57" xfId="0" applyFont="1" applyFill="1" applyBorder="1" applyAlignment="1" applyProtection="1">
      <alignment horizontal="center" vertical="center" wrapText="1"/>
      <protection hidden="1"/>
    </xf>
    <xf numFmtId="0" fontId="30" fillId="15" borderId="33" xfId="0" applyFont="1" applyFill="1" applyBorder="1" applyAlignment="1" applyProtection="1">
      <alignment horizontal="center" vertical="center" wrapText="1"/>
      <protection hidden="1"/>
    </xf>
    <xf numFmtId="0" fontId="30" fillId="15" borderId="22" xfId="0" applyFont="1" applyFill="1" applyBorder="1" applyAlignment="1" applyProtection="1">
      <alignment horizontal="center" vertical="center"/>
      <protection hidden="1"/>
    </xf>
    <xf numFmtId="0" fontId="28" fillId="15" borderId="6" xfId="0" applyFont="1" applyFill="1" applyBorder="1" applyAlignment="1" applyProtection="1">
      <alignment horizontal="center" vertical="center" wrapText="1"/>
      <protection hidden="1"/>
    </xf>
    <xf numFmtId="0" fontId="28" fillId="15" borderId="7" xfId="0" applyFont="1" applyFill="1" applyBorder="1" applyAlignment="1" applyProtection="1">
      <alignment horizontal="center" vertical="center" wrapText="1"/>
      <protection hidden="1"/>
    </xf>
    <xf numFmtId="0" fontId="28" fillId="15" borderId="22" xfId="0" applyFont="1" applyFill="1" applyBorder="1" applyAlignment="1" applyProtection="1">
      <alignment horizontal="center" vertical="center" wrapText="1"/>
      <protection hidden="1"/>
    </xf>
    <xf numFmtId="1" fontId="28" fillId="15" borderId="6" xfId="0" applyNumberFormat="1" applyFont="1" applyFill="1" applyBorder="1" applyAlignment="1" applyProtection="1">
      <alignment horizontal="center"/>
      <protection hidden="1"/>
    </xf>
    <xf numFmtId="1" fontId="28" fillId="15" borderId="7" xfId="0" applyNumberFormat="1" applyFont="1" applyFill="1" applyBorder="1" applyAlignment="1" applyProtection="1">
      <alignment horizontal="center"/>
      <protection hidden="1"/>
    </xf>
    <xf numFmtId="1" fontId="28" fillId="15" borderId="22" xfId="0" applyNumberFormat="1" applyFont="1" applyFill="1" applyBorder="1" applyAlignment="1" applyProtection="1">
      <alignment horizontal="center"/>
      <protection hidden="1"/>
    </xf>
    <xf numFmtId="0" fontId="26" fillId="15" borderId="6" xfId="0" applyFont="1" applyFill="1" applyBorder="1" applyAlignment="1" applyProtection="1">
      <alignment horizontal="center" vertical="center" wrapText="1"/>
      <protection hidden="1"/>
    </xf>
    <xf numFmtId="0" fontId="26" fillId="15" borderId="7" xfId="0" applyFont="1" applyFill="1" applyBorder="1" applyAlignment="1" applyProtection="1">
      <alignment horizontal="center" vertical="center" wrapText="1"/>
      <protection hidden="1"/>
    </xf>
    <xf numFmtId="0" fontId="26" fillId="15" borderId="22" xfId="0" applyFont="1" applyFill="1" applyBorder="1" applyAlignment="1" applyProtection="1">
      <alignment horizontal="center" vertical="center" wrapText="1"/>
      <protection hidden="1"/>
    </xf>
    <xf numFmtId="0" fontId="43" fillId="15" borderId="34" xfId="0" applyFont="1" applyFill="1" applyBorder="1" applyAlignment="1" applyProtection="1">
      <alignment horizontal="center" vertical="center" wrapText="1"/>
      <protection hidden="1"/>
    </xf>
    <xf numFmtId="0" fontId="43" fillId="15" borderId="33" xfId="0" applyFont="1" applyFill="1" applyBorder="1" applyAlignment="1" applyProtection="1">
      <alignment horizontal="center" vertical="center" wrapText="1"/>
      <protection hidden="1"/>
    </xf>
    <xf numFmtId="0" fontId="29" fillId="15" borderId="37" xfId="0" applyFont="1" applyFill="1" applyBorder="1" applyAlignment="1" applyProtection="1">
      <alignment horizontal="center"/>
      <protection hidden="1"/>
    </xf>
    <xf numFmtId="0" fontId="29" fillId="15" borderId="38" xfId="0" applyFont="1" applyFill="1" applyBorder="1" applyAlignment="1" applyProtection="1">
      <alignment horizontal="center"/>
      <protection hidden="1"/>
    </xf>
    <xf numFmtId="0" fontId="29" fillId="15" borderId="39" xfId="0" applyFont="1" applyFill="1" applyBorder="1" applyAlignment="1" applyProtection="1">
      <alignment horizontal="center"/>
      <protection hidden="1"/>
    </xf>
    <xf numFmtId="1" fontId="28" fillId="15" borderId="54" xfId="0" applyNumberFormat="1" applyFont="1" applyFill="1" applyBorder="1" applyAlignment="1" applyProtection="1">
      <alignment horizontal="center"/>
      <protection hidden="1"/>
    </xf>
    <xf numFmtId="1" fontId="28" fillId="15" borderId="38" xfId="0" applyNumberFormat="1" applyFont="1" applyFill="1" applyBorder="1" applyAlignment="1" applyProtection="1">
      <alignment horizontal="center"/>
      <protection hidden="1"/>
    </xf>
    <xf numFmtId="1" fontId="28" fillId="15" borderId="39" xfId="0" applyNumberFormat="1" applyFont="1" applyFill="1" applyBorder="1" applyAlignment="1" applyProtection="1">
      <alignment horizontal="center"/>
      <protection hidden="1"/>
    </xf>
    <xf numFmtId="0" fontId="29" fillId="15" borderId="35" xfId="0" applyFont="1" applyFill="1" applyBorder="1" applyAlignment="1" applyProtection="1">
      <alignment horizontal="center"/>
      <protection hidden="1"/>
    </xf>
    <xf numFmtId="0" fontId="29" fillId="15" borderId="7" xfId="0" applyFont="1" applyFill="1" applyBorder="1" applyAlignment="1" applyProtection="1">
      <alignment horizontal="center"/>
      <protection hidden="1"/>
    </xf>
    <xf numFmtId="0" fontId="29" fillId="15" borderId="22" xfId="0" applyFont="1" applyFill="1" applyBorder="1" applyAlignment="1" applyProtection="1">
      <alignment horizontal="center"/>
      <protection hidden="1"/>
    </xf>
    <xf numFmtId="0" fontId="30" fillId="15" borderId="6" xfId="0" applyFont="1" applyFill="1" applyBorder="1" applyAlignment="1" applyProtection="1">
      <alignment horizontal="center" vertical="center" wrapText="1"/>
      <protection hidden="1"/>
    </xf>
    <xf numFmtId="0" fontId="30" fillId="15" borderId="7" xfId="0" applyFont="1" applyFill="1" applyBorder="1" applyAlignment="1" applyProtection="1">
      <alignment horizontal="center" vertical="center" wrapText="1"/>
      <protection hidden="1"/>
    </xf>
    <xf numFmtId="0" fontId="30" fillId="15" borderId="22" xfId="0" applyFont="1" applyFill="1" applyBorder="1" applyAlignment="1" applyProtection="1">
      <alignment horizontal="center" vertical="center" wrapText="1"/>
      <protection hidden="1"/>
    </xf>
    <xf numFmtId="0" fontId="39" fillId="15" borderId="22" xfId="0" applyFont="1" applyFill="1" applyBorder="1" applyAlignment="1" applyProtection="1">
      <alignment horizontal="center" vertical="center" wrapText="1"/>
      <protection hidden="1"/>
    </xf>
    <xf numFmtId="0" fontId="30" fillId="15" borderId="47" xfId="0" applyFont="1" applyFill="1" applyBorder="1" applyAlignment="1" applyProtection="1">
      <alignment horizontal="center"/>
      <protection hidden="1"/>
    </xf>
    <xf numFmtId="0" fontId="30" fillId="15" borderId="48" xfId="0" applyFont="1" applyFill="1" applyBorder="1" applyAlignment="1" applyProtection="1">
      <alignment horizontal="center"/>
      <protection hidden="1"/>
    </xf>
    <xf numFmtId="0" fontId="30" fillId="15" borderId="49" xfId="0" applyFont="1" applyFill="1" applyBorder="1" applyAlignment="1" applyProtection="1">
      <alignment horizontal="center"/>
      <protection hidden="1"/>
    </xf>
    <xf numFmtId="0" fontId="29" fillId="15" borderId="34" xfId="0" applyFont="1" applyFill="1" applyBorder="1" applyAlignment="1" applyProtection="1">
      <alignment horizontal="center" vertical="center"/>
      <protection hidden="1"/>
    </xf>
    <xf numFmtId="0" fontId="30" fillId="15" borderId="6" xfId="0" applyFont="1" applyFill="1" applyBorder="1" applyAlignment="1" applyProtection="1">
      <alignment horizontal="center" vertical="center"/>
      <protection hidden="1"/>
    </xf>
    <xf numFmtId="0" fontId="30" fillId="15" borderId="30" xfId="0" applyFont="1" applyFill="1" applyBorder="1" applyAlignment="1" applyProtection="1">
      <alignment horizontal="center" vertical="center" wrapText="1"/>
      <protection hidden="1"/>
    </xf>
    <xf numFmtId="0" fontId="30" fillId="15" borderId="31" xfId="0" applyFont="1" applyFill="1" applyBorder="1" applyAlignment="1" applyProtection="1">
      <alignment horizontal="center" vertical="center" wrapText="1"/>
      <protection hidden="1"/>
    </xf>
    <xf numFmtId="0" fontId="30" fillId="15" borderId="29" xfId="0" applyFont="1" applyFill="1" applyBorder="1" applyAlignment="1" applyProtection="1">
      <alignment horizontal="center" vertical="center" wrapText="1"/>
      <protection hidden="1"/>
    </xf>
    <xf numFmtId="0" fontId="30" fillId="15" borderId="32" xfId="0" applyFont="1" applyFill="1" applyBorder="1" applyAlignment="1" applyProtection="1">
      <alignment horizontal="center" vertical="center" wrapText="1"/>
      <protection hidden="1"/>
    </xf>
    <xf numFmtId="0" fontId="30" fillId="15" borderId="1" xfId="0" applyFont="1" applyFill="1" applyBorder="1" applyAlignment="1" applyProtection="1">
      <alignment horizontal="center" vertical="center" wrapText="1"/>
      <protection hidden="1"/>
    </xf>
    <xf numFmtId="0" fontId="30" fillId="15" borderId="11" xfId="0" applyFont="1" applyFill="1" applyBorder="1" applyAlignment="1" applyProtection="1">
      <alignment horizontal="center" vertical="center" wrapText="1"/>
      <protection hidden="1"/>
    </xf>
    <xf numFmtId="0" fontId="30" fillId="15" borderId="30" xfId="0" applyFont="1" applyFill="1" applyBorder="1" applyAlignment="1" applyProtection="1">
      <alignment horizontal="center" vertical="top" wrapText="1"/>
      <protection hidden="1"/>
    </xf>
    <xf numFmtId="0" fontId="30" fillId="15" borderId="31" xfId="0" applyFont="1" applyFill="1" applyBorder="1" applyAlignment="1" applyProtection="1">
      <alignment horizontal="center" vertical="top" wrapText="1"/>
      <protection hidden="1"/>
    </xf>
    <xf numFmtId="0" fontId="30" fillId="15" borderId="29" xfId="0" applyFont="1" applyFill="1" applyBorder="1" applyAlignment="1" applyProtection="1">
      <alignment horizontal="center" vertical="top" wrapText="1"/>
      <protection hidden="1"/>
    </xf>
    <xf numFmtId="0" fontId="30" fillId="15" borderId="32" xfId="0" applyFont="1" applyFill="1" applyBorder="1" applyAlignment="1" applyProtection="1">
      <alignment horizontal="center" vertical="top" wrapText="1"/>
      <protection hidden="1"/>
    </xf>
    <xf numFmtId="0" fontId="30" fillId="15" borderId="1" xfId="0" applyFont="1" applyFill="1" applyBorder="1" applyAlignment="1" applyProtection="1">
      <alignment horizontal="center" vertical="top" wrapText="1"/>
      <protection hidden="1"/>
    </xf>
    <xf numFmtId="0" fontId="30" fillId="15" borderId="11" xfId="0" applyFont="1" applyFill="1" applyBorder="1" applyAlignment="1" applyProtection="1">
      <alignment horizontal="center" vertical="top" wrapText="1"/>
      <protection hidden="1"/>
    </xf>
    <xf numFmtId="0" fontId="44" fillId="15" borderId="6" xfId="0" applyFont="1" applyFill="1" applyBorder="1" applyAlignment="1" applyProtection="1">
      <alignment horizontal="center" vertical="center" wrapText="1"/>
      <protection hidden="1"/>
    </xf>
    <xf numFmtId="0" fontId="44" fillId="15" borderId="7" xfId="0" applyFont="1" applyFill="1" applyBorder="1" applyAlignment="1" applyProtection="1">
      <alignment horizontal="center" vertical="center" wrapText="1"/>
      <protection hidden="1"/>
    </xf>
    <xf numFmtId="0" fontId="44" fillId="15" borderId="22" xfId="0" applyFont="1" applyFill="1" applyBorder="1" applyAlignment="1" applyProtection="1">
      <alignment horizontal="center" vertical="center" wrapText="1"/>
      <protection hidden="1"/>
    </xf>
    <xf numFmtId="0" fontId="28" fillId="15" borderId="22" xfId="0" applyFont="1" applyFill="1" applyBorder="1" applyAlignment="1" applyProtection="1">
      <alignment horizontal="center"/>
      <protection hidden="1"/>
    </xf>
    <xf numFmtId="0" fontId="28" fillId="15" borderId="22" xfId="0" applyFont="1" applyFill="1" applyBorder="1" applyAlignment="1" applyProtection="1">
      <alignment horizontal="center" vertical="center"/>
      <protection hidden="1"/>
    </xf>
    <xf numFmtId="1" fontId="28" fillId="15" borderId="6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22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6" xfId="0" applyNumberFormat="1" applyFont="1" applyFill="1" applyBorder="1" applyAlignment="1" applyProtection="1">
      <alignment horizontal="center" vertical="center"/>
      <protection hidden="1"/>
    </xf>
    <xf numFmtId="1" fontId="28" fillId="15" borderId="22" xfId="0" applyNumberFormat="1" applyFont="1" applyFill="1" applyBorder="1" applyAlignment="1" applyProtection="1">
      <alignment horizontal="center" vertical="center"/>
      <protection hidden="1"/>
    </xf>
    <xf numFmtId="1" fontId="28" fillId="15" borderId="7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54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38" xfId="0" applyNumberFormat="1" applyFont="1" applyFill="1" applyBorder="1" applyAlignment="1" applyProtection="1">
      <alignment horizontal="center" vertical="top" wrapText="1"/>
      <protection hidden="1"/>
    </xf>
    <xf numFmtId="1" fontId="28" fillId="15" borderId="39" xfId="0" applyNumberFormat="1" applyFont="1" applyFill="1" applyBorder="1" applyAlignment="1" applyProtection="1">
      <alignment horizontal="center" vertical="top" wrapText="1"/>
      <protection hidden="1"/>
    </xf>
    <xf numFmtId="0" fontId="39" fillId="15" borderId="37" xfId="0" applyFont="1" applyFill="1" applyBorder="1" applyAlignment="1" applyProtection="1">
      <alignment horizontal="center" vertical="center" wrapText="1"/>
      <protection hidden="1"/>
    </xf>
    <xf numFmtId="0" fontId="39" fillId="15" borderId="38" xfId="0" applyFont="1" applyFill="1" applyBorder="1" applyAlignment="1" applyProtection="1">
      <alignment horizontal="center" vertical="center" wrapText="1"/>
      <protection hidden="1"/>
    </xf>
    <xf numFmtId="0" fontId="39" fillId="15" borderId="39" xfId="0" applyFont="1" applyFill="1" applyBorder="1" applyAlignment="1" applyProtection="1">
      <alignment horizontal="center" vertical="center" wrapText="1"/>
      <protection hidden="1"/>
    </xf>
    <xf numFmtId="1" fontId="28" fillId="15" borderId="54" xfId="0" applyNumberFormat="1" applyFont="1" applyFill="1" applyBorder="1" applyAlignment="1" applyProtection="1">
      <alignment horizontal="center" vertical="center"/>
      <protection hidden="1"/>
    </xf>
    <xf numFmtId="1" fontId="28" fillId="15" borderId="39" xfId="0" applyNumberFormat="1" applyFont="1" applyFill="1" applyBorder="1" applyAlignment="1" applyProtection="1">
      <alignment horizontal="center" vertical="center"/>
      <protection hidden="1"/>
    </xf>
    <xf numFmtId="0" fontId="30" fillId="15" borderId="12" xfId="0" applyFont="1" applyFill="1" applyBorder="1" applyAlignment="1" applyProtection="1">
      <alignment horizontal="center" vertical="center" wrapText="1"/>
      <protection hidden="1"/>
    </xf>
    <xf numFmtId="0" fontId="30" fillId="15" borderId="13" xfId="0" applyFont="1" applyFill="1" applyBorder="1" applyAlignment="1" applyProtection="1">
      <alignment horizontal="center" vertical="center" wrapText="1"/>
      <protection hidden="1"/>
    </xf>
    <xf numFmtId="0" fontId="30" fillId="15" borderId="14" xfId="0" applyFont="1" applyFill="1" applyBorder="1" applyAlignment="1" applyProtection="1">
      <alignment horizontal="center" vertical="center" wrapText="1"/>
      <protection hidden="1"/>
    </xf>
    <xf numFmtId="0" fontId="30" fillId="15" borderId="15" xfId="0" applyFont="1" applyFill="1" applyBorder="1" applyAlignment="1" applyProtection="1">
      <alignment horizontal="center" vertical="center" wrapText="1"/>
      <protection hidden="1"/>
    </xf>
    <xf numFmtId="0" fontId="30" fillId="15" borderId="0" xfId="0" applyFont="1" applyFill="1" applyBorder="1" applyAlignment="1" applyProtection="1">
      <alignment horizontal="center" vertical="center" wrapText="1"/>
      <protection hidden="1"/>
    </xf>
    <xf numFmtId="0" fontId="30" fillId="15" borderId="16" xfId="0" applyFont="1" applyFill="1" applyBorder="1" applyAlignment="1" applyProtection="1">
      <alignment horizontal="center" vertical="center" wrapText="1"/>
      <protection hidden="1"/>
    </xf>
    <xf numFmtId="0" fontId="30" fillId="15" borderId="23" xfId="0" applyFont="1" applyFill="1" applyBorder="1" applyAlignment="1" applyProtection="1">
      <alignment horizontal="center" vertical="center" wrapText="1"/>
      <protection hidden="1"/>
    </xf>
    <xf numFmtId="0" fontId="30" fillId="15" borderId="21" xfId="0" applyFont="1" applyFill="1" applyBorder="1" applyAlignment="1" applyProtection="1">
      <alignment horizontal="center" vertical="center" wrapText="1"/>
      <protection hidden="1"/>
    </xf>
    <xf numFmtId="0" fontId="30" fillId="15" borderId="24" xfId="0" applyFont="1" applyFill="1" applyBorder="1" applyAlignment="1" applyProtection="1">
      <alignment horizontal="center" vertical="center" wrapText="1"/>
      <protection hidden="1"/>
    </xf>
    <xf numFmtId="0" fontId="30" fillId="15" borderId="47" xfId="0" applyFont="1" applyFill="1" applyBorder="1" applyAlignment="1" applyProtection="1">
      <alignment horizontal="center" vertical="center"/>
      <protection hidden="1"/>
    </xf>
    <xf numFmtId="0" fontId="30" fillId="15" borderId="48" xfId="0" applyFont="1" applyFill="1" applyBorder="1" applyAlignment="1" applyProtection="1">
      <alignment horizontal="center" vertical="center"/>
      <protection hidden="1"/>
    </xf>
    <xf numFmtId="0" fontId="30" fillId="15" borderId="49" xfId="0" applyFont="1" applyFill="1" applyBorder="1" applyAlignment="1" applyProtection="1">
      <alignment horizontal="center" vertical="center"/>
      <protection hidden="1"/>
    </xf>
    <xf numFmtId="0" fontId="30" fillId="15" borderId="63" xfId="0" applyFont="1" applyFill="1" applyBorder="1" applyAlignment="1" applyProtection="1">
      <alignment horizontal="center" vertical="center"/>
      <protection hidden="1"/>
    </xf>
    <xf numFmtId="0" fontId="30" fillId="15" borderId="57" xfId="0" applyFont="1" applyFill="1" applyBorder="1" applyAlignment="1" applyProtection="1">
      <alignment horizontal="center" vertical="center"/>
      <protection hidden="1"/>
    </xf>
    <xf numFmtId="0" fontId="30" fillId="15" borderId="33" xfId="0" applyFont="1" applyFill="1" applyBorder="1" applyAlignment="1" applyProtection="1">
      <alignment horizontal="center" vertical="center"/>
      <protection hidden="1"/>
    </xf>
    <xf numFmtId="0" fontId="30" fillId="15" borderId="34" xfId="0" applyFont="1" applyFill="1" applyBorder="1" applyAlignment="1" applyProtection="1">
      <alignment horizontal="center"/>
      <protection hidden="1"/>
    </xf>
    <xf numFmtId="0" fontId="30" fillId="15" borderId="57" xfId="0" applyFont="1" applyFill="1" applyBorder="1" applyAlignment="1" applyProtection="1">
      <alignment horizontal="center"/>
      <protection hidden="1"/>
    </xf>
    <xf numFmtId="0" fontId="30" fillId="15" borderId="64" xfId="0" applyFont="1" applyFill="1" applyBorder="1" applyAlignment="1" applyProtection="1">
      <alignment horizontal="center"/>
      <protection hidden="1"/>
    </xf>
    <xf numFmtId="0" fontId="30" fillId="15" borderId="8" xfId="0" applyFont="1" applyFill="1" applyBorder="1" applyAlignment="1" applyProtection="1">
      <alignment horizontal="center" vertical="center"/>
      <protection hidden="1"/>
    </xf>
    <xf numFmtId="0" fontId="30" fillId="15" borderId="12" xfId="0" applyFont="1" applyFill="1" applyBorder="1" applyAlignment="1" applyProtection="1">
      <alignment horizontal="right"/>
      <protection hidden="1"/>
    </xf>
    <xf numFmtId="0" fontId="30" fillId="15" borderId="13" xfId="0" applyFont="1" applyFill="1" applyBorder="1" applyAlignment="1" applyProtection="1">
      <alignment horizontal="right"/>
      <protection hidden="1"/>
    </xf>
    <xf numFmtId="0" fontId="30" fillId="15" borderId="13" xfId="0" applyFont="1" applyFill="1" applyBorder="1" applyAlignment="1" applyProtection="1">
      <alignment horizontal="center"/>
      <protection hidden="1"/>
    </xf>
    <xf numFmtId="0" fontId="30" fillId="15" borderId="37" xfId="0" applyFont="1" applyFill="1" applyBorder="1" applyAlignment="1" applyProtection="1">
      <alignment horizontal="center" vertical="center"/>
      <protection hidden="1"/>
    </xf>
    <xf numFmtId="0" fontId="30" fillId="15" borderId="38" xfId="0" applyFont="1" applyFill="1" applyBorder="1" applyAlignment="1" applyProtection="1">
      <alignment horizontal="center" vertical="center"/>
      <protection hidden="1"/>
    </xf>
    <xf numFmtId="0" fontId="30" fillId="15" borderId="39" xfId="0" applyFont="1" applyFill="1" applyBorder="1" applyAlignment="1" applyProtection="1">
      <alignment horizontal="center" vertical="center"/>
      <protection hidden="1"/>
    </xf>
    <xf numFmtId="0" fontId="30" fillId="15" borderId="54" xfId="0" applyFont="1" applyFill="1" applyBorder="1" applyAlignment="1" applyProtection="1">
      <alignment horizontal="center" vertical="center"/>
      <protection hidden="1"/>
    </xf>
    <xf numFmtId="0" fontId="30" fillId="15" borderId="55" xfId="0" applyFont="1" applyFill="1" applyBorder="1" applyAlignment="1" applyProtection="1">
      <alignment horizontal="center" vertical="center"/>
      <protection hidden="1"/>
    </xf>
    <xf numFmtId="0" fontId="108" fillId="15" borderId="47" xfId="0" applyFont="1" applyFill="1" applyBorder="1" applyAlignment="1" applyProtection="1">
      <alignment horizontal="center" vertical="center"/>
      <protection hidden="1"/>
    </xf>
    <xf numFmtId="0" fontId="108" fillId="15" borderId="48" xfId="0" applyFont="1" applyFill="1" applyBorder="1" applyAlignment="1" applyProtection="1">
      <alignment horizontal="center" vertical="center"/>
      <protection hidden="1"/>
    </xf>
    <xf numFmtId="0" fontId="29" fillId="4" borderId="0" xfId="0" applyFont="1" applyFill="1" applyBorder="1" applyAlignment="1" applyProtection="1">
      <alignment horizontal="right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 wrapText="1"/>
      <protection hidden="1"/>
    </xf>
    <xf numFmtId="0" fontId="7" fillId="0" borderId="19" xfId="0" applyFont="1" applyBorder="1" applyAlignment="1" applyProtection="1">
      <alignment horizontal="center" vertical="center" wrapText="1"/>
      <protection hidden="1"/>
    </xf>
    <xf numFmtId="0" fontId="7" fillId="0" borderId="10" xfId="0" applyFont="1" applyBorder="1" applyAlignment="1" applyProtection="1">
      <alignment horizontal="center" vertical="center" wrapText="1"/>
      <protection hidden="1"/>
    </xf>
    <xf numFmtId="0" fontId="7" fillId="0" borderId="40" xfId="0" applyFont="1" applyBorder="1" applyAlignment="1" applyProtection="1">
      <alignment horizontal="center" vertical="center" wrapText="1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30" fillId="0" borderId="47" xfId="0" applyFont="1" applyBorder="1" applyAlignment="1" applyProtection="1">
      <alignment horizontal="center" vertical="top"/>
      <protection hidden="1"/>
    </xf>
    <xf numFmtId="0" fontId="30" fillId="0" borderId="48" xfId="0" applyFont="1" applyBorder="1" applyAlignment="1" applyProtection="1">
      <alignment horizontal="center" vertical="top"/>
      <protection hidden="1"/>
    </xf>
    <xf numFmtId="0" fontId="30" fillId="0" borderId="49" xfId="0" applyFont="1" applyBorder="1" applyAlignment="1" applyProtection="1">
      <alignment horizontal="center" vertical="top"/>
      <protection hidden="1"/>
    </xf>
    <xf numFmtId="0" fontId="30" fillId="0" borderId="2" xfId="0" applyFont="1" applyBorder="1" applyAlignment="1" applyProtection="1">
      <alignment horizontal="center" vertical="center"/>
      <protection hidden="1"/>
    </xf>
    <xf numFmtId="0" fontId="30" fillId="0" borderId="19" xfId="0" applyFont="1" applyBorder="1" applyAlignment="1" applyProtection="1">
      <alignment horizontal="center" vertical="center"/>
      <protection hidden="1"/>
    </xf>
    <xf numFmtId="0" fontId="108" fillId="15" borderId="47" xfId="0" applyFont="1" applyFill="1" applyBorder="1" applyAlignment="1" applyProtection="1">
      <alignment horizontal="center" vertical="center" wrapText="1"/>
      <protection hidden="1"/>
    </xf>
    <xf numFmtId="0" fontId="108" fillId="15" borderId="48" xfId="0" applyFont="1" applyFill="1" applyBorder="1" applyAlignment="1" applyProtection="1">
      <alignment horizontal="center" vertical="center" wrapText="1"/>
      <protection hidden="1"/>
    </xf>
    <xf numFmtId="2" fontId="108" fillId="15" borderId="48" xfId="0" applyNumberFormat="1" applyFont="1" applyFill="1" applyBorder="1" applyAlignment="1" applyProtection="1">
      <alignment horizontal="center" vertical="center" wrapText="1"/>
      <protection hidden="1"/>
    </xf>
    <xf numFmtId="0" fontId="108" fillId="15" borderId="49" xfId="0" applyFont="1" applyFill="1" applyBorder="1" applyAlignment="1" applyProtection="1">
      <alignment horizontal="center" vertical="center" wrapText="1"/>
      <protection hidden="1"/>
    </xf>
    <xf numFmtId="0" fontId="69" fillId="15" borderId="48" xfId="0" applyFont="1" applyFill="1" applyBorder="1" applyAlignment="1" applyProtection="1">
      <alignment horizontal="center" vertical="center" wrapText="1"/>
      <protection hidden="1"/>
    </xf>
    <xf numFmtId="0" fontId="69" fillId="15" borderId="49" xfId="0" applyFont="1" applyFill="1" applyBorder="1" applyAlignment="1" applyProtection="1">
      <alignment horizontal="center" vertical="center" wrapText="1"/>
      <protection hidden="1"/>
    </xf>
    <xf numFmtId="0" fontId="85" fillId="15" borderId="12" xfId="0" applyFont="1" applyFill="1" applyBorder="1" applyAlignment="1" applyProtection="1">
      <alignment horizontal="center" vertical="center" wrapText="1"/>
      <protection hidden="1"/>
    </xf>
    <xf numFmtId="0" fontId="85" fillId="15" borderId="13" xfId="0" applyFont="1" applyFill="1" applyBorder="1" applyAlignment="1" applyProtection="1">
      <alignment horizontal="center" vertical="center" wrapText="1"/>
      <protection hidden="1"/>
    </xf>
    <xf numFmtId="0" fontId="80" fillId="15" borderId="13" xfId="0" applyFont="1" applyFill="1" applyBorder="1" applyAlignment="1" applyProtection="1">
      <alignment horizontal="left" vertical="center" wrapText="1"/>
      <protection hidden="1"/>
    </xf>
    <xf numFmtId="0" fontId="80" fillId="15" borderId="14" xfId="0" applyFont="1" applyFill="1" applyBorder="1" applyAlignment="1" applyProtection="1">
      <alignment horizontal="left" vertical="center" wrapText="1"/>
      <protection hidden="1"/>
    </xf>
    <xf numFmtId="0" fontId="38" fillId="31" borderId="12" xfId="0" applyFont="1" applyFill="1" applyBorder="1" applyAlignment="1" applyProtection="1">
      <alignment horizontal="center" vertical="center" wrapText="1"/>
      <protection hidden="1"/>
    </xf>
    <xf numFmtId="0" fontId="38" fillId="31" borderId="13" xfId="0" applyFont="1" applyFill="1" applyBorder="1" applyAlignment="1" applyProtection="1">
      <alignment horizontal="center" vertical="center" wrapText="1"/>
      <protection hidden="1"/>
    </xf>
    <xf numFmtId="0" fontId="38" fillId="31" borderId="42" xfId="0" applyFont="1" applyFill="1" applyBorder="1" applyAlignment="1" applyProtection="1">
      <alignment horizontal="center" vertical="center" wrapText="1"/>
      <protection hidden="1"/>
    </xf>
    <xf numFmtId="0" fontId="38" fillId="20" borderId="23" xfId="0" applyFont="1" applyFill="1" applyBorder="1" applyAlignment="1" applyProtection="1">
      <alignment horizontal="center" vertical="center" wrapText="1"/>
      <protection hidden="1"/>
    </xf>
    <xf numFmtId="0" fontId="38" fillId="20" borderId="21" xfId="0" applyFont="1" applyFill="1" applyBorder="1" applyAlignment="1" applyProtection="1">
      <alignment horizontal="center" vertical="center" wrapText="1"/>
      <protection hidden="1"/>
    </xf>
    <xf numFmtId="0" fontId="38" fillId="20" borderId="56" xfId="0" applyFont="1" applyFill="1" applyBorder="1" applyAlignment="1" applyProtection="1">
      <alignment horizontal="center" vertical="center" wrapText="1"/>
      <protection hidden="1"/>
    </xf>
    <xf numFmtId="0" fontId="64" fillId="7" borderId="47" xfId="0" applyFont="1" applyFill="1" applyBorder="1" applyAlignment="1" applyProtection="1">
      <alignment horizontal="left" vertical="center" wrapText="1"/>
      <protection hidden="1"/>
    </xf>
    <xf numFmtId="0" fontId="64" fillId="7" borderId="48" xfId="0" applyFont="1" applyFill="1" applyBorder="1" applyAlignment="1" applyProtection="1">
      <alignment horizontal="left" vertical="center" wrapText="1"/>
      <protection hidden="1"/>
    </xf>
    <xf numFmtId="0" fontId="35" fillId="12" borderId="63" xfId="0" applyFont="1" applyFill="1" applyBorder="1" applyAlignment="1" applyProtection="1">
      <alignment horizontal="center" vertical="center"/>
      <protection hidden="1"/>
    </xf>
    <xf numFmtId="0" fontId="35" fillId="12" borderId="57" xfId="0" applyFont="1" applyFill="1" applyBorder="1" applyAlignment="1" applyProtection="1">
      <alignment horizontal="center" vertical="center"/>
      <protection hidden="1"/>
    </xf>
    <xf numFmtId="0" fontId="35" fillId="12" borderId="64" xfId="0" applyFont="1" applyFill="1" applyBorder="1" applyAlignment="1" applyProtection="1">
      <alignment horizontal="center" vertical="center"/>
      <protection hidden="1"/>
    </xf>
    <xf numFmtId="0" fontId="26" fillId="15" borderId="47" xfId="0" applyFont="1" applyFill="1" applyBorder="1" applyAlignment="1" applyProtection="1">
      <alignment horizontal="center" wrapText="1"/>
      <protection hidden="1"/>
    </xf>
    <xf numFmtId="0" fontId="26" fillId="15" borderId="48" xfId="0" applyFont="1" applyFill="1" applyBorder="1" applyAlignment="1" applyProtection="1">
      <alignment horizontal="center" wrapText="1"/>
      <protection hidden="1"/>
    </xf>
    <xf numFmtId="10" fontId="11" fillId="15" borderId="48" xfId="0" applyNumberFormat="1" applyFont="1" applyFill="1" applyBorder="1" applyAlignment="1" applyProtection="1">
      <alignment horizontal="center" wrapText="1"/>
      <protection hidden="1"/>
    </xf>
    <xf numFmtId="0" fontId="35" fillId="29" borderId="34" xfId="0" applyFont="1" applyFill="1" applyBorder="1" applyAlignment="1" applyProtection="1">
      <alignment horizontal="center" vertical="center"/>
      <protection hidden="1"/>
    </xf>
    <xf numFmtId="0" fontId="35" fillId="29" borderId="57" xfId="0" applyFont="1" applyFill="1" applyBorder="1" applyAlignment="1" applyProtection="1">
      <alignment horizontal="center" vertical="center"/>
      <protection hidden="1"/>
    </xf>
    <xf numFmtId="0" fontId="35" fillId="29" borderId="64" xfId="0" applyFont="1" applyFill="1" applyBorder="1" applyAlignment="1" applyProtection="1">
      <alignment horizontal="center" vertical="center"/>
      <protection hidden="1"/>
    </xf>
    <xf numFmtId="0" fontId="35" fillId="12" borderId="47" xfId="0" applyFont="1" applyFill="1" applyBorder="1" applyAlignment="1" applyProtection="1">
      <alignment horizontal="center" vertical="center"/>
      <protection hidden="1"/>
    </xf>
    <xf numFmtId="0" fontId="35" fillId="12" borderId="48" xfId="0" applyFont="1" applyFill="1" applyBorder="1" applyAlignment="1" applyProtection="1">
      <alignment horizontal="center" vertical="center"/>
      <protection hidden="1"/>
    </xf>
    <xf numFmtId="0" fontId="35" fillId="12" borderId="65" xfId="0" applyFont="1" applyFill="1" applyBorder="1" applyAlignment="1" applyProtection="1">
      <alignment horizontal="center" vertical="center"/>
      <protection hidden="1"/>
    </xf>
    <xf numFmtId="0" fontId="28" fillId="7" borderId="47" xfId="0" applyFont="1" applyFill="1" applyBorder="1" applyAlignment="1" applyProtection="1">
      <alignment horizontal="center"/>
      <protection hidden="1"/>
    </xf>
    <xf numFmtId="0" fontId="28" fillId="7" borderId="48" xfId="0" applyFont="1" applyFill="1" applyBorder="1" applyAlignment="1" applyProtection="1">
      <alignment horizontal="center"/>
      <protection hidden="1"/>
    </xf>
    <xf numFmtId="0" fontId="28" fillId="7" borderId="49" xfId="0" applyFont="1" applyFill="1" applyBorder="1" applyAlignment="1" applyProtection="1">
      <alignment horizontal="center"/>
      <protection hidden="1"/>
    </xf>
    <xf numFmtId="0" fontId="107" fillId="31" borderId="0" xfId="0" applyFont="1" applyFill="1" applyAlignment="1" applyProtection="1">
      <alignment horizontal="center" vertical="center" wrapText="1"/>
      <protection hidden="1"/>
    </xf>
    <xf numFmtId="0" fontId="26" fillId="4" borderId="59" xfId="0" applyFont="1" applyFill="1" applyBorder="1" applyAlignment="1" applyProtection="1">
      <alignment horizontal="center" vertical="center"/>
      <protection hidden="1"/>
    </xf>
    <xf numFmtId="0" fontId="26" fillId="4" borderId="60" xfId="0" applyFont="1" applyFill="1" applyBorder="1" applyAlignment="1" applyProtection="1">
      <alignment horizontal="center" vertical="center"/>
      <protection hidden="1"/>
    </xf>
    <xf numFmtId="0" fontId="26" fillId="4" borderId="61" xfId="0" applyFont="1" applyFill="1" applyBorder="1" applyAlignment="1" applyProtection="1">
      <alignment horizontal="center" vertical="center"/>
      <protection hidden="1"/>
    </xf>
    <xf numFmtId="0" fontId="91" fillId="4" borderId="0" xfId="0" applyFont="1" applyFill="1" applyBorder="1" applyAlignment="1" applyProtection="1">
      <alignment horizontal="center"/>
      <protection hidden="1"/>
    </xf>
    <xf numFmtId="0" fontId="37" fillId="31" borderId="0" xfId="0" applyFont="1" applyFill="1" applyBorder="1" applyAlignment="1" applyProtection="1">
      <alignment horizontal="center" vertical="center" wrapText="1"/>
      <protection hidden="1"/>
    </xf>
    <xf numFmtId="0" fontId="26" fillId="7" borderId="70" xfId="0" applyFont="1" applyFill="1" applyBorder="1" applyAlignment="1" applyProtection="1">
      <alignment horizontal="center" vertical="center"/>
      <protection hidden="1"/>
    </xf>
    <xf numFmtId="0" fontId="26" fillId="7" borderId="73" xfId="0" applyFont="1" applyFill="1" applyBorder="1" applyAlignment="1" applyProtection="1">
      <alignment horizontal="center" vertical="center"/>
      <protection hidden="1"/>
    </xf>
    <xf numFmtId="0" fontId="103" fillId="31" borderId="0" xfId="0" applyFont="1" applyFill="1" applyAlignment="1" applyProtection="1">
      <alignment horizontal="center" vertical="center" wrapText="1"/>
      <protection hidden="1"/>
    </xf>
    <xf numFmtId="0" fontId="103" fillId="31" borderId="0" xfId="0" applyFont="1" applyFill="1" applyAlignment="1" applyProtection="1">
      <alignment horizontal="center" vertical="center"/>
      <protection hidden="1"/>
    </xf>
    <xf numFmtId="0" fontId="26" fillId="17" borderId="47" xfId="0" applyFont="1" applyFill="1" applyBorder="1" applyAlignment="1" applyProtection="1">
      <alignment horizontal="center" vertical="center"/>
      <protection hidden="1"/>
    </xf>
    <xf numFmtId="0" fontId="35" fillId="17" borderId="48" xfId="0" applyFont="1" applyFill="1" applyBorder="1" applyAlignment="1" applyProtection="1">
      <alignment horizontal="center" vertical="center"/>
      <protection hidden="1"/>
    </xf>
    <xf numFmtId="0" fontId="35" fillId="17" borderId="49" xfId="0" applyFont="1" applyFill="1" applyBorder="1" applyAlignment="1" applyProtection="1">
      <alignment horizontal="center" vertical="center"/>
      <protection hidden="1"/>
    </xf>
    <xf numFmtId="0" fontId="35" fillId="17" borderId="47" xfId="0" applyFont="1" applyFill="1" applyBorder="1" applyAlignment="1" applyProtection="1">
      <alignment horizontal="center" vertical="center"/>
      <protection hidden="1"/>
    </xf>
    <xf numFmtId="0" fontId="59" fillId="4" borderId="25" xfId="0" applyFont="1" applyFill="1" applyBorder="1" applyAlignment="1" applyProtection="1">
      <alignment horizontal="center" vertical="center" textRotation="90"/>
      <protection hidden="1"/>
    </xf>
    <xf numFmtId="0" fontId="60" fillId="4" borderId="25" xfId="0" applyFont="1" applyFill="1" applyBorder="1" applyAlignment="1" applyProtection="1">
      <alignment horizontal="center" vertical="center" textRotation="90"/>
      <protection hidden="1"/>
    </xf>
    <xf numFmtId="0" fontId="30" fillId="11" borderId="42" xfId="0" applyFont="1" applyFill="1" applyBorder="1" applyAlignment="1" applyProtection="1">
      <alignment horizontal="center" vertical="center"/>
      <protection hidden="1"/>
    </xf>
    <xf numFmtId="0" fontId="30" fillId="11" borderId="62" xfId="0" applyFont="1" applyFill="1" applyBorder="1" applyAlignment="1" applyProtection="1">
      <alignment horizontal="center" vertical="center"/>
      <protection hidden="1"/>
    </xf>
    <xf numFmtId="0" fontId="30" fillId="11" borderId="41" xfId="0" applyFont="1" applyFill="1" applyBorder="1" applyAlignment="1" applyProtection="1">
      <alignment horizontal="center" vertical="center"/>
      <protection hidden="1"/>
    </xf>
    <xf numFmtId="0" fontId="28" fillId="4" borderId="0" xfId="0" applyFont="1" applyFill="1" applyBorder="1" applyAlignment="1" applyProtection="1">
      <alignment horizontal="center" vertical="center"/>
      <protection hidden="1"/>
    </xf>
    <xf numFmtId="0" fontId="29" fillId="11" borderId="74" xfId="0" applyFont="1" applyFill="1" applyBorder="1" applyAlignment="1" applyProtection="1">
      <alignment horizontal="center" vertical="center"/>
      <protection hidden="1"/>
    </xf>
    <xf numFmtId="0" fontId="29" fillId="11" borderId="75" xfId="0" applyFont="1" applyFill="1" applyBorder="1" applyAlignment="1" applyProtection="1">
      <alignment horizontal="center" vertical="center"/>
      <protection hidden="1"/>
    </xf>
    <xf numFmtId="0" fontId="7" fillId="11" borderId="74" xfId="0" applyFont="1" applyFill="1" applyBorder="1" applyAlignment="1" applyProtection="1">
      <alignment horizontal="center"/>
      <protection hidden="1"/>
    </xf>
    <xf numFmtId="0" fontId="7" fillId="11" borderId="75" xfId="0" applyFont="1" applyFill="1" applyBorder="1" applyAlignment="1" applyProtection="1">
      <alignment horizontal="center"/>
      <protection hidden="1"/>
    </xf>
    <xf numFmtId="0" fontId="35" fillId="7" borderId="6" xfId="0" applyFont="1" applyFill="1" applyBorder="1" applyAlignment="1" applyProtection="1">
      <alignment horizontal="right" vertical="center" wrapText="1"/>
      <protection hidden="1"/>
    </xf>
    <xf numFmtId="0" fontId="35" fillId="7" borderId="7" xfId="0" applyFont="1" applyFill="1" applyBorder="1" applyAlignment="1" applyProtection="1">
      <alignment horizontal="right" vertical="center" wrapText="1"/>
      <protection hidden="1"/>
    </xf>
    <xf numFmtId="0" fontId="35" fillId="7" borderId="35" xfId="0" applyFont="1" applyFill="1" applyBorder="1" applyAlignment="1" applyProtection="1">
      <alignment horizontal="center" vertical="center" wrapText="1"/>
      <protection hidden="1"/>
    </xf>
    <xf numFmtId="0" fontId="35" fillId="7" borderId="7" xfId="0" applyFont="1" applyFill="1" applyBorder="1" applyAlignment="1" applyProtection="1">
      <alignment horizontal="center" vertical="center" wrapText="1"/>
      <protection hidden="1"/>
    </xf>
    <xf numFmtId="0" fontId="35" fillId="7" borderId="47" xfId="0" applyFont="1" applyFill="1" applyBorder="1" applyAlignment="1" applyProtection="1">
      <alignment horizontal="center" vertical="center" wrapText="1"/>
      <protection hidden="1"/>
    </xf>
    <xf numFmtId="0" fontId="35" fillId="7" borderId="48" xfId="0" applyFont="1" applyFill="1" applyBorder="1" applyAlignment="1" applyProtection="1">
      <alignment horizontal="center" vertical="center" wrapText="1"/>
      <protection hidden="1"/>
    </xf>
    <xf numFmtId="0" fontId="28" fillId="5" borderId="7" xfId="0" applyFont="1" applyFill="1" applyBorder="1" applyAlignment="1" applyProtection="1">
      <alignment horizontal="center" vertical="center" wrapText="1"/>
      <protection hidden="1"/>
    </xf>
    <xf numFmtId="0" fontId="28" fillId="5" borderId="22" xfId="0" applyFont="1" applyFill="1" applyBorder="1" applyAlignment="1" applyProtection="1">
      <alignment horizontal="center" vertical="center" wrapText="1"/>
      <protection hidden="1"/>
    </xf>
    <xf numFmtId="0" fontId="28" fillId="7" borderId="2" xfId="0" applyFont="1" applyFill="1" applyBorder="1" applyAlignment="1" applyProtection="1">
      <alignment horizontal="center" vertical="center" wrapText="1"/>
      <protection hidden="1"/>
    </xf>
    <xf numFmtId="0" fontId="62" fillId="24" borderId="47" xfId="0" applyFont="1" applyFill="1" applyBorder="1" applyAlignment="1" applyProtection="1">
      <alignment horizontal="center" vertical="center" wrapText="1"/>
      <protection hidden="1"/>
    </xf>
    <xf numFmtId="0" fontId="62" fillId="24" borderId="48" xfId="0" applyFont="1" applyFill="1" applyBorder="1" applyAlignment="1" applyProtection="1">
      <alignment horizontal="center" vertical="center" wrapText="1"/>
      <protection hidden="1"/>
    </xf>
    <xf numFmtId="0" fontId="62" fillId="24" borderId="49" xfId="0" applyFont="1" applyFill="1" applyBorder="1" applyAlignment="1" applyProtection="1">
      <alignment horizontal="center" vertical="center" wrapText="1"/>
      <protection hidden="1"/>
    </xf>
    <xf numFmtId="0" fontId="28" fillId="5" borderId="2" xfId="0" applyFont="1" applyFill="1" applyBorder="1" applyAlignment="1" applyProtection="1">
      <alignment horizontal="center" vertical="center" wrapText="1"/>
      <protection hidden="1"/>
    </xf>
    <xf numFmtId="0" fontId="31" fillId="31" borderId="21" xfId="0" applyFont="1" applyFill="1" applyBorder="1" applyAlignment="1" applyProtection="1">
      <alignment horizontal="center" vertical="center" wrapText="1"/>
      <protection hidden="1"/>
    </xf>
    <xf numFmtId="0" fontId="31" fillId="31" borderId="21" xfId="0" applyFont="1" applyFill="1" applyBorder="1" applyAlignment="1" applyProtection="1">
      <alignment horizontal="left" vertical="center" wrapText="1"/>
      <protection hidden="1"/>
    </xf>
    <xf numFmtId="0" fontId="31" fillId="31" borderId="56" xfId="0" applyFont="1" applyFill="1" applyBorder="1" applyAlignment="1" applyProtection="1">
      <alignment horizontal="left" vertical="center" wrapText="1"/>
      <protection hidden="1"/>
    </xf>
    <xf numFmtId="0" fontId="73" fillId="7" borderId="27" xfId="0" applyFont="1" applyFill="1" applyBorder="1" applyAlignment="1" applyProtection="1">
      <alignment horizontal="center" vertical="center"/>
      <protection hidden="1"/>
    </xf>
    <xf numFmtId="0" fontId="26" fillId="7" borderId="2" xfId="0" applyFont="1" applyFill="1" applyBorder="1" applyAlignment="1" applyProtection="1">
      <alignment horizontal="center" vertical="center" textRotation="90"/>
      <protection hidden="1"/>
    </xf>
    <xf numFmtId="0" fontId="31" fillId="31" borderId="0" xfId="0" applyFont="1" applyFill="1" applyBorder="1" applyAlignment="1" applyProtection="1">
      <alignment horizontal="center" vertical="center" wrapText="1"/>
      <protection hidden="1"/>
    </xf>
    <xf numFmtId="0" fontId="31" fillId="31" borderId="25" xfId="0" applyFont="1" applyFill="1" applyBorder="1" applyAlignment="1" applyProtection="1">
      <alignment horizontal="center" vertical="center" wrapText="1"/>
      <protection hidden="1"/>
    </xf>
    <xf numFmtId="0" fontId="43" fillId="23" borderId="2" xfId="0" applyFont="1" applyFill="1" applyBorder="1" applyAlignment="1" applyProtection="1">
      <alignment horizontal="center" vertical="center" textRotation="90" wrapText="1"/>
      <protection hidden="1"/>
    </xf>
    <xf numFmtId="2" fontId="43" fillId="23" borderId="2" xfId="0" applyNumberFormat="1" applyFont="1" applyFill="1" applyBorder="1" applyAlignment="1" applyProtection="1">
      <alignment horizontal="center" vertical="center" textRotation="90" wrapText="1"/>
      <protection hidden="1"/>
    </xf>
    <xf numFmtId="0" fontId="76" fillId="7" borderId="47" xfId="0" applyFont="1" applyFill="1" applyBorder="1" applyAlignment="1" applyProtection="1">
      <alignment horizontal="center" vertical="center" wrapText="1"/>
      <protection hidden="1"/>
    </xf>
    <xf numFmtId="0" fontId="76" fillId="7" borderId="48" xfId="0" applyFont="1" applyFill="1" applyBorder="1" applyAlignment="1" applyProtection="1">
      <alignment horizontal="center" vertical="center" wrapText="1"/>
      <protection hidden="1"/>
    </xf>
    <xf numFmtId="0" fontId="76" fillId="7" borderId="49" xfId="0" applyFont="1" applyFill="1" applyBorder="1" applyAlignment="1" applyProtection="1">
      <alignment horizontal="center" vertical="center" wrapText="1"/>
      <protection hidden="1"/>
    </xf>
    <xf numFmtId="0" fontId="76" fillId="7" borderId="47" xfId="0" applyFont="1" applyFill="1" applyBorder="1" applyAlignment="1" applyProtection="1">
      <alignment horizontal="left" vertical="center" wrapText="1"/>
      <protection hidden="1"/>
    </xf>
    <xf numFmtId="0" fontId="76" fillId="7" borderId="48" xfId="0" applyFont="1" applyFill="1" applyBorder="1" applyAlignment="1" applyProtection="1">
      <alignment horizontal="left" vertical="center" wrapText="1"/>
      <protection hidden="1"/>
    </xf>
    <xf numFmtId="0" fontId="76" fillId="7" borderId="49" xfId="0" applyFont="1" applyFill="1" applyBorder="1" applyAlignment="1" applyProtection="1">
      <alignment horizontal="left" vertical="center" wrapText="1"/>
      <protection hidden="1"/>
    </xf>
    <xf numFmtId="0" fontId="26" fillId="7" borderId="29" xfId="0" applyFont="1" applyFill="1" applyBorder="1" applyAlignment="1" applyProtection="1">
      <alignment horizontal="center" vertical="center" textRotation="90"/>
      <protection hidden="1"/>
    </xf>
    <xf numFmtId="0" fontId="26" fillId="7" borderId="11" xfId="0" applyFont="1" applyFill="1" applyBorder="1" applyAlignment="1" applyProtection="1">
      <alignment horizontal="center" vertical="center" textRotation="90"/>
      <protection hidden="1"/>
    </xf>
    <xf numFmtId="0" fontId="26" fillId="7" borderId="26" xfId="0" applyFont="1" applyFill="1" applyBorder="1" applyAlignment="1" applyProtection="1">
      <alignment horizontal="center" vertical="center" textRotation="90"/>
      <protection hidden="1"/>
    </xf>
    <xf numFmtId="0" fontId="26" fillId="7" borderId="27" xfId="0" applyFont="1" applyFill="1" applyBorder="1" applyAlignment="1" applyProtection="1">
      <alignment horizontal="center" vertical="center" textRotation="90"/>
      <protection hidden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9.jpe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99060</xdr:colOff>
      <xdr:row>7</xdr:row>
      <xdr:rowOff>38100</xdr:rowOff>
    </xdr:from>
    <xdr:to>
      <xdr:col>12</xdr:col>
      <xdr:colOff>0</xdr:colOff>
      <xdr:row>21</xdr:row>
      <xdr:rowOff>167640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5060" y="1318260"/>
          <a:ext cx="3086100" cy="2689860"/>
        </a:xfrm>
        <a:prstGeom prst="rect">
          <a:avLst/>
        </a:prstGeom>
      </xdr:spPr>
    </xdr:pic>
    <xdr:clientData/>
  </xdr:twoCellAnchor>
  <xdr:twoCellAnchor>
    <xdr:from>
      <xdr:col>10</xdr:col>
      <xdr:colOff>1005840</xdr:colOff>
      <xdr:row>4</xdr:row>
      <xdr:rowOff>144780</xdr:rowOff>
    </xdr:from>
    <xdr:to>
      <xdr:col>11</xdr:col>
      <xdr:colOff>1219200</xdr:colOff>
      <xdr:row>6</xdr:row>
      <xdr:rowOff>60960</xdr:rowOff>
    </xdr:to>
    <xdr:sp macro="[0]!ThisWorkbook.ProtectAll" textlink="">
      <xdr:nvSpPr>
        <xdr:cNvPr id="3" name="Rounded Rectangle 2"/>
        <xdr:cNvSpPr/>
      </xdr:nvSpPr>
      <xdr:spPr>
        <a:xfrm>
          <a:off x="7101840" y="876300"/>
          <a:ext cx="128778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200" b="1"/>
            <a:t>PROTECT</a:t>
          </a:r>
          <a:r>
            <a:rPr lang="en-IN" sz="1200" b="1" baseline="0"/>
            <a:t> ALL</a:t>
          </a:r>
          <a:endParaRPr lang="en-IN" sz="1200" b="1"/>
        </a:p>
      </xdr:txBody>
    </xdr:sp>
    <xdr:clientData/>
  </xdr:twoCellAnchor>
  <xdr:twoCellAnchor>
    <xdr:from>
      <xdr:col>10</xdr:col>
      <xdr:colOff>998220</xdr:colOff>
      <xdr:row>2</xdr:row>
      <xdr:rowOff>129540</xdr:rowOff>
    </xdr:from>
    <xdr:to>
      <xdr:col>11</xdr:col>
      <xdr:colOff>1211580</xdr:colOff>
      <xdr:row>4</xdr:row>
      <xdr:rowOff>45720</xdr:rowOff>
    </xdr:to>
    <xdr:sp macro="[0]!ThisWorkbook.UnprotectAll_AskPassword" textlink="">
      <xdr:nvSpPr>
        <xdr:cNvPr id="4" name="Rounded Rectangle 3"/>
        <xdr:cNvSpPr/>
      </xdr:nvSpPr>
      <xdr:spPr>
        <a:xfrm>
          <a:off x="7094220" y="495300"/>
          <a:ext cx="128778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200" b="1"/>
            <a:t>UNPROTECT</a:t>
          </a:r>
          <a:r>
            <a:rPr lang="en-IN" sz="1200" b="1" baseline="0"/>
            <a:t> ALL</a:t>
          </a:r>
          <a:endParaRPr lang="en-IN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108079</xdr:colOff>
      <xdr:row>0</xdr:row>
      <xdr:rowOff>233267</xdr:rowOff>
    </xdr:from>
    <xdr:to>
      <xdr:col>1</xdr:col>
      <xdr:colOff>1267408</xdr:colOff>
      <xdr:row>3</xdr:row>
      <xdr:rowOff>83825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9079" y="233267"/>
          <a:ext cx="1159329" cy="10246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280502</xdr:colOff>
      <xdr:row>1</xdr:row>
      <xdr:rowOff>0</xdr:rowOff>
    </xdr:from>
    <xdr:to>
      <xdr:col>2</xdr:col>
      <xdr:colOff>551673</xdr:colOff>
      <xdr:row>3</xdr:row>
      <xdr:rowOff>323071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0502" y="242985"/>
          <a:ext cx="1089932" cy="9816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48732</xdr:colOff>
      <xdr:row>1</xdr:row>
      <xdr:rowOff>268865</xdr:rowOff>
    </xdr:from>
    <xdr:to>
      <xdr:col>2</xdr:col>
      <xdr:colOff>399803</xdr:colOff>
      <xdr:row>4</xdr:row>
      <xdr:rowOff>248945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732" y="367477"/>
          <a:ext cx="960671" cy="8393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238122</xdr:rowOff>
    </xdr:from>
    <xdr:to>
      <xdr:col>1</xdr:col>
      <xdr:colOff>71247</xdr:colOff>
      <xdr:row>1</xdr:row>
      <xdr:rowOff>30111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1032587" cy="9153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71247</xdr:colOff>
      <xdr:row>2</xdr:row>
      <xdr:rowOff>115836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4572" cy="58689"/>
        </a:xfrm>
        <a:prstGeom prst="rect">
          <a:avLst/>
        </a:prstGeom>
      </xdr:spPr>
    </xdr:pic>
    <xdr:clientData/>
  </xdr:twoCellAnchor>
  <xdr:twoCellAnchor editAs="oneCell">
    <xdr:from>
      <xdr:col>0</xdr:col>
      <xdr:colOff>306860</xdr:colOff>
      <xdr:row>0</xdr:row>
      <xdr:rowOff>266699</xdr:rowOff>
    </xdr:from>
    <xdr:to>
      <xdr:col>2</xdr:col>
      <xdr:colOff>647701</xdr:colOff>
      <xdr:row>4</xdr:row>
      <xdr:rowOff>171449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6860" y="266699"/>
          <a:ext cx="1112366" cy="10382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112058</xdr:colOff>
      <xdr:row>1</xdr:row>
      <xdr:rowOff>300317</xdr:rowOff>
    </xdr:from>
    <xdr:to>
      <xdr:col>2</xdr:col>
      <xdr:colOff>629769</xdr:colOff>
      <xdr:row>4</xdr:row>
      <xdr:rowOff>280146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2058" y="542364"/>
          <a:ext cx="1234887" cy="110041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238122</xdr:rowOff>
    </xdr:from>
    <xdr:to>
      <xdr:col>1</xdr:col>
      <xdr:colOff>84963</xdr:colOff>
      <xdr:row>0</xdr:row>
      <xdr:rowOff>245436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1032587" cy="9153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84963</xdr:colOff>
      <xdr:row>1</xdr:row>
      <xdr:rowOff>244807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9575" y="238122"/>
          <a:ext cx="0" cy="2390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89535</xdr:colOff>
      <xdr:row>0</xdr:row>
      <xdr:rowOff>245310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9575" y="238122"/>
          <a:ext cx="4572" cy="586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89535</xdr:colOff>
      <xdr:row>1</xdr:row>
      <xdr:rowOff>245376</xdr:rowOff>
    </xdr:to>
    <xdr:pic>
      <xdr:nvPicPr>
        <xdr:cNvPr id="5" name="Picture 4" descr="model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9575" y="504822"/>
          <a:ext cx="4572" cy="134889"/>
        </a:xfrm>
        <a:prstGeom prst="rect">
          <a:avLst/>
        </a:prstGeom>
      </xdr:spPr>
    </xdr:pic>
    <xdr:clientData/>
  </xdr:twoCellAnchor>
  <xdr:twoCellAnchor editAs="oneCell">
    <xdr:from>
      <xdr:col>1</xdr:col>
      <xdr:colOff>25344</xdr:colOff>
      <xdr:row>0</xdr:row>
      <xdr:rowOff>196849</xdr:rowOff>
    </xdr:from>
    <xdr:to>
      <xdr:col>2</xdr:col>
      <xdr:colOff>435912</xdr:colOff>
      <xdr:row>4</xdr:row>
      <xdr:rowOff>237066</xdr:rowOff>
    </xdr:to>
    <xdr:pic>
      <xdr:nvPicPr>
        <xdr:cNvPr id="6" name="Picture 5" descr="modellogo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72477" y="196849"/>
          <a:ext cx="1485835" cy="119168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89535</xdr:colOff>
      <xdr:row>0</xdr:row>
      <xdr:rowOff>245310</xdr:rowOff>
    </xdr:to>
    <xdr:pic>
      <xdr:nvPicPr>
        <xdr:cNvPr id="7" name="Picture 6" descr="model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9575" y="238122"/>
          <a:ext cx="4572" cy="586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89535</xdr:colOff>
      <xdr:row>1</xdr:row>
      <xdr:rowOff>244995</xdr:rowOff>
    </xdr:to>
    <xdr:pic>
      <xdr:nvPicPr>
        <xdr:cNvPr id="8" name="Picture 7" descr="model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09575" y="504822"/>
          <a:ext cx="4572" cy="13488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210521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1032587" cy="9153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263861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0" cy="2390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210521</xdr:rowOff>
    </xdr:to>
    <xdr:pic>
      <xdr:nvPicPr>
        <xdr:cNvPr id="5" name="Picture 4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0" cy="2390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111461</xdr:rowOff>
    </xdr:to>
    <xdr:pic>
      <xdr:nvPicPr>
        <xdr:cNvPr id="6" name="Picture 5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0" cy="3152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71247</xdr:colOff>
      <xdr:row>1</xdr:row>
      <xdr:rowOff>30111</xdr:rowOff>
    </xdr:to>
    <xdr:pic>
      <xdr:nvPicPr>
        <xdr:cNvPr id="7" name="Picture 6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4572" cy="586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71247</xdr:colOff>
      <xdr:row>2</xdr:row>
      <xdr:rowOff>54876</xdr:rowOff>
    </xdr:to>
    <xdr:pic>
      <xdr:nvPicPr>
        <xdr:cNvPr id="8" name="Picture 7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4572" cy="106314"/>
        </a:xfrm>
        <a:prstGeom prst="rect">
          <a:avLst/>
        </a:prstGeom>
      </xdr:spPr>
    </xdr:pic>
    <xdr:clientData/>
  </xdr:twoCellAnchor>
  <xdr:twoCellAnchor editAs="oneCell">
    <xdr:from>
      <xdr:col>1</xdr:col>
      <xdr:colOff>49686</xdr:colOff>
      <xdr:row>0</xdr:row>
      <xdr:rowOff>219074</xdr:rowOff>
    </xdr:from>
    <xdr:to>
      <xdr:col>2</xdr:col>
      <xdr:colOff>466725</xdr:colOff>
      <xdr:row>3</xdr:row>
      <xdr:rowOff>144779</xdr:rowOff>
    </xdr:to>
    <xdr:pic>
      <xdr:nvPicPr>
        <xdr:cNvPr id="9" name="Picture 8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2586" y="219074"/>
          <a:ext cx="845664" cy="771525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210521</xdr:rowOff>
    </xdr:to>
    <xdr:pic>
      <xdr:nvPicPr>
        <xdr:cNvPr id="10" name="Picture 9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0" cy="2390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111461</xdr:rowOff>
    </xdr:to>
    <xdr:pic>
      <xdr:nvPicPr>
        <xdr:cNvPr id="11" name="Picture 10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0" cy="3152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71247</xdr:colOff>
      <xdr:row>1</xdr:row>
      <xdr:rowOff>30111</xdr:rowOff>
    </xdr:to>
    <xdr:pic>
      <xdr:nvPicPr>
        <xdr:cNvPr id="12" name="Picture 1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4572" cy="586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71247</xdr:colOff>
      <xdr:row>2</xdr:row>
      <xdr:rowOff>54876</xdr:rowOff>
    </xdr:to>
    <xdr:pic>
      <xdr:nvPicPr>
        <xdr:cNvPr id="13" name="Picture 1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4572" cy="10631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71247</xdr:colOff>
      <xdr:row>1</xdr:row>
      <xdr:rowOff>30111</xdr:rowOff>
    </xdr:to>
    <xdr:pic>
      <xdr:nvPicPr>
        <xdr:cNvPr id="15" name="Picture 14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4572" cy="586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71247</xdr:colOff>
      <xdr:row>2</xdr:row>
      <xdr:rowOff>54876</xdr:rowOff>
    </xdr:to>
    <xdr:pic>
      <xdr:nvPicPr>
        <xdr:cNvPr id="16" name="Picture 15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4572" cy="13488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210521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0" cy="2390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199937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0" cy="2390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199937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0" cy="2390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2</xdr:row>
      <xdr:rowOff>238122</xdr:rowOff>
    </xdr:from>
    <xdr:to>
      <xdr:col>1</xdr:col>
      <xdr:colOff>66675</xdr:colOff>
      <xdr:row>3</xdr:row>
      <xdr:rowOff>199938</xdr:rowOff>
    </xdr:to>
    <xdr:pic>
      <xdr:nvPicPr>
        <xdr:cNvPr id="5" name="Picture 4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0" cy="315299"/>
        </a:xfrm>
        <a:prstGeom prst="rect">
          <a:avLst/>
        </a:prstGeom>
      </xdr:spPr>
    </xdr:pic>
    <xdr:clientData/>
  </xdr:twoCellAnchor>
  <xdr:twoCellAnchor editAs="oneCell">
    <xdr:from>
      <xdr:col>0</xdr:col>
      <xdr:colOff>342899</xdr:colOff>
      <xdr:row>1</xdr:row>
      <xdr:rowOff>0</xdr:rowOff>
    </xdr:from>
    <xdr:to>
      <xdr:col>2</xdr:col>
      <xdr:colOff>552449</xdr:colOff>
      <xdr:row>3</xdr:row>
      <xdr:rowOff>169333</xdr:rowOff>
    </xdr:to>
    <xdr:pic>
      <xdr:nvPicPr>
        <xdr:cNvPr id="6" name="Picture 5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2899" y="266700"/>
          <a:ext cx="981075" cy="8763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222187</xdr:colOff>
      <xdr:row>0</xdr:row>
      <xdr:rowOff>194389</xdr:rowOff>
    </xdr:from>
    <xdr:to>
      <xdr:col>2</xdr:col>
      <xdr:colOff>758114</xdr:colOff>
      <xdr:row>4</xdr:row>
      <xdr:rowOff>91361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187" y="194389"/>
          <a:ext cx="1235723" cy="109828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63830</xdr:colOff>
      <xdr:row>0</xdr:row>
      <xdr:rowOff>241041</xdr:rowOff>
    </xdr:from>
    <xdr:to>
      <xdr:col>2</xdr:col>
      <xdr:colOff>728955</xdr:colOff>
      <xdr:row>4</xdr:row>
      <xdr:rowOff>201892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2646" y="241041"/>
          <a:ext cx="1287166" cy="12360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2</xdr:row>
      <xdr:rowOff>76200</xdr:rowOff>
    </xdr:from>
    <xdr:to>
      <xdr:col>20</xdr:col>
      <xdr:colOff>114300</xdr:colOff>
      <xdr:row>2</xdr:row>
      <xdr:rowOff>78686</xdr:rowOff>
    </xdr:to>
    <xdr:pic>
      <xdr:nvPicPr>
        <xdr:cNvPr id="2" name="Picture 1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34250" y="323850"/>
          <a:ext cx="1276350" cy="248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</xdr:col>
      <xdr:colOff>104775</xdr:colOff>
      <xdr:row>2</xdr:row>
      <xdr:rowOff>66675</xdr:rowOff>
    </xdr:from>
    <xdr:to>
      <xdr:col>5</xdr:col>
      <xdr:colOff>398748</xdr:colOff>
      <xdr:row>2</xdr:row>
      <xdr:rowOff>68750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76225" y="314325"/>
          <a:ext cx="1189323" cy="20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15</xdr:col>
      <xdr:colOff>0</xdr:colOff>
      <xdr:row>2</xdr:row>
      <xdr:rowOff>95250</xdr:rowOff>
    </xdr:from>
    <xdr:to>
      <xdr:col>20</xdr:col>
      <xdr:colOff>117306</xdr:colOff>
      <xdr:row>2</xdr:row>
      <xdr:rowOff>97113</xdr:rowOff>
    </xdr:to>
    <xdr:pic>
      <xdr:nvPicPr>
        <xdr:cNvPr id="4" name="Picture 3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34250" y="342900"/>
          <a:ext cx="1688931" cy="338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13</xdr:col>
      <xdr:colOff>609600</xdr:colOff>
      <xdr:row>2</xdr:row>
      <xdr:rowOff>123823</xdr:rowOff>
    </xdr:from>
    <xdr:to>
      <xdr:col>14</xdr:col>
      <xdr:colOff>770098</xdr:colOff>
      <xdr:row>5</xdr:row>
      <xdr:rowOff>38099</xdr:rowOff>
    </xdr:to>
    <xdr:pic>
      <xdr:nvPicPr>
        <xdr:cNvPr id="5" name="Picture 4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048250" y="371473"/>
          <a:ext cx="893923" cy="819151"/>
        </a:xfrm>
        <a:prstGeom prst="rect">
          <a:avLst/>
        </a:prstGeom>
      </xdr:spPr>
    </xdr:pic>
    <xdr:clientData/>
  </xdr:twoCellAnchor>
  <xdr:twoCellAnchor editAs="oneCell">
    <xdr:from>
      <xdr:col>2</xdr:col>
      <xdr:colOff>47626</xdr:colOff>
      <xdr:row>2</xdr:row>
      <xdr:rowOff>123824</xdr:rowOff>
    </xdr:from>
    <xdr:to>
      <xdr:col>5</xdr:col>
      <xdr:colOff>219075</xdr:colOff>
      <xdr:row>6</xdr:row>
      <xdr:rowOff>66675</xdr:rowOff>
    </xdr:to>
    <xdr:pic>
      <xdr:nvPicPr>
        <xdr:cNvPr id="6" name="Picture 5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23851" y="371474"/>
          <a:ext cx="962024" cy="1085851"/>
        </a:xfrm>
        <a:prstGeom prst="rect">
          <a:avLst/>
        </a:prstGeom>
      </xdr:spPr>
    </xdr:pic>
    <xdr:clientData/>
  </xdr:twoCellAnchor>
  <xdr:twoCellAnchor editAs="oneCell">
    <xdr:from>
      <xdr:col>19</xdr:col>
      <xdr:colOff>104775</xdr:colOff>
      <xdr:row>2</xdr:row>
      <xdr:rowOff>66675</xdr:rowOff>
    </xdr:from>
    <xdr:to>
      <xdr:col>26</xdr:col>
      <xdr:colOff>8223</xdr:colOff>
      <xdr:row>2</xdr:row>
      <xdr:rowOff>68750</xdr:rowOff>
    </xdr:to>
    <xdr:pic>
      <xdr:nvPicPr>
        <xdr:cNvPr id="10" name="Picture 9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76225" y="314325"/>
          <a:ext cx="1189323" cy="20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20</xdr:col>
      <xdr:colOff>28575</xdr:colOff>
      <xdr:row>2</xdr:row>
      <xdr:rowOff>114300</xdr:rowOff>
    </xdr:from>
    <xdr:to>
      <xdr:col>23</xdr:col>
      <xdr:colOff>160889</xdr:colOff>
      <xdr:row>5</xdr:row>
      <xdr:rowOff>200025</xdr:rowOff>
    </xdr:to>
    <xdr:pic>
      <xdr:nvPicPr>
        <xdr:cNvPr id="13" name="Picture 1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734175" y="361950"/>
          <a:ext cx="922889" cy="990600"/>
        </a:xfrm>
        <a:prstGeom prst="rect">
          <a:avLst/>
        </a:prstGeom>
      </xdr:spPr>
    </xdr:pic>
    <xdr:clientData/>
  </xdr:twoCellAnchor>
  <xdr:twoCellAnchor editAs="oneCell">
    <xdr:from>
      <xdr:col>31</xdr:col>
      <xdr:colOff>571500</xdr:colOff>
      <xdr:row>2</xdr:row>
      <xdr:rowOff>104774</xdr:rowOff>
    </xdr:from>
    <xdr:to>
      <xdr:col>32</xdr:col>
      <xdr:colOff>696946</xdr:colOff>
      <xdr:row>5</xdr:row>
      <xdr:rowOff>9524</xdr:rowOff>
    </xdr:to>
    <xdr:pic>
      <xdr:nvPicPr>
        <xdr:cNvPr id="14" name="Picture 13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439525" y="352424"/>
          <a:ext cx="896971" cy="809625"/>
        </a:xfrm>
        <a:prstGeom prst="rect">
          <a:avLst/>
        </a:prstGeom>
      </xdr:spPr>
    </xdr:pic>
    <xdr:clientData/>
  </xdr:twoCellAnchor>
  <xdr:twoCellAnchor editAs="oneCell">
    <xdr:from>
      <xdr:col>31</xdr:col>
      <xdr:colOff>269125</xdr:colOff>
      <xdr:row>35</xdr:row>
      <xdr:rowOff>104775</xdr:rowOff>
    </xdr:from>
    <xdr:to>
      <xdr:col>32</xdr:col>
      <xdr:colOff>613029</xdr:colOff>
      <xdr:row>35</xdr:row>
      <xdr:rowOff>104775</xdr:rowOff>
    </xdr:to>
    <xdr:pic>
      <xdr:nvPicPr>
        <xdr:cNvPr id="15" name="Picture 14" descr="sign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156200" y="7505700"/>
          <a:ext cx="1098665" cy="4953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2</xdr:row>
      <xdr:rowOff>76200</xdr:rowOff>
    </xdr:from>
    <xdr:to>
      <xdr:col>16384</xdr:col>
      <xdr:colOff>133350</xdr:colOff>
      <xdr:row>2</xdr:row>
      <xdr:rowOff>78686</xdr:rowOff>
    </xdr:to>
    <xdr:pic>
      <xdr:nvPicPr>
        <xdr:cNvPr id="2" name="Picture 1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19750" y="276225"/>
          <a:ext cx="809625" cy="7239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</xdr:col>
      <xdr:colOff>104775</xdr:colOff>
      <xdr:row>2</xdr:row>
      <xdr:rowOff>66675</xdr:rowOff>
    </xdr:from>
    <xdr:to>
      <xdr:col>6</xdr:col>
      <xdr:colOff>141573</xdr:colOff>
      <xdr:row>2</xdr:row>
      <xdr:rowOff>68750</xdr:rowOff>
    </xdr:to>
    <xdr:pic>
      <xdr:nvPicPr>
        <xdr:cNvPr id="5" name="Picture 4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4775" y="266700"/>
          <a:ext cx="939557" cy="86677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23</xdr:col>
      <xdr:colOff>238125</xdr:colOff>
      <xdr:row>2</xdr:row>
      <xdr:rowOff>95250</xdr:rowOff>
    </xdr:from>
    <xdr:to>
      <xdr:col>16384</xdr:col>
      <xdr:colOff>545931</xdr:colOff>
      <xdr:row>2</xdr:row>
      <xdr:rowOff>98637</xdr:rowOff>
    </xdr:to>
    <xdr:pic>
      <xdr:nvPicPr>
        <xdr:cNvPr id="6" name="Picture 5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57850" y="295275"/>
          <a:ext cx="819150" cy="8382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22</xdr:col>
      <xdr:colOff>38100</xdr:colOff>
      <xdr:row>2</xdr:row>
      <xdr:rowOff>57151</xdr:rowOff>
    </xdr:from>
    <xdr:to>
      <xdr:col>26</xdr:col>
      <xdr:colOff>157691</xdr:colOff>
      <xdr:row>7</xdr:row>
      <xdr:rowOff>134833</xdr:rowOff>
    </xdr:to>
    <xdr:pic>
      <xdr:nvPicPr>
        <xdr:cNvPr id="7" name="Picture 6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781800" y="304801"/>
          <a:ext cx="1262591" cy="1306407"/>
        </a:xfrm>
        <a:prstGeom prst="rect">
          <a:avLst/>
        </a:prstGeom>
      </xdr:spPr>
    </xdr:pic>
    <xdr:clientData/>
  </xdr:twoCellAnchor>
  <xdr:twoCellAnchor editAs="oneCell">
    <xdr:from>
      <xdr:col>2</xdr:col>
      <xdr:colOff>38101</xdr:colOff>
      <xdr:row>2</xdr:row>
      <xdr:rowOff>19049</xdr:rowOff>
    </xdr:from>
    <xdr:to>
      <xdr:col>7</xdr:col>
      <xdr:colOff>75778</xdr:colOff>
      <xdr:row>7</xdr:row>
      <xdr:rowOff>141807</xdr:rowOff>
    </xdr:to>
    <xdr:pic>
      <xdr:nvPicPr>
        <xdr:cNvPr id="9" name="Picture 8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14326" y="266699"/>
          <a:ext cx="1342602" cy="135148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86137</xdr:colOff>
      <xdr:row>0</xdr:row>
      <xdr:rowOff>277188</xdr:rowOff>
    </xdr:from>
    <xdr:to>
      <xdr:col>3</xdr:col>
      <xdr:colOff>200025</xdr:colOff>
      <xdr:row>3</xdr:row>
      <xdr:rowOff>228600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762" y="277188"/>
          <a:ext cx="1104488" cy="11610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2</xdr:row>
      <xdr:rowOff>76200</xdr:rowOff>
    </xdr:from>
    <xdr:to>
      <xdr:col>29</xdr:col>
      <xdr:colOff>268605</xdr:colOff>
      <xdr:row>2</xdr:row>
      <xdr:rowOff>78686</xdr:rowOff>
    </xdr:to>
    <xdr:pic>
      <xdr:nvPicPr>
        <xdr:cNvPr id="2" name="Picture 1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34250" y="323850"/>
          <a:ext cx="1276350" cy="2486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1</xdr:col>
      <xdr:colOff>104775</xdr:colOff>
      <xdr:row>2</xdr:row>
      <xdr:rowOff>66675</xdr:rowOff>
    </xdr:from>
    <xdr:to>
      <xdr:col>6</xdr:col>
      <xdr:colOff>141573</xdr:colOff>
      <xdr:row>2</xdr:row>
      <xdr:rowOff>68750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76225" y="314325"/>
          <a:ext cx="1189323" cy="20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23</xdr:col>
      <xdr:colOff>238125</xdr:colOff>
      <xdr:row>2</xdr:row>
      <xdr:rowOff>95250</xdr:rowOff>
    </xdr:from>
    <xdr:to>
      <xdr:col>31</xdr:col>
      <xdr:colOff>86826</xdr:colOff>
      <xdr:row>2</xdr:row>
      <xdr:rowOff>98637</xdr:rowOff>
    </xdr:to>
    <xdr:pic>
      <xdr:nvPicPr>
        <xdr:cNvPr id="4" name="Picture 3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34250" y="342900"/>
          <a:ext cx="1688931" cy="338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22</xdr:col>
      <xdr:colOff>38100</xdr:colOff>
      <xdr:row>2</xdr:row>
      <xdr:rowOff>57151</xdr:rowOff>
    </xdr:from>
    <xdr:to>
      <xdr:col>26</xdr:col>
      <xdr:colOff>157691</xdr:colOff>
      <xdr:row>7</xdr:row>
      <xdr:rowOff>134833</xdr:rowOff>
    </xdr:to>
    <xdr:pic>
      <xdr:nvPicPr>
        <xdr:cNvPr id="5" name="Picture 4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762750" y="304801"/>
          <a:ext cx="1262591" cy="1306407"/>
        </a:xfrm>
        <a:prstGeom prst="rect">
          <a:avLst/>
        </a:prstGeom>
      </xdr:spPr>
    </xdr:pic>
    <xdr:clientData/>
  </xdr:twoCellAnchor>
  <xdr:twoCellAnchor editAs="oneCell">
    <xdr:from>
      <xdr:col>2</xdr:col>
      <xdr:colOff>38101</xdr:colOff>
      <xdr:row>2</xdr:row>
      <xdr:rowOff>19049</xdr:rowOff>
    </xdr:from>
    <xdr:to>
      <xdr:col>7</xdr:col>
      <xdr:colOff>75778</xdr:colOff>
      <xdr:row>7</xdr:row>
      <xdr:rowOff>141807</xdr:rowOff>
    </xdr:to>
    <xdr:pic>
      <xdr:nvPicPr>
        <xdr:cNvPr id="6" name="Picture 5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14326" y="266699"/>
          <a:ext cx="1342602" cy="1351483"/>
        </a:xfrm>
        <a:prstGeom prst="rect">
          <a:avLst/>
        </a:prstGeom>
      </xdr:spPr>
    </xdr:pic>
    <xdr:clientData/>
  </xdr:twoCellAnchor>
  <xdr:twoCellAnchor>
    <xdr:from>
      <xdr:col>30</xdr:col>
      <xdr:colOff>167640</xdr:colOff>
      <xdr:row>26</xdr:row>
      <xdr:rowOff>30480</xdr:rowOff>
    </xdr:from>
    <xdr:to>
      <xdr:col>39</xdr:col>
      <xdr:colOff>266700</xdr:colOff>
      <xdr:row>35</xdr:row>
      <xdr:rowOff>121920</xdr:rowOff>
    </xdr:to>
    <xdr:grpSp>
      <xdr:nvGrpSpPr>
        <xdr:cNvPr id="12" name="Group 11"/>
        <xdr:cNvGrpSpPr/>
      </xdr:nvGrpSpPr>
      <xdr:grpSpPr>
        <a:xfrm>
          <a:off x="9189720" y="4937760"/>
          <a:ext cx="2773680" cy="1882140"/>
          <a:chOff x="9761220" y="693420"/>
          <a:chExt cx="2773680" cy="1661160"/>
        </a:xfrm>
      </xdr:grpSpPr>
      <xdr:sp macro="[0]!ThisWorkbook.Toggle_Maths" textlink="">
        <xdr:nvSpPr>
          <xdr:cNvPr id="8" name="Rounded Rectangle 7"/>
          <xdr:cNvSpPr/>
        </xdr:nvSpPr>
        <xdr:spPr>
          <a:xfrm>
            <a:off x="9761220" y="693420"/>
            <a:ext cx="2766060" cy="4572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IN" sz="1400" b="1"/>
              <a:t>Show/Hide --- Mathematics</a:t>
            </a:r>
          </a:p>
        </xdr:txBody>
      </xdr:sp>
      <xdr:sp macro="[0]!ThisWorkbook.Toggle_Biology" textlink="">
        <xdr:nvSpPr>
          <xdr:cNvPr id="9" name="Rounded Rectangle 8"/>
          <xdr:cNvSpPr/>
        </xdr:nvSpPr>
        <xdr:spPr>
          <a:xfrm>
            <a:off x="9776460" y="1295400"/>
            <a:ext cx="2743200" cy="4572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IN" sz="1400" b="1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Show/Hide --- Biology</a:t>
            </a:r>
            <a:endParaRPr lang="en-IN" sz="1400" b="1">
              <a:effectLst/>
            </a:endParaRPr>
          </a:p>
        </xdr:txBody>
      </xdr:sp>
      <xdr:sp macro="[0]!ThisWorkbook.Toggle_Additional" textlink="">
        <xdr:nvSpPr>
          <xdr:cNvPr id="10" name="Rounded Rectangle 9"/>
          <xdr:cNvSpPr/>
        </xdr:nvSpPr>
        <xdr:spPr>
          <a:xfrm>
            <a:off x="9768840" y="1897380"/>
            <a:ext cx="2766060" cy="4572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IN" sz="1400" b="1"/>
              <a:t>Show/Hide</a:t>
            </a:r>
            <a:r>
              <a:rPr lang="en-IN" sz="1400" b="1" baseline="0"/>
              <a:t> --- Additional Subject</a:t>
            </a:r>
            <a:endParaRPr lang="en-IN" sz="1400" b="1"/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54703</xdr:colOff>
      <xdr:row>4</xdr:row>
      <xdr:rowOff>93832</xdr:rowOff>
    </xdr:from>
    <xdr:to>
      <xdr:col>3</xdr:col>
      <xdr:colOff>289560</xdr:colOff>
      <xdr:row>4</xdr:row>
      <xdr:rowOff>1509280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7583" y="1465432"/>
          <a:ext cx="1408337" cy="1415448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0" cy="2390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3</xdr:row>
      <xdr:rowOff>124796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0" cy="3152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0" cy="2390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162896</xdr:rowOff>
    </xdr:to>
    <xdr:pic>
      <xdr:nvPicPr>
        <xdr:cNvPr id="5" name="Picture 4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0" cy="1628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6" name="Picture 5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4572" cy="586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7" name="Picture 6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4572" cy="106314"/>
        </a:xfrm>
        <a:prstGeom prst="rect">
          <a:avLst/>
        </a:prstGeom>
      </xdr:spPr>
    </xdr:pic>
    <xdr:clientData/>
  </xdr:twoCellAnchor>
  <xdr:twoCellAnchor editAs="oneCell">
    <xdr:from>
      <xdr:col>1</xdr:col>
      <xdr:colOff>49686</xdr:colOff>
      <xdr:row>0</xdr:row>
      <xdr:rowOff>219074</xdr:rowOff>
    </xdr:from>
    <xdr:to>
      <xdr:col>1</xdr:col>
      <xdr:colOff>49686</xdr:colOff>
      <xdr:row>5</xdr:row>
      <xdr:rowOff>123824</xdr:rowOff>
    </xdr:to>
    <xdr:pic>
      <xdr:nvPicPr>
        <xdr:cNvPr id="8" name="Picture 7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2586" y="219074"/>
          <a:ext cx="845664" cy="771525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48596</xdr:rowOff>
    </xdr:to>
    <xdr:pic>
      <xdr:nvPicPr>
        <xdr:cNvPr id="9" name="Picture 8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0" cy="2390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162896</xdr:rowOff>
    </xdr:to>
    <xdr:pic>
      <xdr:nvPicPr>
        <xdr:cNvPr id="10" name="Picture 9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0" cy="16289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1" name="Picture 10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4572" cy="586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12" name="Picture 1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4572" cy="10631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3" name="Picture 1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238122"/>
          <a:ext cx="4572" cy="586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106311</xdr:rowOff>
    </xdr:to>
    <xdr:pic>
      <xdr:nvPicPr>
        <xdr:cNvPr id="14" name="Picture 1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" y="504822"/>
          <a:ext cx="4572" cy="106314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228601</xdr:colOff>
      <xdr:row>0</xdr:row>
      <xdr:rowOff>209550</xdr:rowOff>
    </xdr:from>
    <xdr:to>
      <xdr:col>1</xdr:col>
      <xdr:colOff>1706881</xdr:colOff>
      <xdr:row>4</xdr:row>
      <xdr:rowOff>51990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4361" y="209550"/>
          <a:ext cx="1478280" cy="129786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320040</xdr:colOff>
      <xdr:row>0</xdr:row>
      <xdr:rowOff>83821</xdr:rowOff>
    </xdr:from>
    <xdr:to>
      <xdr:col>3</xdr:col>
      <xdr:colOff>571500</xdr:colOff>
      <xdr:row>3</xdr:row>
      <xdr:rowOff>193351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0040" y="83821"/>
          <a:ext cx="1287780" cy="1130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shalasangam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FC28"/>
  <sheetViews>
    <sheetView showGridLines="0" showRowColHeaders="0" tabSelected="1" workbookViewId="0">
      <selection activeCell="K2" sqref="K2:L7"/>
    </sheetView>
  </sheetViews>
  <sheetFormatPr defaultColWidth="0" defaultRowHeight="14.4" zeroHeight="1" x14ac:dyDescent="0.3"/>
  <cols>
    <col min="1" max="1" width="8.88671875" style="639" customWidth="1"/>
    <col min="2" max="10" width="8.88671875" style="448" customWidth="1"/>
    <col min="11" max="11" width="15.6640625" style="448" customWidth="1"/>
    <col min="12" max="12" width="30.6640625" style="616" customWidth="1"/>
    <col min="13" max="16383" width="8.88671875" style="617" hidden="1"/>
    <col min="16384" max="16384" width="26.88671875" style="617" hidden="1" customWidth="1"/>
  </cols>
  <sheetData>
    <row r="1" spans="1:12" x14ac:dyDescent="0.3">
      <c r="A1" s="636"/>
      <c r="B1" s="637"/>
      <c r="C1" s="637"/>
      <c r="D1" s="637"/>
      <c r="E1" s="637"/>
      <c r="F1" s="637"/>
      <c r="G1" s="637"/>
      <c r="H1" s="637"/>
      <c r="I1" s="637"/>
      <c r="J1" s="637"/>
      <c r="K1" s="637"/>
      <c r="L1" s="638"/>
    </row>
    <row r="2" spans="1:12" x14ac:dyDescent="0.3"/>
    <row r="3" spans="1:12" x14ac:dyDescent="0.3"/>
    <row r="4" spans="1:12" x14ac:dyDescent="0.3"/>
    <row r="5" spans="1:12" x14ac:dyDescent="0.3"/>
    <row r="6" spans="1:12" x14ac:dyDescent="0.3">
      <c r="D6" s="754" t="s">
        <v>289</v>
      </c>
      <c r="E6" s="754"/>
      <c r="F6" s="754"/>
      <c r="G6" s="754"/>
      <c r="H6" s="754"/>
      <c r="I6" s="754"/>
      <c r="J6" s="754"/>
    </row>
    <row r="7" spans="1:12" x14ac:dyDescent="0.3">
      <c r="D7" s="754"/>
      <c r="E7" s="754"/>
      <c r="F7" s="754"/>
      <c r="G7" s="754"/>
      <c r="H7" s="754"/>
      <c r="I7" s="754"/>
      <c r="J7" s="754"/>
    </row>
    <row r="8" spans="1:12" x14ac:dyDescent="0.3">
      <c r="D8" s="754"/>
      <c r="E8" s="754"/>
      <c r="F8" s="754"/>
      <c r="G8" s="754"/>
      <c r="H8" s="754"/>
      <c r="I8" s="754"/>
      <c r="J8" s="754"/>
    </row>
    <row r="9" spans="1:12" x14ac:dyDescent="0.3">
      <c r="D9" s="754"/>
      <c r="E9" s="754"/>
      <c r="F9" s="754"/>
      <c r="G9" s="754"/>
      <c r="H9" s="754"/>
      <c r="I9" s="754"/>
      <c r="J9" s="754"/>
    </row>
    <row r="10" spans="1:12" x14ac:dyDescent="0.3">
      <c r="D10" s="754"/>
      <c r="E10" s="754"/>
      <c r="F10" s="754"/>
      <c r="G10" s="754"/>
      <c r="H10" s="754"/>
      <c r="I10" s="754"/>
      <c r="J10" s="754"/>
    </row>
    <row r="11" spans="1:12" x14ac:dyDescent="0.3"/>
    <row r="12" spans="1:12" x14ac:dyDescent="0.3"/>
    <row r="13" spans="1:12" x14ac:dyDescent="0.3">
      <c r="D13" s="756" t="s">
        <v>290</v>
      </c>
      <c r="E13" s="756"/>
      <c r="F13" s="756"/>
      <c r="G13" s="756"/>
      <c r="H13" s="756"/>
      <c r="I13" s="756"/>
      <c r="J13" s="756"/>
    </row>
    <row r="14" spans="1:12" x14ac:dyDescent="0.3">
      <c r="D14" s="756"/>
      <c r="E14" s="756"/>
      <c r="F14" s="756"/>
      <c r="G14" s="756"/>
      <c r="H14" s="756"/>
      <c r="I14" s="756"/>
      <c r="J14" s="756"/>
    </row>
    <row r="15" spans="1:12" x14ac:dyDescent="0.3">
      <c r="D15" s="756"/>
      <c r="E15" s="756"/>
      <c r="F15" s="756"/>
      <c r="G15" s="756"/>
      <c r="H15" s="756"/>
      <c r="I15" s="756"/>
      <c r="J15" s="756"/>
    </row>
    <row r="16" spans="1:12" ht="14.4" customHeight="1" x14ac:dyDescent="0.3">
      <c r="D16" s="756"/>
      <c r="E16" s="756"/>
      <c r="F16" s="756"/>
      <c r="G16" s="756"/>
      <c r="H16" s="756"/>
      <c r="I16" s="756"/>
      <c r="J16" s="756"/>
    </row>
    <row r="17" spans="4:10" x14ac:dyDescent="0.3">
      <c r="D17" s="756"/>
      <c r="E17" s="756"/>
      <c r="F17" s="756"/>
      <c r="G17" s="756"/>
      <c r="H17" s="756"/>
      <c r="I17" s="756"/>
      <c r="J17" s="756"/>
    </row>
    <row r="18" spans="4:10" x14ac:dyDescent="0.3">
      <c r="D18" s="756"/>
      <c r="E18" s="756"/>
      <c r="F18" s="756"/>
      <c r="G18" s="756"/>
      <c r="H18" s="756"/>
      <c r="I18" s="756"/>
      <c r="J18" s="756"/>
    </row>
    <row r="19" spans="4:10" x14ac:dyDescent="0.3"/>
    <row r="20" spans="4:10" x14ac:dyDescent="0.3">
      <c r="D20" s="755" t="s">
        <v>291</v>
      </c>
      <c r="E20" s="755"/>
      <c r="F20" s="755"/>
      <c r="G20" s="755"/>
      <c r="H20" s="755"/>
      <c r="I20" s="755"/>
      <c r="J20" s="755"/>
    </row>
    <row r="21" spans="4:10" x14ac:dyDescent="0.3">
      <c r="D21" s="755"/>
      <c r="E21" s="755"/>
      <c r="F21" s="755"/>
      <c r="G21" s="755"/>
      <c r="H21" s="755"/>
      <c r="I21" s="755"/>
      <c r="J21" s="755"/>
    </row>
    <row r="22" spans="4:10" x14ac:dyDescent="0.3">
      <c r="D22" s="755"/>
      <c r="E22" s="755"/>
      <c r="F22" s="755"/>
      <c r="G22" s="755"/>
      <c r="H22" s="755"/>
      <c r="I22" s="755"/>
      <c r="J22" s="755"/>
    </row>
    <row r="23" spans="4:10" x14ac:dyDescent="0.3"/>
    <row r="24" spans="4:10" x14ac:dyDescent="0.3">
      <c r="D24" s="757" t="s">
        <v>292</v>
      </c>
      <c r="E24" s="757"/>
      <c r="F24" s="757"/>
      <c r="G24" s="757"/>
      <c r="H24" s="757"/>
      <c r="I24" s="757"/>
      <c r="J24" s="757"/>
    </row>
    <row r="25" spans="4:10" x14ac:dyDescent="0.3">
      <c r="D25" s="757"/>
      <c r="E25" s="757"/>
      <c r="F25" s="757"/>
      <c r="G25" s="757"/>
      <c r="H25" s="757"/>
      <c r="I25" s="757"/>
      <c r="J25" s="757"/>
    </row>
    <row r="26" spans="4:10" x14ac:dyDescent="0.3"/>
    <row r="27" spans="4:10" x14ac:dyDescent="0.3"/>
    <row r="28" spans="4:10" x14ac:dyDescent="0.3"/>
  </sheetData>
  <sheetProtection algorithmName="SHA-512" hashValue="1RGDVyYn0EHx/a8cz/FnDMVASxZGNbiSLAIhjqgZKwQqiFyyVXTtDGmj3ctADFI5d7xNA6IjtlwEzNfqavJWPQ==" saltValue="18CTcuUwD947ij7KUC5jGA==" spinCount="100000" sheet="1" objects="1" scenarios="1" selectLockedCells="1" selectUnlockedCells="1"/>
  <mergeCells count="4">
    <mergeCell ref="D6:J10"/>
    <mergeCell ref="D20:J22"/>
    <mergeCell ref="D13:J18"/>
    <mergeCell ref="D24:J25"/>
  </mergeCells>
  <hyperlinks>
    <hyperlink ref="D20:J22" r:id="rId1" display="http://www.shalasangam.com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20"/>
  <sheetViews>
    <sheetView zoomScale="98" zoomScaleNormal="98" workbookViewId="0">
      <selection activeCell="B3" sqref="B3:I3"/>
    </sheetView>
  </sheetViews>
  <sheetFormatPr defaultColWidth="0" defaultRowHeight="14.4" zeroHeight="1" x14ac:dyDescent="0.3"/>
  <cols>
    <col min="1" max="1" width="5.5546875" style="445" customWidth="1"/>
    <col min="2" max="2" width="27.88671875" style="449" bestFit="1" customWidth="1"/>
    <col min="3" max="3" width="19.5546875" style="449" customWidth="1"/>
    <col min="4" max="4" width="21.5546875" style="449" customWidth="1"/>
    <col min="5" max="5" width="22" style="449" customWidth="1"/>
    <col min="6" max="6" width="20" style="449" customWidth="1"/>
    <col min="7" max="7" width="28.33203125" style="449" customWidth="1"/>
    <col min="8" max="8" width="14.5546875" style="449" customWidth="1"/>
    <col min="9" max="9" width="15.5546875" style="449" customWidth="1"/>
    <col min="10" max="10" width="4.6640625" style="445" customWidth="1"/>
    <col min="11" max="16384" width="9.109375" style="448" hidden="1"/>
  </cols>
  <sheetData>
    <row r="1" spans="1:12" s="474" customFormat="1" ht="22.95" customHeight="1" thickBot="1" x14ac:dyDescent="0.35">
      <c r="A1" s="470"/>
      <c r="B1" s="471"/>
      <c r="C1" s="472"/>
      <c r="D1" s="789" t="s">
        <v>326</v>
      </c>
      <c r="E1" s="789"/>
      <c r="F1" s="789"/>
      <c r="G1" s="472"/>
      <c r="H1" s="473" t="s">
        <v>275</v>
      </c>
      <c r="I1" s="472"/>
      <c r="J1" s="471"/>
    </row>
    <row r="2" spans="1:12" s="446" customFormat="1" ht="35.25" customHeight="1" x14ac:dyDescent="0.3">
      <c r="A2" s="470"/>
      <c r="B2" s="790" t="s">
        <v>287</v>
      </c>
      <c r="C2" s="790"/>
      <c r="D2" s="790"/>
      <c r="E2" s="790"/>
      <c r="F2" s="790"/>
      <c r="G2" s="790"/>
      <c r="H2" s="790"/>
      <c r="I2" s="790"/>
      <c r="J2" s="471"/>
      <c r="K2" s="447"/>
      <c r="L2" s="447"/>
    </row>
    <row r="3" spans="1:12" s="446" customFormat="1" ht="35.25" customHeight="1" thickBot="1" x14ac:dyDescent="0.35">
      <c r="A3" s="470"/>
      <c r="B3" s="799" t="s">
        <v>293</v>
      </c>
      <c r="C3" s="799"/>
      <c r="D3" s="799"/>
      <c r="E3" s="799"/>
      <c r="F3" s="799"/>
      <c r="G3" s="799"/>
      <c r="H3" s="799"/>
      <c r="I3" s="799"/>
      <c r="J3" s="471"/>
      <c r="K3" s="447"/>
      <c r="L3" s="447"/>
    </row>
    <row r="4" spans="1:12" s="446" customFormat="1" ht="27.75" customHeight="1" x14ac:dyDescent="0.3">
      <c r="A4" s="470"/>
      <c r="B4" s="794" t="s">
        <v>320</v>
      </c>
      <c r="C4" s="795"/>
      <c r="D4" s="795"/>
      <c r="E4" s="795"/>
      <c r="F4" s="795"/>
      <c r="G4" s="795"/>
      <c r="H4" s="795"/>
      <c r="I4" s="796"/>
      <c r="J4" s="471"/>
    </row>
    <row r="5" spans="1:12" s="446" customFormat="1" ht="25.5" customHeight="1" x14ac:dyDescent="0.3">
      <c r="A5" s="470"/>
      <c r="B5" s="476" t="s">
        <v>176</v>
      </c>
      <c r="C5" s="112">
        <v>1720024</v>
      </c>
      <c r="D5" s="113" t="s">
        <v>177</v>
      </c>
      <c r="E5" s="787" t="s">
        <v>295</v>
      </c>
      <c r="F5" s="787"/>
      <c r="G5" s="787"/>
      <c r="H5" s="804" t="s">
        <v>178</v>
      </c>
      <c r="I5" s="762">
        <v>12016</v>
      </c>
      <c r="J5" s="471"/>
    </row>
    <row r="6" spans="1:12" s="446" customFormat="1" ht="25.5" customHeight="1" thickBot="1" x14ac:dyDescent="0.35">
      <c r="A6" s="470"/>
      <c r="B6" s="477" t="s">
        <v>179</v>
      </c>
      <c r="C6" s="478" t="s">
        <v>294</v>
      </c>
      <c r="D6" s="479" t="s">
        <v>180</v>
      </c>
      <c r="E6" s="764" t="s">
        <v>296</v>
      </c>
      <c r="F6" s="764"/>
      <c r="G6" s="764"/>
      <c r="H6" s="805"/>
      <c r="I6" s="763"/>
      <c r="J6" s="471"/>
    </row>
    <row r="7" spans="1:12" s="446" customFormat="1" ht="54" customHeight="1" x14ac:dyDescent="0.3">
      <c r="A7" s="470"/>
      <c r="B7" s="797" t="s">
        <v>58</v>
      </c>
      <c r="C7" s="798"/>
      <c r="D7" s="786" t="s">
        <v>59</v>
      </c>
      <c r="E7" s="786"/>
      <c r="F7" s="786"/>
      <c r="G7" s="475" t="s">
        <v>61</v>
      </c>
      <c r="H7" s="780" t="s">
        <v>208</v>
      </c>
      <c r="I7" s="781"/>
      <c r="J7" s="471"/>
    </row>
    <row r="8" spans="1:12" s="446" customFormat="1" ht="18" customHeight="1" x14ac:dyDescent="0.3">
      <c r="A8" s="470"/>
      <c r="B8" s="806" t="s">
        <v>186</v>
      </c>
      <c r="C8" s="800" t="s">
        <v>0</v>
      </c>
      <c r="D8" s="766" t="s">
        <v>297</v>
      </c>
      <c r="E8" s="767"/>
      <c r="F8" s="767"/>
      <c r="G8" s="803" t="s">
        <v>298</v>
      </c>
      <c r="H8" s="774" t="s">
        <v>298</v>
      </c>
      <c r="I8" s="775"/>
      <c r="J8" s="471"/>
    </row>
    <row r="9" spans="1:12" s="446" customFormat="1" ht="18" customHeight="1" x14ac:dyDescent="0.3">
      <c r="A9" s="470"/>
      <c r="B9" s="807"/>
      <c r="C9" s="801"/>
      <c r="D9" s="766"/>
      <c r="E9" s="767"/>
      <c r="F9" s="767"/>
      <c r="G9" s="803"/>
      <c r="H9" s="776"/>
      <c r="I9" s="777"/>
      <c r="J9" s="471"/>
    </row>
    <row r="10" spans="1:12" s="446" customFormat="1" ht="18" customHeight="1" x14ac:dyDescent="0.3">
      <c r="A10" s="470"/>
      <c r="B10" s="808"/>
      <c r="C10" s="802"/>
      <c r="D10" s="766"/>
      <c r="E10" s="767"/>
      <c r="F10" s="767"/>
      <c r="G10" s="803"/>
      <c r="H10" s="778"/>
      <c r="I10" s="779"/>
      <c r="J10" s="471"/>
    </row>
    <row r="11" spans="1:12" s="446" customFormat="1" ht="25.5" customHeight="1" thickBot="1" x14ac:dyDescent="0.35">
      <c r="A11" s="470"/>
      <c r="B11" s="809" t="s">
        <v>80</v>
      </c>
      <c r="C11" s="810"/>
      <c r="D11" s="811" t="s">
        <v>81</v>
      </c>
      <c r="E11" s="811"/>
      <c r="F11" s="811"/>
      <c r="G11" s="812" t="s">
        <v>60</v>
      </c>
      <c r="H11" s="812"/>
      <c r="I11" s="813"/>
      <c r="J11" s="471"/>
    </row>
    <row r="12" spans="1:12" s="446" customFormat="1" ht="35.25" customHeight="1" thickBot="1" x14ac:dyDescent="0.35">
      <c r="A12" s="470"/>
      <c r="B12" s="462" t="s">
        <v>1</v>
      </c>
      <c r="C12" s="463" t="s">
        <v>298</v>
      </c>
      <c r="D12" s="464" t="s">
        <v>82</v>
      </c>
      <c r="E12" s="784" t="s">
        <v>299</v>
      </c>
      <c r="F12" s="785"/>
      <c r="G12" s="483" t="s">
        <v>1</v>
      </c>
      <c r="H12" s="791" t="s">
        <v>209</v>
      </c>
      <c r="I12" s="792"/>
      <c r="J12" s="471"/>
    </row>
    <row r="13" spans="1:12" s="446" customFormat="1" ht="35.25" customHeight="1" x14ac:dyDescent="0.3">
      <c r="A13" s="470"/>
      <c r="B13" s="465" t="s">
        <v>46</v>
      </c>
      <c r="C13" s="209" t="s">
        <v>297</v>
      </c>
      <c r="D13" s="14" t="s">
        <v>83</v>
      </c>
      <c r="E13" s="784" t="s">
        <v>299</v>
      </c>
      <c r="F13" s="785"/>
      <c r="G13" s="484" t="s">
        <v>46</v>
      </c>
      <c r="H13" s="793" t="s">
        <v>210</v>
      </c>
      <c r="I13" s="788"/>
      <c r="J13" s="471"/>
    </row>
    <row r="14" spans="1:12" s="446" customFormat="1" ht="35.25" customHeight="1" x14ac:dyDescent="0.3">
      <c r="A14" s="470"/>
      <c r="B14" s="466"/>
      <c r="C14" s="450"/>
      <c r="D14" s="14" t="s">
        <v>84</v>
      </c>
      <c r="E14" s="772" t="s">
        <v>89</v>
      </c>
      <c r="F14" s="773"/>
      <c r="G14" s="484" t="s">
        <v>88</v>
      </c>
      <c r="H14" s="782" t="s">
        <v>211</v>
      </c>
      <c r="I14" s="788"/>
      <c r="J14" s="471"/>
    </row>
    <row r="15" spans="1:12" s="446" customFormat="1" ht="35.25" customHeight="1" x14ac:dyDescent="0.3">
      <c r="A15" s="470"/>
      <c r="B15" s="466"/>
      <c r="C15" s="450"/>
      <c r="D15" s="14" t="s">
        <v>85</v>
      </c>
      <c r="E15" s="772" t="s">
        <v>298</v>
      </c>
      <c r="F15" s="773"/>
      <c r="G15" s="484" t="s">
        <v>83</v>
      </c>
      <c r="H15" s="782" t="s">
        <v>212</v>
      </c>
      <c r="I15" s="783"/>
      <c r="J15" s="471"/>
    </row>
    <row r="16" spans="1:12" s="446" customFormat="1" ht="35.25" customHeight="1" thickBot="1" x14ac:dyDescent="0.35">
      <c r="A16" s="470"/>
      <c r="B16" s="467"/>
      <c r="C16" s="468"/>
      <c r="D16" s="469"/>
      <c r="E16" s="770"/>
      <c r="F16" s="771"/>
      <c r="G16" s="485" t="s">
        <v>89</v>
      </c>
      <c r="H16" s="768" t="s">
        <v>213</v>
      </c>
      <c r="I16" s="769"/>
      <c r="J16" s="471"/>
    </row>
    <row r="17" spans="1:10" s="470" customFormat="1" ht="27.75" customHeight="1" thickBot="1" x14ac:dyDescent="0.35">
      <c r="B17" s="665" t="s">
        <v>325</v>
      </c>
      <c r="C17" s="480" t="s">
        <v>319</v>
      </c>
      <c r="D17" s="481" t="s">
        <v>174</v>
      </c>
      <c r="E17" s="765" t="s">
        <v>314</v>
      </c>
      <c r="F17" s="765"/>
      <c r="G17" s="758" t="s">
        <v>273</v>
      </c>
      <c r="H17" s="758"/>
      <c r="I17" s="758"/>
      <c r="J17" s="471"/>
    </row>
    <row r="18" spans="1:10" ht="33.75" customHeight="1" thickBot="1" x14ac:dyDescent="0.35">
      <c r="A18" s="470"/>
      <c r="B18" s="666" t="s">
        <v>207</v>
      </c>
      <c r="C18" s="482" t="s">
        <v>321</v>
      </c>
      <c r="D18" s="575"/>
      <c r="E18" s="575"/>
      <c r="F18" s="575"/>
      <c r="G18" s="759" t="s">
        <v>274</v>
      </c>
      <c r="H18" s="760"/>
      <c r="I18" s="761"/>
      <c r="J18" s="471"/>
    </row>
    <row r="19" spans="1:10" hidden="1" x14ac:dyDescent="0.3"/>
    <row r="20" spans="1:10" hidden="1" x14ac:dyDescent="0.3">
      <c r="B20" s="445"/>
      <c r="C20" s="445"/>
      <c r="D20" s="445"/>
      <c r="E20" s="445"/>
      <c r="F20" s="445"/>
      <c r="G20" s="445"/>
      <c r="H20" s="445"/>
      <c r="I20" s="445"/>
    </row>
  </sheetData>
  <sheetProtection algorithmName="SHA-512" hashValue="obsSdXOSvl1Zbr+T4ppgZvXiJTHY/BLe2rpdyGPatnumueVf+h8J/InGTyv1RdUGzCXvQhfCAgpgkd8S8Zckaw==" saltValue="4O7BYFbtKaGUGanir+JxpQ==" spinCount="100000" sheet="1" objects="1" scenarios="1" selectLockedCells="1"/>
  <mergeCells count="32">
    <mergeCell ref="E14:F14"/>
    <mergeCell ref="B11:C11"/>
    <mergeCell ref="D11:F11"/>
    <mergeCell ref="G11:I11"/>
    <mergeCell ref="E12:F12"/>
    <mergeCell ref="D1:F1"/>
    <mergeCell ref="B2:I2"/>
    <mergeCell ref="H12:I12"/>
    <mergeCell ref="H13:I13"/>
    <mergeCell ref="B4:I4"/>
    <mergeCell ref="B7:C7"/>
    <mergeCell ref="B3:I3"/>
    <mergeCell ref="C8:C10"/>
    <mergeCell ref="G8:G10"/>
    <mergeCell ref="H5:H6"/>
    <mergeCell ref="B8:B10"/>
    <mergeCell ref="G17:I17"/>
    <mergeCell ref="G18:I18"/>
    <mergeCell ref="I5:I6"/>
    <mergeCell ref="E6:G6"/>
    <mergeCell ref="E17:F17"/>
    <mergeCell ref="D8:F10"/>
    <mergeCell ref="H16:I16"/>
    <mergeCell ref="E16:F16"/>
    <mergeCell ref="E15:F15"/>
    <mergeCell ref="H8:I10"/>
    <mergeCell ref="H7:I7"/>
    <mergeCell ref="H15:I15"/>
    <mergeCell ref="E13:F13"/>
    <mergeCell ref="D7:F7"/>
    <mergeCell ref="E5:G5"/>
    <mergeCell ref="H14:I14"/>
  </mergeCells>
  <hyperlinks>
    <hyperlink ref="G12" location="ENGLISH!A1" display="ENGLISH!A1"/>
    <hyperlink ref="G13" location="MATHS!A1" display="MATHS"/>
    <hyperlink ref="G14" location="PHYSICS!A1" display="PHYSICS"/>
    <hyperlink ref="G15" location="CHEMISTRY!A1" display="CHEMISTRY"/>
    <hyperlink ref="G16" location="BIOLOGY!A1" display="BIOLOGY"/>
    <hyperlink ref="H12:I12" location="'PHY EDU '!A1" display="'PHY EDU '"/>
    <hyperlink ref="H13:I13" location="ADDITIONAL!A1" display="ADDITIONAL"/>
    <hyperlink ref="H14:I14" location="'GREEN SHEET'!A1" display="'GREEN SHEET'"/>
    <hyperlink ref="H15" location="'REPORT CARD'!A1" display="'REPORT CARD'"/>
    <hyperlink ref="H16:I16" location="'SCHOOL RESULT'!A1" display="'SCHOOL RESULT'"/>
  </hyperlinks>
  <pageMargins left="0.26" right="0.03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50"/>
  <sheetViews>
    <sheetView topLeftCell="C1" workbookViewId="0">
      <pane ySplit="4" topLeftCell="A5" activePane="bottomLeft" state="frozen"/>
      <selection activeCell="V45" sqref="V45:Z45"/>
      <selection pane="bottomLeft" activeCell="B2" sqref="B2:R2"/>
    </sheetView>
  </sheetViews>
  <sheetFormatPr defaultColWidth="0" defaultRowHeight="13.8" zeroHeight="1" x14ac:dyDescent="0.25"/>
  <cols>
    <col min="1" max="1" width="7.6640625" style="21" customWidth="1"/>
    <col min="2" max="2" width="7.6640625" style="21" bestFit="1" customWidth="1"/>
    <col min="3" max="3" width="11.88671875" style="21" bestFit="1" customWidth="1"/>
    <col min="4" max="4" width="10" style="21" bestFit="1" customWidth="1"/>
    <col min="5" max="5" width="34.6640625" style="21" customWidth="1"/>
    <col min="6" max="6" width="36.109375" style="21" bestFit="1" customWidth="1"/>
    <col min="7" max="7" width="32" style="21" bestFit="1" customWidth="1"/>
    <col min="8" max="8" width="13" style="21" customWidth="1"/>
    <col min="9" max="9" width="14.88671875" style="21" bestFit="1" customWidth="1"/>
    <col min="10" max="10" width="17.109375" style="21" bestFit="1" customWidth="1"/>
    <col min="11" max="11" width="30.77734375" style="21" bestFit="1" customWidth="1"/>
    <col min="12" max="12" width="13.109375" style="21" bestFit="1" customWidth="1"/>
    <col min="13" max="13" width="14.88671875" style="21" hidden="1" customWidth="1"/>
    <col min="14" max="14" width="17.88671875" style="21" hidden="1" customWidth="1"/>
    <col min="15" max="15" width="12.6640625" style="21" hidden="1" customWidth="1"/>
    <col min="16" max="16" width="19" style="21" hidden="1" customWidth="1"/>
    <col min="17" max="17" width="11.109375" style="21" hidden="1" customWidth="1"/>
    <col min="18" max="18" width="13.88671875" style="21" hidden="1" customWidth="1"/>
    <col min="19" max="19" width="5.5546875" style="815" customWidth="1"/>
    <col min="20" max="16384" width="9.109375" style="815" hidden="1"/>
  </cols>
  <sheetData>
    <row r="1" spans="1:18" ht="23.25" customHeight="1" x14ac:dyDescent="0.25">
      <c r="A1" s="226" t="s">
        <v>20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  <c r="O1" s="815"/>
      <c r="P1" s="815"/>
      <c r="Q1" s="815"/>
      <c r="R1" s="815"/>
    </row>
    <row r="2" spans="1:18" ht="22.8" x14ac:dyDescent="0.3">
      <c r="A2" s="815"/>
      <c r="B2" s="816" t="str">
        <f>DASHBOARD!B2&amp;DASHBOARD!B3</f>
        <v xml:space="preserve">SWAMI VIVEKANAND GOVT. MODEL SCHOOL,  AMET, BLOCK-AMET, RAJSAMAND                                                                </v>
      </c>
      <c r="C2" s="816"/>
      <c r="D2" s="816"/>
      <c r="E2" s="816"/>
      <c r="F2" s="816"/>
      <c r="G2" s="816"/>
      <c r="H2" s="816"/>
      <c r="I2" s="816"/>
      <c r="J2" s="816"/>
      <c r="K2" s="816"/>
      <c r="L2" s="816"/>
      <c r="M2" s="816"/>
      <c r="N2" s="816"/>
      <c r="O2" s="816"/>
      <c r="P2" s="816"/>
      <c r="Q2" s="816"/>
      <c r="R2" s="816"/>
    </row>
    <row r="3" spans="1:18" ht="22.8" x14ac:dyDescent="0.3">
      <c r="A3" s="815"/>
      <c r="B3" s="814" t="str">
        <f>"MASTER  DATA  SHEET       "&amp;DASHBOARD!B4</f>
        <v>MASTER  DATA  SHEET       SESSION    -  2025-26</v>
      </c>
      <c r="C3" s="814"/>
      <c r="D3" s="814"/>
      <c r="E3" s="814"/>
      <c r="F3" s="814"/>
      <c r="G3" s="814"/>
      <c r="H3" s="814"/>
      <c r="I3" s="814"/>
      <c r="J3" s="814"/>
      <c r="K3" s="814"/>
      <c r="L3" s="814"/>
      <c r="M3" s="814"/>
      <c r="N3" s="814"/>
      <c r="O3" s="814"/>
      <c r="P3" s="814"/>
      <c r="Q3" s="814"/>
      <c r="R3" s="814"/>
    </row>
    <row r="4" spans="1:18" ht="17.399999999999999" x14ac:dyDescent="0.3">
      <c r="A4" s="815"/>
      <c r="B4" s="15" t="s">
        <v>2</v>
      </c>
      <c r="C4" s="16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11</v>
      </c>
      <c r="L4" s="15" t="s">
        <v>12</v>
      </c>
      <c r="M4" s="15" t="s">
        <v>13</v>
      </c>
      <c r="N4" s="15" t="s">
        <v>123</v>
      </c>
      <c r="O4" s="15" t="s">
        <v>155</v>
      </c>
      <c r="P4" s="15" t="s">
        <v>14</v>
      </c>
      <c r="Q4" s="15" t="s">
        <v>15</v>
      </c>
      <c r="R4" s="15" t="s">
        <v>16</v>
      </c>
    </row>
    <row r="5" spans="1:18" x14ac:dyDescent="0.3">
      <c r="A5" s="815"/>
      <c r="B5" s="17">
        <v>1</v>
      </c>
      <c r="C5" s="17">
        <v>1101</v>
      </c>
      <c r="D5" s="17">
        <v>1168</v>
      </c>
      <c r="E5" s="667" t="s">
        <v>300</v>
      </c>
      <c r="F5" s="667" t="s">
        <v>301</v>
      </c>
      <c r="G5" s="667" t="s">
        <v>302</v>
      </c>
      <c r="H5" s="18">
        <v>39287</v>
      </c>
      <c r="I5" s="17" t="s">
        <v>184</v>
      </c>
      <c r="J5" s="17" t="s">
        <v>162</v>
      </c>
      <c r="K5" s="667" t="s">
        <v>303</v>
      </c>
      <c r="L5" s="19">
        <v>9875095467</v>
      </c>
      <c r="M5" s="19"/>
      <c r="N5" s="17"/>
      <c r="O5" s="17"/>
      <c r="P5" s="17"/>
      <c r="Q5" s="17"/>
      <c r="R5" s="17"/>
    </row>
    <row r="6" spans="1:18" x14ac:dyDescent="0.3">
      <c r="A6" s="815"/>
      <c r="B6" s="17">
        <v>2</v>
      </c>
      <c r="C6" s="17">
        <v>1102</v>
      </c>
      <c r="D6" s="17">
        <v>714</v>
      </c>
      <c r="E6" s="667" t="s">
        <v>304</v>
      </c>
      <c r="F6" s="667" t="s">
        <v>305</v>
      </c>
      <c r="G6" s="667" t="s">
        <v>306</v>
      </c>
      <c r="H6" s="18">
        <v>39482</v>
      </c>
      <c r="I6" s="17" t="s">
        <v>183</v>
      </c>
      <c r="J6" s="17" t="s">
        <v>164</v>
      </c>
      <c r="K6" s="667" t="s">
        <v>307</v>
      </c>
      <c r="L6" s="19">
        <v>9860561424</v>
      </c>
      <c r="M6" s="19"/>
      <c r="N6" s="17"/>
      <c r="O6" s="17"/>
      <c r="P6" s="17"/>
      <c r="Q6" s="17"/>
      <c r="R6" s="17"/>
    </row>
    <row r="7" spans="1:18" x14ac:dyDescent="0.3">
      <c r="A7" s="815"/>
      <c r="B7" s="17">
        <v>3</v>
      </c>
      <c r="C7" s="17">
        <v>1103</v>
      </c>
      <c r="D7" s="17">
        <v>710</v>
      </c>
      <c r="E7" s="667" t="s">
        <v>308</v>
      </c>
      <c r="F7" s="667" t="s">
        <v>309</v>
      </c>
      <c r="G7" s="667" t="s">
        <v>310</v>
      </c>
      <c r="H7" s="18">
        <v>39223</v>
      </c>
      <c r="I7" s="17" t="s">
        <v>183</v>
      </c>
      <c r="J7" s="17" t="s">
        <v>163</v>
      </c>
      <c r="K7" s="667" t="s">
        <v>311</v>
      </c>
      <c r="L7" s="19">
        <v>9649234073</v>
      </c>
      <c r="M7" s="19"/>
      <c r="N7" s="17"/>
      <c r="O7" s="17"/>
      <c r="P7" s="17"/>
      <c r="Q7" s="17"/>
      <c r="R7" s="17"/>
    </row>
    <row r="8" spans="1:18" x14ac:dyDescent="0.3">
      <c r="A8" s="815"/>
      <c r="B8" s="17">
        <v>4</v>
      </c>
      <c r="C8" s="17"/>
      <c r="D8" s="17"/>
      <c r="E8" s="667"/>
      <c r="F8" s="667"/>
      <c r="G8" s="667"/>
      <c r="H8" s="18"/>
      <c r="I8" s="17"/>
      <c r="J8" s="17"/>
      <c r="K8" s="667"/>
      <c r="L8" s="19"/>
      <c r="M8" s="19"/>
      <c r="N8" s="17"/>
      <c r="O8" s="17"/>
      <c r="P8" s="17"/>
      <c r="Q8" s="17"/>
      <c r="R8" s="17"/>
    </row>
    <row r="9" spans="1:18" x14ac:dyDescent="0.3">
      <c r="A9" s="815"/>
      <c r="B9" s="17">
        <v>5</v>
      </c>
      <c r="C9" s="17"/>
      <c r="D9" s="17"/>
      <c r="E9" s="667"/>
      <c r="F9" s="667"/>
      <c r="G9" s="667"/>
      <c r="H9" s="18"/>
      <c r="I9" s="17"/>
      <c r="J9" s="17"/>
      <c r="K9" s="667"/>
      <c r="L9" s="19"/>
      <c r="M9" s="19"/>
      <c r="N9" s="17"/>
      <c r="O9" s="17"/>
      <c r="P9" s="17"/>
      <c r="Q9" s="17"/>
      <c r="R9" s="17"/>
    </row>
    <row r="10" spans="1:18" x14ac:dyDescent="0.3">
      <c r="A10" s="815"/>
      <c r="B10" s="17">
        <v>6</v>
      </c>
      <c r="C10" s="17"/>
      <c r="D10" s="17"/>
      <c r="E10" s="667"/>
      <c r="F10" s="667"/>
      <c r="G10" s="667"/>
      <c r="H10" s="18"/>
      <c r="I10" s="17"/>
      <c r="J10" s="17"/>
      <c r="K10" s="667"/>
      <c r="L10" s="19"/>
      <c r="M10" s="19"/>
      <c r="N10" s="17"/>
      <c r="O10" s="17"/>
      <c r="P10" s="17"/>
      <c r="Q10" s="17"/>
      <c r="R10" s="17"/>
    </row>
    <row r="11" spans="1:18" x14ac:dyDescent="0.3">
      <c r="A11" s="815"/>
      <c r="B11" s="17">
        <v>7</v>
      </c>
      <c r="C11" s="17"/>
      <c r="D11" s="17"/>
      <c r="E11" s="667"/>
      <c r="F11" s="667"/>
      <c r="G11" s="667"/>
      <c r="H11" s="18"/>
      <c r="I11" s="17"/>
      <c r="J11" s="17"/>
      <c r="K11" s="667"/>
      <c r="L11" s="19"/>
      <c r="M11" s="19"/>
      <c r="N11" s="17"/>
      <c r="O11" s="17"/>
      <c r="P11" s="17"/>
      <c r="Q11" s="17"/>
      <c r="R11" s="17"/>
    </row>
    <row r="12" spans="1:18" x14ac:dyDescent="0.3">
      <c r="A12" s="815"/>
      <c r="B12" s="17">
        <v>8</v>
      </c>
      <c r="C12" s="17"/>
      <c r="D12" s="17"/>
      <c r="E12" s="667"/>
      <c r="F12" s="667"/>
      <c r="G12" s="667"/>
      <c r="H12" s="18"/>
      <c r="I12" s="17"/>
      <c r="J12" s="17"/>
      <c r="K12" s="667"/>
      <c r="L12" s="19"/>
      <c r="M12" s="19"/>
      <c r="N12" s="17"/>
      <c r="O12" s="17"/>
      <c r="P12" s="17"/>
      <c r="Q12" s="17"/>
      <c r="R12" s="17"/>
    </row>
    <row r="13" spans="1:18" x14ac:dyDescent="0.3">
      <c r="A13" s="815"/>
      <c r="B13" s="17"/>
      <c r="C13" s="17"/>
      <c r="D13" s="17"/>
      <c r="E13" s="667"/>
      <c r="F13" s="667"/>
      <c r="G13" s="667"/>
      <c r="H13" s="18"/>
      <c r="I13" s="17"/>
      <c r="J13" s="17"/>
      <c r="K13" s="667"/>
      <c r="L13" s="19"/>
      <c r="M13" s="19"/>
      <c r="N13" s="17"/>
      <c r="O13" s="17"/>
      <c r="P13" s="17"/>
      <c r="Q13" s="17"/>
      <c r="R13" s="17"/>
    </row>
    <row r="14" spans="1:18" x14ac:dyDescent="0.3">
      <c r="A14" s="815"/>
      <c r="B14" s="17"/>
      <c r="C14" s="17"/>
      <c r="D14" s="17"/>
      <c r="E14" s="667"/>
      <c r="F14" s="667"/>
      <c r="G14" s="667"/>
      <c r="H14" s="18"/>
      <c r="I14" s="17"/>
      <c r="J14" s="17"/>
      <c r="K14" s="667"/>
      <c r="L14" s="19"/>
      <c r="M14" s="19"/>
      <c r="N14" s="17"/>
      <c r="O14" s="17"/>
      <c r="P14" s="17"/>
      <c r="Q14" s="17"/>
      <c r="R14" s="17"/>
    </row>
    <row r="15" spans="1:18" x14ac:dyDescent="0.3">
      <c r="A15" s="815"/>
      <c r="B15" s="17"/>
      <c r="C15" s="17"/>
      <c r="D15" s="17"/>
      <c r="E15" s="667"/>
      <c r="F15" s="667"/>
      <c r="G15" s="667"/>
      <c r="H15" s="18"/>
      <c r="I15" s="17"/>
      <c r="J15" s="17"/>
      <c r="K15" s="667"/>
      <c r="L15" s="19"/>
      <c r="M15" s="19"/>
      <c r="N15" s="17"/>
      <c r="O15" s="17"/>
      <c r="P15" s="17"/>
      <c r="Q15" s="17"/>
      <c r="R15" s="17"/>
    </row>
    <row r="16" spans="1:18" x14ac:dyDescent="0.3">
      <c r="A16" s="815"/>
      <c r="B16" s="17"/>
      <c r="C16" s="17"/>
      <c r="D16" s="17"/>
      <c r="E16" s="667"/>
      <c r="F16" s="667"/>
      <c r="G16" s="667"/>
      <c r="H16" s="18"/>
      <c r="I16" s="17"/>
      <c r="J16" s="17"/>
      <c r="K16" s="667"/>
      <c r="L16" s="19"/>
      <c r="M16" s="19"/>
      <c r="N16" s="17"/>
      <c r="O16" s="17"/>
      <c r="P16" s="17"/>
      <c r="Q16" s="17"/>
      <c r="R16" s="17"/>
    </row>
    <row r="17" spans="1:18" x14ac:dyDescent="0.3">
      <c r="A17" s="815"/>
      <c r="B17" s="17"/>
      <c r="C17" s="17"/>
      <c r="D17" s="17"/>
      <c r="E17" s="667"/>
      <c r="F17" s="667"/>
      <c r="G17" s="667"/>
      <c r="H17" s="18"/>
      <c r="I17" s="17"/>
      <c r="J17" s="17"/>
      <c r="K17" s="667"/>
      <c r="L17" s="19"/>
      <c r="M17" s="19"/>
      <c r="N17" s="17"/>
      <c r="O17" s="17"/>
      <c r="P17" s="17"/>
      <c r="Q17" s="17"/>
      <c r="R17" s="17"/>
    </row>
    <row r="18" spans="1:18" x14ac:dyDescent="0.3">
      <c r="A18" s="815"/>
      <c r="B18" s="17"/>
      <c r="C18" s="17"/>
      <c r="D18" s="17"/>
      <c r="E18" s="667"/>
      <c r="F18" s="667"/>
      <c r="G18" s="667"/>
      <c r="H18" s="18"/>
      <c r="I18" s="17"/>
      <c r="J18" s="17"/>
      <c r="K18" s="667"/>
      <c r="L18" s="19"/>
      <c r="M18" s="19"/>
      <c r="N18" s="17"/>
      <c r="O18" s="17"/>
      <c r="P18" s="17"/>
      <c r="Q18" s="17"/>
      <c r="R18" s="17"/>
    </row>
    <row r="19" spans="1:18" x14ac:dyDescent="0.3">
      <c r="A19" s="815"/>
      <c r="B19" s="17"/>
      <c r="C19" s="17"/>
      <c r="D19" s="17"/>
      <c r="E19" s="667"/>
      <c r="F19" s="667"/>
      <c r="G19" s="667"/>
      <c r="H19" s="18"/>
      <c r="I19" s="17"/>
      <c r="J19" s="17"/>
      <c r="K19" s="667"/>
      <c r="L19" s="19"/>
      <c r="M19" s="19"/>
      <c r="N19" s="17"/>
      <c r="O19" s="17"/>
      <c r="P19" s="17"/>
      <c r="Q19" s="17"/>
      <c r="R19" s="17"/>
    </row>
    <row r="20" spans="1:18" x14ac:dyDescent="0.3">
      <c r="A20" s="815"/>
      <c r="B20" s="17"/>
      <c r="C20" s="17"/>
      <c r="D20" s="17"/>
      <c r="E20" s="667"/>
      <c r="F20" s="667"/>
      <c r="G20" s="667"/>
      <c r="H20" s="18"/>
      <c r="I20" s="17"/>
      <c r="J20" s="17"/>
      <c r="K20" s="667"/>
      <c r="L20" s="19"/>
      <c r="M20" s="19"/>
      <c r="N20" s="17"/>
      <c r="O20" s="17"/>
      <c r="P20" s="17"/>
      <c r="Q20" s="17"/>
      <c r="R20" s="17"/>
    </row>
    <row r="21" spans="1:18" x14ac:dyDescent="0.3">
      <c r="A21" s="815"/>
      <c r="B21" s="17"/>
      <c r="C21" s="17"/>
      <c r="D21" s="17"/>
      <c r="E21" s="667"/>
      <c r="F21" s="667"/>
      <c r="G21" s="667"/>
      <c r="H21" s="18"/>
      <c r="I21" s="17"/>
      <c r="J21" s="17"/>
      <c r="K21" s="667"/>
      <c r="L21" s="19"/>
      <c r="M21" s="19"/>
      <c r="N21" s="17"/>
      <c r="O21" s="17"/>
      <c r="P21" s="17"/>
      <c r="Q21" s="17"/>
      <c r="R21" s="17"/>
    </row>
    <row r="22" spans="1:18" x14ac:dyDescent="0.3">
      <c r="A22" s="815"/>
      <c r="B22" s="17"/>
      <c r="C22" s="17"/>
      <c r="D22" s="17"/>
      <c r="E22" s="667"/>
      <c r="F22" s="667"/>
      <c r="G22" s="667"/>
      <c r="H22" s="18"/>
      <c r="I22" s="17"/>
      <c r="J22" s="17"/>
      <c r="K22" s="667"/>
      <c r="L22" s="19"/>
      <c r="M22" s="19"/>
      <c r="N22" s="17"/>
      <c r="O22" s="17"/>
      <c r="P22" s="17"/>
      <c r="Q22" s="17"/>
      <c r="R22" s="17"/>
    </row>
    <row r="23" spans="1:18" x14ac:dyDescent="0.3">
      <c r="A23" s="815"/>
      <c r="B23" s="17"/>
      <c r="C23" s="17"/>
      <c r="D23" s="17"/>
      <c r="E23" s="667"/>
      <c r="F23" s="667"/>
      <c r="G23" s="667"/>
      <c r="H23" s="18"/>
      <c r="I23" s="17"/>
      <c r="J23" s="17"/>
      <c r="K23" s="667"/>
      <c r="L23" s="19"/>
      <c r="M23" s="19"/>
      <c r="N23" s="17"/>
      <c r="O23" s="17"/>
      <c r="P23" s="17"/>
      <c r="Q23" s="17"/>
      <c r="R23" s="17"/>
    </row>
    <row r="24" spans="1:18" x14ac:dyDescent="0.3">
      <c r="A24" s="815"/>
      <c r="B24" s="17"/>
      <c r="C24" s="17"/>
      <c r="D24" s="17"/>
      <c r="E24" s="667"/>
      <c r="F24" s="667"/>
      <c r="G24" s="667"/>
      <c r="H24" s="18"/>
      <c r="I24" s="17"/>
      <c r="J24" s="17"/>
      <c r="K24" s="667"/>
      <c r="L24" s="19"/>
      <c r="M24" s="19"/>
      <c r="N24" s="17"/>
      <c r="O24" s="17"/>
      <c r="P24" s="17"/>
      <c r="Q24" s="17"/>
      <c r="R24" s="17"/>
    </row>
    <row r="25" spans="1:18" x14ac:dyDescent="0.3">
      <c r="A25" s="815"/>
      <c r="B25" s="17"/>
      <c r="C25" s="17"/>
      <c r="D25" s="17"/>
      <c r="E25" s="667"/>
      <c r="F25" s="667"/>
      <c r="G25" s="667"/>
      <c r="H25" s="18"/>
      <c r="I25" s="17"/>
      <c r="J25" s="17"/>
      <c r="K25" s="667"/>
      <c r="L25" s="19"/>
      <c r="M25" s="19"/>
      <c r="N25" s="17"/>
      <c r="O25" s="17"/>
      <c r="P25" s="17"/>
      <c r="Q25" s="17"/>
      <c r="R25" s="17"/>
    </row>
    <row r="26" spans="1:18" x14ac:dyDescent="0.3">
      <c r="A26" s="815"/>
      <c r="B26" s="17"/>
      <c r="C26" s="17"/>
      <c r="D26" s="17"/>
      <c r="E26" s="668"/>
      <c r="F26" s="668"/>
      <c r="G26" s="668"/>
      <c r="H26" s="20"/>
      <c r="I26" s="17"/>
      <c r="J26" s="17"/>
      <c r="K26" s="667"/>
      <c r="L26" s="19"/>
      <c r="M26" s="19"/>
      <c r="N26" s="17"/>
      <c r="O26" s="17"/>
      <c r="P26" s="17"/>
      <c r="Q26" s="17"/>
      <c r="R26" s="17"/>
    </row>
    <row r="27" spans="1:18" x14ac:dyDescent="0.3">
      <c r="A27" s="815"/>
      <c r="B27" s="17"/>
      <c r="C27" s="17"/>
      <c r="D27" s="17"/>
      <c r="E27" s="668"/>
      <c r="F27" s="668"/>
      <c r="G27" s="668"/>
      <c r="H27" s="20"/>
      <c r="I27" s="17"/>
      <c r="J27" s="17"/>
      <c r="K27" s="667"/>
      <c r="L27" s="19"/>
      <c r="M27" s="19"/>
      <c r="N27" s="17"/>
      <c r="O27" s="17"/>
      <c r="P27" s="17"/>
      <c r="Q27" s="17"/>
      <c r="R27" s="17"/>
    </row>
    <row r="28" spans="1:18" x14ac:dyDescent="0.3">
      <c r="A28" s="815"/>
      <c r="B28" s="17"/>
      <c r="C28" s="17"/>
      <c r="D28" s="17"/>
      <c r="E28" s="668"/>
      <c r="F28" s="668"/>
      <c r="G28" s="668"/>
      <c r="H28" s="20"/>
      <c r="I28" s="17"/>
      <c r="J28" s="17"/>
      <c r="K28" s="667"/>
      <c r="L28" s="19"/>
      <c r="M28" s="19"/>
      <c r="N28" s="17"/>
      <c r="O28" s="17"/>
      <c r="P28" s="17"/>
      <c r="Q28" s="17"/>
      <c r="R28" s="17"/>
    </row>
    <row r="29" spans="1:18" x14ac:dyDescent="0.3">
      <c r="A29" s="815"/>
      <c r="B29" s="17"/>
      <c r="C29" s="17"/>
      <c r="D29" s="17"/>
      <c r="E29" s="667"/>
      <c r="F29" s="667"/>
      <c r="G29" s="667"/>
      <c r="H29" s="18"/>
      <c r="I29" s="17"/>
      <c r="J29" s="17"/>
      <c r="K29" s="667"/>
      <c r="L29" s="19"/>
      <c r="M29" s="19"/>
      <c r="N29" s="17"/>
      <c r="O29" s="17"/>
      <c r="P29" s="17"/>
      <c r="Q29" s="17"/>
      <c r="R29" s="17"/>
    </row>
    <row r="30" spans="1:18" x14ac:dyDescent="0.3">
      <c r="A30" s="815"/>
      <c r="B30" s="17"/>
      <c r="C30" s="17"/>
      <c r="D30" s="17"/>
      <c r="E30" s="667"/>
      <c r="F30" s="667"/>
      <c r="G30" s="667"/>
      <c r="H30" s="18"/>
      <c r="I30" s="17"/>
      <c r="J30" s="17"/>
      <c r="K30" s="667"/>
      <c r="L30" s="19"/>
      <c r="M30" s="19"/>
      <c r="N30" s="17"/>
      <c r="O30" s="17"/>
      <c r="P30" s="17"/>
      <c r="Q30" s="17"/>
      <c r="R30" s="17"/>
    </row>
    <row r="31" spans="1:18" x14ac:dyDescent="0.3">
      <c r="A31" s="815"/>
      <c r="B31" s="17"/>
      <c r="C31" s="17"/>
      <c r="D31" s="17"/>
      <c r="E31" s="667"/>
      <c r="F31" s="667"/>
      <c r="G31" s="667"/>
      <c r="H31" s="18"/>
      <c r="I31" s="17"/>
      <c r="J31" s="17"/>
      <c r="K31" s="667"/>
      <c r="L31" s="19"/>
      <c r="M31" s="19"/>
      <c r="N31" s="17"/>
      <c r="O31" s="17"/>
      <c r="P31" s="17"/>
      <c r="Q31" s="17"/>
      <c r="R31" s="17"/>
    </row>
    <row r="32" spans="1:18" x14ac:dyDescent="0.3">
      <c r="A32" s="815"/>
      <c r="B32" s="17"/>
      <c r="C32" s="17"/>
      <c r="D32" s="17"/>
      <c r="E32" s="667"/>
      <c r="F32" s="667"/>
      <c r="G32" s="667"/>
      <c r="H32" s="18"/>
      <c r="I32" s="17"/>
      <c r="J32" s="17"/>
      <c r="K32" s="667"/>
      <c r="L32" s="19"/>
      <c r="M32" s="19"/>
      <c r="N32" s="17"/>
      <c r="O32" s="17"/>
      <c r="P32" s="17"/>
      <c r="Q32" s="17"/>
      <c r="R32" s="17"/>
    </row>
    <row r="33" spans="1:18" x14ac:dyDescent="0.3">
      <c r="A33" s="815"/>
      <c r="B33" s="17"/>
      <c r="C33" s="17"/>
      <c r="D33" s="17"/>
      <c r="E33" s="667"/>
      <c r="F33" s="667"/>
      <c r="G33" s="667"/>
      <c r="H33" s="18"/>
      <c r="I33" s="17"/>
      <c r="J33" s="17"/>
      <c r="K33" s="667"/>
      <c r="L33" s="19"/>
      <c r="M33" s="19"/>
      <c r="N33" s="17"/>
      <c r="O33" s="17"/>
      <c r="P33" s="17"/>
      <c r="Q33" s="17"/>
      <c r="R33" s="17"/>
    </row>
    <row r="34" spans="1:18" x14ac:dyDescent="0.3">
      <c r="A34" s="815"/>
      <c r="B34" s="17"/>
      <c r="C34" s="17"/>
      <c r="D34" s="17"/>
      <c r="E34" s="667"/>
      <c r="F34" s="667"/>
      <c r="G34" s="667"/>
      <c r="H34" s="18"/>
      <c r="I34" s="17"/>
      <c r="J34" s="17"/>
      <c r="K34" s="667"/>
      <c r="L34" s="19"/>
      <c r="M34" s="19"/>
      <c r="N34" s="17"/>
      <c r="O34" s="17"/>
      <c r="P34" s="17"/>
      <c r="Q34" s="17"/>
      <c r="R34" s="17"/>
    </row>
    <row r="35" spans="1:18" ht="15" customHeight="1" x14ac:dyDescent="0.3">
      <c r="A35" s="815"/>
      <c r="B35" s="17"/>
      <c r="C35" s="17"/>
      <c r="D35" s="17"/>
      <c r="E35" s="668"/>
      <c r="F35" s="668"/>
      <c r="G35" s="668"/>
      <c r="H35" s="20"/>
      <c r="I35" s="17"/>
      <c r="J35" s="17"/>
      <c r="K35" s="668"/>
      <c r="L35" s="19"/>
      <c r="M35" s="19"/>
      <c r="N35" s="17"/>
      <c r="O35" s="17"/>
      <c r="P35" s="17"/>
      <c r="Q35" s="17"/>
      <c r="R35" s="17"/>
    </row>
    <row r="36" spans="1:18" ht="15" customHeight="1" x14ac:dyDescent="0.3">
      <c r="A36" s="815"/>
      <c r="B36" s="17"/>
      <c r="C36" s="17"/>
      <c r="D36" s="17"/>
      <c r="E36" s="668"/>
      <c r="F36" s="668"/>
      <c r="G36" s="668"/>
      <c r="H36" s="20"/>
      <c r="I36" s="17"/>
      <c r="J36" s="17"/>
      <c r="K36" s="668"/>
      <c r="L36" s="19"/>
      <c r="M36" s="19"/>
      <c r="N36" s="17"/>
      <c r="O36" s="17"/>
      <c r="P36" s="17"/>
      <c r="Q36" s="17"/>
      <c r="R36" s="17"/>
    </row>
    <row r="37" spans="1:18" ht="15" customHeight="1" x14ac:dyDescent="0.3">
      <c r="A37" s="815"/>
      <c r="B37" s="17"/>
      <c r="C37" s="17"/>
      <c r="D37" s="17"/>
      <c r="E37" s="668"/>
      <c r="F37" s="668"/>
      <c r="G37" s="668"/>
      <c r="H37" s="20"/>
      <c r="I37" s="17"/>
      <c r="J37" s="17"/>
      <c r="K37" s="668"/>
      <c r="L37" s="19"/>
      <c r="M37" s="19"/>
      <c r="N37" s="17"/>
      <c r="O37" s="17"/>
      <c r="P37" s="17"/>
      <c r="Q37" s="17"/>
      <c r="R37" s="17"/>
    </row>
    <row r="38" spans="1:18" ht="15" customHeight="1" x14ac:dyDescent="0.3">
      <c r="A38" s="815"/>
      <c r="B38" s="17"/>
      <c r="C38" s="17"/>
      <c r="D38" s="17"/>
      <c r="E38" s="668"/>
      <c r="F38" s="668"/>
      <c r="G38" s="668"/>
      <c r="H38" s="20"/>
      <c r="I38" s="17"/>
      <c r="J38" s="17"/>
      <c r="K38" s="668"/>
      <c r="L38" s="19"/>
      <c r="M38" s="19"/>
      <c r="N38" s="17"/>
      <c r="O38" s="17"/>
      <c r="P38" s="17"/>
      <c r="Q38" s="17"/>
      <c r="R38" s="17"/>
    </row>
    <row r="39" spans="1:18" ht="15" customHeight="1" x14ac:dyDescent="0.3">
      <c r="A39" s="815"/>
      <c r="B39" s="17"/>
      <c r="C39" s="17"/>
      <c r="D39" s="17"/>
      <c r="E39" s="668"/>
      <c r="F39" s="668"/>
      <c r="G39" s="668"/>
      <c r="H39" s="20"/>
      <c r="I39" s="17"/>
      <c r="J39" s="17"/>
      <c r="K39" s="668"/>
      <c r="L39" s="19"/>
      <c r="M39" s="19"/>
      <c r="N39" s="17"/>
      <c r="O39" s="17"/>
      <c r="P39" s="17"/>
      <c r="Q39" s="17"/>
      <c r="R39" s="17"/>
    </row>
    <row r="40" spans="1:18" ht="15" customHeight="1" x14ac:dyDescent="0.3">
      <c r="A40" s="815"/>
      <c r="B40" s="17"/>
      <c r="C40" s="17"/>
      <c r="D40" s="17"/>
      <c r="E40" s="668"/>
      <c r="F40" s="668"/>
      <c r="G40" s="668"/>
      <c r="H40" s="20"/>
      <c r="I40" s="17"/>
      <c r="J40" s="17"/>
      <c r="K40" s="668"/>
      <c r="L40" s="19"/>
      <c r="M40" s="19"/>
      <c r="N40" s="17"/>
      <c r="O40" s="17"/>
      <c r="P40" s="17"/>
      <c r="Q40" s="17"/>
      <c r="R40" s="17"/>
    </row>
    <row r="41" spans="1:18" ht="15" customHeight="1" x14ac:dyDescent="0.3">
      <c r="A41" s="815"/>
      <c r="B41" s="17"/>
      <c r="C41" s="17"/>
      <c r="D41" s="17"/>
      <c r="E41" s="668"/>
      <c r="F41" s="668"/>
      <c r="G41" s="668"/>
      <c r="H41" s="20"/>
      <c r="I41" s="17"/>
      <c r="J41" s="17"/>
      <c r="K41" s="668"/>
      <c r="L41" s="19"/>
      <c r="M41" s="19"/>
      <c r="N41" s="17"/>
      <c r="O41" s="17"/>
      <c r="P41" s="17"/>
      <c r="Q41" s="17"/>
      <c r="R41" s="17"/>
    </row>
    <row r="42" spans="1:18" ht="15" customHeight="1" x14ac:dyDescent="0.3">
      <c r="A42" s="815"/>
      <c r="B42" s="17"/>
      <c r="C42" s="17"/>
      <c r="D42" s="17"/>
      <c r="E42" s="668"/>
      <c r="F42" s="668"/>
      <c r="G42" s="668"/>
      <c r="H42" s="20"/>
      <c r="I42" s="17"/>
      <c r="J42" s="17"/>
      <c r="K42" s="668"/>
      <c r="L42" s="19"/>
      <c r="M42" s="19"/>
      <c r="N42" s="17"/>
      <c r="O42" s="17"/>
      <c r="P42" s="17"/>
      <c r="Q42" s="17"/>
      <c r="R42" s="17"/>
    </row>
    <row r="43" spans="1:18" ht="15" customHeight="1" x14ac:dyDescent="0.3">
      <c r="A43" s="815"/>
      <c r="B43" s="17"/>
      <c r="C43" s="17"/>
      <c r="D43" s="17"/>
      <c r="E43" s="668"/>
      <c r="F43" s="668"/>
      <c r="G43" s="668"/>
      <c r="H43" s="20"/>
      <c r="I43" s="17"/>
      <c r="J43" s="17"/>
      <c r="K43" s="668"/>
      <c r="L43" s="19"/>
      <c r="M43" s="19"/>
      <c r="N43" s="17"/>
      <c r="O43" s="17"/>
      <c r="P43" s="17"/>
      <c r="Q43" s="17"/>
      <c r="R43" s="17"/>
    </row>
    <row r="44" spans="1:18" ht="15" customHeight="1" x14ac:dyDescent="0.3">
      <c r="A44" s="815"/>
      <c r="B44" s="17"/>
      <c r="C44" s="17"/>
      <c r="D44" s="17"/>
      <c r="E44" s="668"/>
      <c r="F44" s="668"/>
      <c r="G44" s="668"/>
      <c r="H44" s="20"/>
      <c r="I44" s="17"/>
      <c r="J44" s="17"/>
      <c r="K44" s="668"/>
      <c r="L44" s="19"/>
      <c r="M44" s="19"/>
      <c r="N44" s="17"/>
      <c r="O44" s="17"/>
      <c r="P44" s="17"/>
      <c r="Q44" s="17"/>
      <c r="R44" s="17"/>
    </row>
    <row r="45" spans="1:18" ht="15" customHeight="1" x14ac:dyDescent="0.3">
      <c r="A45" s="815"/>
      <c r="B45" s="17"/>
      <c r="C45" s="17"/>
      <c r="D45" s="17"/>
      <c r="E45" s="668"/>
      <c r="F45" s="668"/>
      <c r="G45" s="668"/>
      <c r="H45" s="20"/>
      <c r="I45" s="17"/>
      <c r="J45" s="17"/>
      <c r="K45" s="668"/>
      <c r="L45" s="19"/>
      <c r="M45" s="19"/>
      <c r="N45" s="17"/>
      <c r="O45" s="17"/>
      <c r="P45" s="17"/>
      <c r="Q45" s="17"/>
      <c r="R45" s="17"/>
    </row>
    <row r="46" spans="1:18" ht="15" customHeight="1" x14ac:dyDescent="0.3">
      <c r="A46" s="815"/>
      <c r="B46" s="17"/>
      <c r="C46" s="17"/>
      <c r="D46" s="17"/>
      <c r="E46" s="668"/>
      <c r="F46" s="668"/>
      <c r="G46" s="668"/>
      <c r="H46" s="20"/>
      <c r="I46" s="17"/>
      <c r="J46" s="17"/>
      <c r="K46" s="668"/>
      <c r="L46" s="19"/>
      <c r="M46" s="19"/>
      <c r="N46" s="17"/>
      <c r="O46" s="17"/>
      <c r="P46" s="17"/>
      <c r="Q46" s="17"/>
      <c r="R46" s="17"/>
    </row>
    <row r="47" spans="1:18" ht="15" customHeight="1" x14ac:dyDescent="0.3">
      <c r="A47" s="815"/>
      <c r="B47" s="17"/>
      <c r="C47" s="17"/>
      <c r="D47" s="17"/>
      <c r="E47" s="668"/>
      <c r="F47" s="668"/>
      <c r="G47" s="668"/>
      <c r="H47" s="20"/>
      <c r="I47" s="17"/>
      <c r="J47" s="17"/>
      <c r="K47" s="668"/>
      <c r="L47" s="19"/>
      <c r="M47" s="19"/>
      <c r="N47" s="17"/>
      <c r="O47" s="17"/>
      <c r="P47" s="17"/>
      <c r="Q47" s="17"/>
      <c r="R47" s="17"/>
    </row>
    <row r="48" spans="1:18" ht="15" customHeight="1" x14ac:dyDescent="0.3">
      <c r="A48" s="815"/>
      <c r="B48" s="17"/>
      <c r="C48" s="17"/>
      <c r="D48" s="17"/>
      <c r="E48" s="668"/>
      <c r="F48" s="668"/>
      <c r="G48" s="668"/>
      <c r="H48" s="20"/>
      <c r="I48" s="17"/>
      <c r="J48" s="17"/>
      <c r="K48" s="668"/>
      <c r="L48" s="19"/>
      <c r="M48" s="19"/>
      <c r="N48" s="17"/>
      <c r="O48" s="17"/>
      <c r="P48" s="17"/>
      <c r="Q48" s="17"/>
      <c r="R48" s="17"/>
    </row>
    <row r="49" spans="1:18" ht="15" customHeight="1" x14ac:dyDescent="0.3">
      <c r="A49" s="815"/>
      <c r="B49" s="17"/>
      <c r="C49" s="17"/>
      <c r="D49" s="17"/>
      <c r="E49" s="668"/>
      <c r="F49" s="668"/>
      <c r="G49" s="668"/>
      <c r="H49" s="20"/>
      <c r="I49" s="17"/>
      <c r="J49" s="17"/>
      <c r="K49" s="668"/>
      <c r="L49" s="19"/>
      <c r="M49" s="19"/>
      <c r="N49" s="17"/>
      <c r="O49" s="17"/>
      <c r="P49" s="17"/>
      <c r="Q49" s="17"/>
      <c r="R49" s="17"/>
    </row>
    <row r="50" spans="1:18" ht="38.25" customHeight="1" x14ac:dyDescent="0.25">
      <c r="A50" s="815"/>
      <c r="B50" s="815"/>
      <c r="C50" s="815"/>
      <c r="D50" s="815"/>
      <c r="E50" s="815"/>
      <c r="F50" s="815"/>
      <c r="G50" s="815"/>
      <c r="H50" s="815"/>
      <c r="I50" s="815"/>
      <c r="J50" s="815"/>
      <c r="K50" s="815"/>
      <c r="L50" s="815"/>
      <c r="M50" s="815"/>
      <c r="N50" s="815"/>
      <c r="O50" s="815"/>
      <c r="P50" s="815"/>
      <c r="Q50" s="815"/>
      <c r="R50" s="815"/>
    </row>
  </sheetData>
  <sheetProtection algorithmName="SHA-512" hashValue="9uDWtZqB+wIrh+PSWX4BBjCfuEcF9EPMpfFYmKYdWdYjGMpKbXo/t1V0XUERlVl4fxQJRHr3MqnUDmLgkJ+Gpw==" saltValue="Sk18OCj+e6jXs7R6zDclNg==" spinCount="100000" sheet="1" objects="1" scenarios="1" selectLockedCells="1"/>
  <mergeCells count="6">
    <mergeCell ref="B3:R3"/>
    <mergeCell ref="B1:XFD1"/>
    <mergeCell ref="S2:XFD1048576"/>
    <mergeCell ref="A50:R50"/>
    <mergeCell ref="A2:A49"/>
    <mergeCell ref="B2:R2"/>
  </mergeCells>
  <dataValidations count="2">
    <dataValidation type="list" allowBlank="1" showInputMessage="1" showErrorMessage="1" sqref="I5:I49">
      <formula1>"BOY, GIRL"</formula1>
    </dataValidation>
    <dataValidation type="list" allowBlank="1" showInputMessage="1" showErrorMessage="1" sqref="J5:J49">
      <formula1>"GEN, OBC, SC, ST"</formula1>
    </dataValidation>
  </dataValidations>
  <hyperlinks>
    <hyperlink ref="A1" location="DASHBOARD!A1" display="D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U54"/>
  <sheetViews>
    <sheetView zoomScale="70" zoomScaleNormal="70" workbookViewId="0">
      <selection activeCell="L8" sqref="L8"/>
    </sheetView>
  </sheetViews>
  <sheetFormatPr defaultColWidth="0" defaultRowHeight="14.4" zeroHeight="1" x14ac:dyDescent="0.3"/>
  <cols>
    <col min="1" max="1" width="5.109375" style="3" customWidth="1"/>
    <col min="2" max="2" width="7.44140625" style="34" bestFit="1" customWidth="1"/>
    <col min="3" max="3" width="41.5546875" style="34" bestFit="1" customWidth="1"/>
    <col min="4" max="4" width="15" style="34" customWidth="1"/>
    <col min="5" max="5" width="12.5546875" style="34" customWidth="1"/>
    <col min="6" max="6" width="10.5546875" style="34" customWidth="1"/>
    <col min="7" max="7" width="12.109375" style="34" customWidth="1"/>
    <col min="8" max="11" width="15.6640625" style="35" customWidth="1"/>
    <col min="12" max="12" width="12.109375" style="35" customWidth="1"/>
    <col min="13" max="13" width="3" style="42" customWidth="1"/>
    <col min="14" max="14" width="13.5546875" style="35" customWidth="1"/>
    <col min="15" max="15" width="16.5546875" style="35" customWidth="1"/>
    <col min="16" max="16" width="5.44140625" style="2" customWidth="1"/>
    <col min="17" max="21" width="0" style="1" hidden="1" customWidth="1"/>
    <col min="22" max="16384" width="9.109375" style="1" hidden="1"/>
  </cols>
  <sheetData>
    <row r="1" spans="1:16" s="3" customFormat="1" ht="19.5" customHeight="1" x14ac:dyDescent="0.3">
      <c r="A1" s="5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4"/>
    </row>
    <row r="2" spans="1:16" s="3" customFormat="1" ht="22.8" x14ac:dyDescent="0.3">
      <c r="A2" s="4"/>
      <c r="B2" s="820" t="str">
        <f>DASHBOARD!B2&amp;DASHBOARD!B3</f>
        <v xml:space="preserve">SWAMI VIVEKANAND GOVT. MODEL SCHOOL,  AMET, BLOCK-AMET, RAJSAMAND                                                                </v>
      </c>
      <c r="C2" s="820"/>
      <c r="D2" s="820"/>
      <c r="E2" s="820"/>
      <c r="F2" s="820"/>
      <c r="G2" s="820"/>
      <c r="H2" s="820"/>
      <c r="I2" s="820"/>
      <c r="J2" s="820"/>
      <c r="K2" s="820"/>
      <c r="L2" s="820"/>
      <c r="M2" s="820"/>
      <c r="N2" s="820"/>
      <c r="O2" s="820"/>
      <c r="P2" s="4"/>
    </row>
    <row r="3" spans="1:16" s="3" customFormat="1" ht="27.6" x14ac:dyDescent="0.3">
      <c r="A3" s="4"/>
      <c r="B3" s="821" t="str">
        <f>IF(DASHBOARD!B4="","",DASHBOARD!B4)</f>
        <v>SESSION    -  2025-26</v>
      </c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4"/>
    </row>
    <row r="4" spans="1:16" s="13" customFormat="1" ht="27.75" customHeight="1" x14ac:dyDescent="0.45">
      <c r="A4" s="12"/>
      <c r="B4" s="23"/>
      <c r="C4" s="24" t="s">
        <v>63</v>
      </c>
      <c r="D4" s="23" t="str">
        <f>IF(DASHBOARD!B8="","",DASHBOARD!B8&amp; DASHBOARD!C8)</f>
        <v>XI A</v>
      </c>
      <c r="E4" s="23"/>
      <c r="F4" s="23"/>
      <c r="G4" s="23"/>
      <c r="H4" s="23"/>
      <c r="I4" s="23"/>
      <c r="J4" s="23"/>
      <c r="K4" s="23" t="s">
        <v>156</v>
      </c>
      <c r="L4" s="819" t="s">
        <v>1</v>
      </c>
      <c r="M4" s="819"/>
      <c r="N4" s="819"/>
      <c r="O4" s="819"/>
      <c r="P4" s="12"/>
    </row>
    <row r="5" spans="1:16" s="3" customFormat="1" ht="132.6" customHeight="1" thickBot="1" x14ac:dyDescent="0.35">
      <c r="A5" s="4"/>
      <c r="B5" s="669" t="s">
        <v>65</v>
      </c>
      <c r="C5" s="670" t="s">
        <v>64</v>
      </c>
      <c r="D5" s="670" t="s">
        <v>3</v>
      </c>
      <c r="E5" s="670" t="s">
        <v>98</v>
      </c>
      <c r="F5" s="670" t="s">
        <v>99</v>
      </c>
      <c r="G5" s="670" t="s">
        <v>100</v>
      </c>
      <c r="H5" s="740" t="s">
        <v>144</v>
      </c>
      <c r="I5" s="740" t="s">
        <v>139</v>
      </c>
      <c r="J5" s="740" t="s">
        <v>140</v>
      </c>
      <c r="K5" s="740" t="s">
        <v>141</v>
      </c>
      <c r="L5" s="670" t="s">
        <v>18</v>
      </c>
      <c r="M5" s="581"/>
      <c r="N5" s="682" t="s">
        <v>41</v>
      </c>
      <c r="O5" s="670" t="s">
        <v>122</v>
      </c>
      <c r="P5" s="4"/>
    </row>
    <row r="6" spans="1:16" s="376" customFormat="1" ht="30" customHeight="1" thickBot="1" x14ac:dyDescent="0.4">
      <c r="A6" s="340"/>
      <c r="B6" s="817" t="s">
        <v>19</v>
      </c>
      <c r="C6" s="818"/>
      <c r="D6" s="818"/>
      <c r="E6" s="674">
        <v>10</v>
      </c>
      <c r="F6" s="674">
        <v>80</v>
      </c>
      <c r="G6" s="674">
        <v>10</v>
      </c>
      <c r="H6" s="674">
        <v>5</v>
      </c>
      <c r="I6" s="674">
        <v>5</v>
      </c>
      <c r="J6" s="674">
        <v>5</v>
      </c>
      <c r="K6" s="674">
        <v>5</v>
      </c>
      <c r="L6" s="674">
        <v>80</v>
      </c>
      <c r="M6" s="587"/>
      <c r="N6" s="741">
        <f>IF('GREEN SHEET'!Y6="","",'GREEN SHEET'!Y6)</f>
        <v>100</v>
      </c>
      <c r="O6" s="675">
        <v>80</v>
      </c>
      <c r="P6" s="340"/>
    </row>
    <row r="7" spans="1:16" s="376" customFormat="1" ht="38.25" customHeight="1" x14ac:dyDescent="0.35">
      <c r="A7" s="340"/>
      <c r="B7" s="671">
        <v>1</v>
      </c>
      <c r="C7" s="676" t="str">
        <f>IF(DATA!E5="","",DATA!E5)</f>
        <v>Devendra Sharma</v>
      </c>
      <c r="D7" s="672">
        <f>IF(DATA!C5="","",DATA!C5)</f>
        <v>1101</v>
      </c>
      <c r="E7" s="673">
        <v>8</v>
      </c>
      <c r="F7" s="673">
        <v>61</v>
      </c>
      <c r="G7" s="673">
        <v>9</v>
      </c>
      <c r="H7" s="673">
        <v>5</v>
      </c>
      <c r="I7" s="673">
        <v>5</v>
      </c>
      <c r="J7" s="673">
        <v>5</v>
      </c>
      <c r="K7" s="673">
        <v>5</v>
      </c>
      <c r="L7" s="673">
        <v>0</v>
      </c>
      <c r="M7" s="111"/>
      <c r="N7" s="672">
        <f>IF('GREEN SHEET'!Y7="","",'GREEN SHEET'!Y7)</f>
        <v>52</v>
      </c>
      <c r="O7" s="673"/>
      <c r="P7" s="340"/>
    </row>
    <row r="8" spans="1:16" s="376" customFormat="1" ht="38.25" customHeight="1" x14ac:dyDescent="0.35">
      <c r="A8" s="340"/>
      <c r="B8" s="28">
        <v>2</v>
      </c>
      <c r="C8" s="677" t="str">
        <f>IF(DATA!E6="","",DATA!E6)</f>
        <v>DHARA SALVI</v>
      </c>
      <c r="D8" s="29">
        <f>IF(DATA!C6="","",DATA!C6)</f>
        <v>1102</v>
      </c>
      <c r="E8" s="31">
        <v>2</v>
      </c>
      <c r="F8" s="31">
        <v>27</v>
      </c>
      <c r="G8" s="31">
        <v>2</v>
      </c>
      <c r="H8" s="31">
        <v>2</v>
      </c>
      <c r="I8" s="31">
        <v>3</v>
      </c>
      <c r="J8" s="31">
        <v>3</v>
      </c>
      <c r="K8" s="31">
        <v>4</v>
      </c>
      <c r="L8" s="31">
        <v>32</v>
      </c>
      <c r="M8" s="111"/>
      <c r="N8" s="672">
        <f>IF('GREEN SHEET'!Y8="","",'GREEN SHEET'!Y8)</f>
        <v>41</v>
      </c>
      <c r="O8" s="31"/>
      <c r="P8" s="340"/>
    </row>
    <row r="9" spans="1:16" s="376" customFormat="1" ht="38.25" customHeight="1" x14ac:dyDescent="0.35">
      <c r="A9" s="340"/>
      <c r="B9" s="28">
        <v>3</v>
      </c>
      <c r="C9" s="677" t="str">
        <f>IF(DATA!E7="","",DATA!E7)</f>
        <v>HARSHIKA RAO</v>
      </c>
      <c r="D9" s="29">
        <f>IF(DATA!C7="","",DATA!C7)</f>
        <v>1103</v>
      </c>
      <c r="E9" s="31">
        <v>7</v>
      </c>
      <c r="F9" s="31">
        <v>60</v>
      </c>
      <c r="G9" s="31">
        <v>9</v>
      </c>
      <c r="H9" s="31">
        <v>5</v>
      </c>
      <c r="I9" s="31">
        <v>5</v>
      </c>
      <c r="J9" s="31">
        <v>5</v>
      </c>
      <c r="K9" s="31">
        <v>5</v>
      </c>
      <c r="L9" s="31">
        <v>59</v>
      </c>
      <c r="M9" s="111"/>
      <c r="N9" s="672">
        <f>IF('GREEN SHEET'!Y9="","",'GREEN SHEET'!Y9)</f>
        <v>82</v>
      </c>
      <c r="O9" s="31"/>
      <c r="P9" s="340"/>
    </row>
    <row r="10" spans="1:16" s="376" customFormat="1" ht="38.25" customHeight="1" x14ac:dyDescent="0.35">
      <c r="A10" s="340"/>
      <c r="B10" s="28">
        <v>4</v>
      </c>
      <c r="C10" s="677" t="str">
        <f>IF(DATA!E8="","",DATA!E8)</f>
        <v/>
      </c>
      <c r="D10" s="29" t="str">
        <f>IF(DATA!C8="","",DATA!C8)</f>
        <v/>
      </c>
      <c r="E10" s="31"/>
      <c r="F10" s="31"/>
      <c r="G10" s="31"/>
      <c r="H10" s="31"/>
      <c r="I10" s="31"/>
      <c r="J10" s="31"/>
      <c r="K10" s="31"/>
      <c r="L10" s="31"/>
      <c r="M10" s="111"/>
      <c r="N10" s="672" t="str">
        <f>IF('GREEN SHEET'!Y10="","",'GREEN SHEET'!Y10)</f>
        <v/>
      </c>
      <c r="O10" s="31"/>
      <c r="P10" s="340"/>
    </row>
    <row r="11" spans="1:16" s="376" customFormat="1" ht="38.25" customHeight="1" x14ac:dyDescent="0.35">
      <c r="A11" s="340"/>
      <c r="B11" s="28">
        <v>5</v>
      </c>
      <c r="C11" s="677" t="str">
        <f>IF(DATA!E9="","",DATA!E9)</f>
        <v/>
      </c>
      <c r="D11" s="29" t="str">
        <f>IF(DATA!C9="","",DATA!C9)</f>
        <v/>
      </c>
      <c r="E11" s="31"/>
      <c r="F11" s="31"/>
      <c r="G11" s="31"/>
      <c r="H11" s="31"/>
      <c r="I11" s="31"/>
      <c r="J11" s="31"/>
      <c r="K11" s="31"/>
      <c r="L11" s="31"/>
      <c r="M11" s="111"/>
      <c r="N11" s="672" t="str">
        <f>IF('GREEN SHEET'!Y11="","",'GREEN SHEET'!Y11)</f>
        <v/>
      </c>
      <c r="O11" s="31"/>
      <c r="P11" s="340"/>
    </row>
    <row r="12" spans="1:16" s="376" customFormat="1" ht="38.25" customHeight="1" x14ac:dyDescent="0.35">
      <c r="A12" s="340"/>
      <c r="B12" s="28">
        <v>6</v>
      </c>
      <c r="C12" s="677" t="str">
        <f>IF(DATA!E10="","",DATA!E10)</f>
        <v/>
      </c>
      <c r="D12" s="29" t="str">
        <f>IF(DATA!C10="","",DATA!C10)</f>
        <v/>
      </c>
      <c r="E12" s="31"/>
      <c r="F12" s="114"/>
      <c r="G12" s="114"/>
      <c r="H12" s="31"/>
      <c r="I12" s="31"/>
      <c r="J12" s="31"/>
      <c r="K12" s="31"/>
      <c r="L12" s="31"/>
      <c r="M12" s="588"/>
      <c r="N12" s="672" t="str">
        <f>IF('GREEN SHEET'!Y12="","",'GREEN SHEET'!Y12)</f>
        <v/>
      </c>
      <c r="O12" s="31"/>
      <c r="P12" s="340"/>
    </row>
    <row r="13" spans="1:16" s="376" customFormat="1" ht="38.25" customHeight="1" x14ac:dyDescent="0.35">
      <c r="A13" s="340"/>
      <c r="B13" s="28">
        <v>7</v>
      </c>
      <c r="C13" s="677" t="str">
        <f>IF(DATA!E11="","",DATA!E11)</f>
        <v/>
      </c>
      <c r="D13" s="29" t="str">
        <f>IF(DATA!C11="","",DATA!C11)</f>
        <v/>
      </c>
      <c r="E13" s="31"/>
      <c r="F13" s="31"/>
      <c r="G13" s="31"/>
      <c r="H13" s="31"/>
      <c r="I13" s="31"/>
      <c r="J13" s="31"/>
      <c r="K13" s="31"/>
      <c r="L13" s="31"/>
      <c r="M13" s="111"/>
      <c r="N13" s="672" t="str">
        <f>IF('GREEN SHEET'!Y13="","",'GREEN SHEET'!Y13)</f>
        <v/>
      </c>
      <c r="O13" s="31"/>
      <c r="P13" s="340"/>
    </row>
    <row r="14" spans="1:16" s="376" customFormat="1" ht="38.25" customHeight="1" x14ac:dyDescent="0.35">
      <c r="A14" s="340"/>
      <c r="B14" s="28">
        <v>8</v>
      </c>
      <c r="C14" s="677" t="str">
        <f>IF(DATA!E12="","",DATA!E12)</f>
        <v/>
      </c>
      <c r="D14" s="29" t="str">
        <f>IF(DATA!C12="","",DATA!C12)</f>
        <v/>
      </c>
      <c r="E14" s="31"/>
      <c r="F14" s="31"/>
      <c r="G14" s="31"/>
      <c r="H14" s="31"/>
      <c r="I14" s="31"/>
      <c r="J14" s="31"/>
      <c r="K14" s="31"/>
      <c r="L14" s="31"/>
      <c r="M14" s="111"/>
      <c r="N14" s="672" t="str">
        <f>IF('GREEN SHEET'!Y14="","",'GREEN SHEET'!Y14)</f>
        <v/>
      </c>
      <c r="O14" s="31"/>
      <c r="P14" s="340"/>
    </row>
    <row r="15" spans="1:16" s="376" customFormat="1" ht="38.25" customHeight="1" x14ac:dyDescent="0.35">
      <c r="A15" s="340"/>
      <c r="B15" s="28">
        <v>9</v>
      </c>
      <c r="C15" s="677" t="str">
        <f>IF(DATA!E13="","",DATA!E13)</f>
        <v/>
      </c>
      <c r="D15" s="29" t="str">
        <f>IF(DATA!C13="","",DATA!C13)</f>
        <v/>
      </c>
      <c r="E15" s="31"/>
      <c r="F15" s="31"/>
      <c r="G15" s="31"/>
      <c r="H15" s="31"/>
      <c r="I15" s="31"/>
      <c r="J15" s="31"/>
      <c r="K15" s="31"/>
      <c r="L15" s="31"/>
      <c r="M15" s="111"/>
      <c r="N15" s="672" t="str">
        <f>IF('GREEN SHEET'!Y15="","",'GREEN SHEET'!Y15)</f>
        <v/>
      </c>
      <c r="O15" s="31"/>
      <c r="P15" s="340"/>
    </row>
    <row r="16" spans="1:16" s="376" customFormat="1" ht="38.25" customHeight="1" x14ac:dyDescent="0.35">
      <c r="A16" s="340"/>
      <c r="B16" s="28">
        <v>10</v>
      </c>
      <c r="C16" s="677" t="str">
        <f>IF(DATA!E14="","",DATA!E14)</f>
        <v/>
      </c>
      <c r="D16" s="29" t="str">
        <f>IF(DATA!C14="","",DATA!C14)</f>
        <v/>
      </c>
      <c r="E16" s="31"/>
      <c r="F16" s="31"/>
      <c r="G16" s="31"/>
      <c r="H16" s="31"/>
      <c r="I16" s="31"/>
      <c r="J16" s="31"/>
      <c r="K16" s="31"/>
      <c r="L16" s="31"/>
      <c r="M16" s="111"/>
      <c r="N16" s="672" t="str">
        <f>IF('GREEN SHEET'!Y16="","",'GREEN SHEET'!Y16)</f>
        <v/>
      </c>
      <c r="O16" s="31"/>
      <c r="P16" s="340"/>
    </row>
    <row r="17" spans="1:16" s="376" customFormat="1" ht="38.25" customHeight="1" x14ac:dyDescent="0.35">
      <c r="A17" s="340"/>
      <c r="B17" s="28">
        <v>11</v>
      </c>
      <c r="C17" s="677" t="str">
        <f>IF(DATA!E15="","",DATA!E15)</f>
        <v/>
      </c>
      <c r="D17" s="29" t="str">
        <f>IF(DATA!C15="","",DATA!C15)</f>
        <v/>
      </c>
      <c r="E17" s="31"/>
      <c r="F17" s="31"/>
      <c r="G17" s="31"/>
      <c r="H17" s="31"/>
      <c r="I17" s="31"/>
      <c r="J17" s="31"/>
      <c r="K17" s="31"/>
      <c r="L17" s="31"/>
      <c r="M17" s="111"/>
      <c r="N17" s="672" t="str">
        <f>IF('GREEN SHEET'!Y17="","",'GREEN SHEET'!Y17)</f>
        <v/>
      </c>
      <c r="O17" s="31"/>
      <c r="P17" s="340"/>
    </row>
    <row r="18" spans="1:16" s="376" customFormat="1" ht="38.25" customHeight="1" x14ac:dyDescent="0.35">
      <c r="A18" s="340"/>
      <c r="B18" s="28">
        <v>12</v>
      </c>
      <c r="C18" s="677" t="str">
        <f>IF(DATA!E16="","",DATA!E16)</f>
        <v/>
      </c>
      <c r="D18" s="29" t="str">
        <f>IF(DATA!C16="","",DATA!C16)</f>
        <v/>
      </c>
      <c r="E18" s="31"/>
      <c r="F18" s="31"/>
      <c r="G18" s="31"/>
      <c r="H18" s="31"/>
      <c r="I18" s="31"/>
      <c r="J18" s="31"/>
      <c r="K18" s="31"/>
      <c r="L18" s="31"/>
      <c r="M18" s="111"/>
      <c r="N18" s="672" t="str">
        <f>IF('GREEN SHEET'!Y18="","",'GREEN SHEET'!Y18)</f>
        <v/>
      </c>
      <c r="O18" s="31"/>
      <c r="P18" s="340"/>
    </row>
    <row r="19" spans="1:16" s="376" customFormat="1" ht="38.25" customHeight="1" x14ac:dyDescent="0.35">
      <c r="A19" s="340"/>
      <c r="B19" s="28">
        <v>13</v>
      </c>
      <c r="C19" s="677" t="str">
        <f>IF(DATA!E17="","",DATA!E17)</f>
        <v/>
      </c>
      <c r="D19" s="29" t="str">
        <f>IF(DATA!C17="","",DATA!C17)</f>
        <v/>
      </c>
      <c r="E19" s="31"/>
      <c r="F19" s="31"/>
      <c r="G19" s="31"/>
      <c r="H19" s="31"/>
      <c r="I19" s="31"/>
      <c r="J19" s="31"/>
      <c r="K19" s="31"/>
      <c r="L19" s="31"/>
      <c r="M19" s="111"/>
      <c r="N19" s="672" t="str">
        <f>IF('GREEN SHEET'!Y19="","",'GREEN SHEET'!Y19)</f>
        <v/>
      </c>
      <c r="O19" s="31"/>
      <c r="P19" s="340"/>
    </row>
    <row r="20" spans="1:16" s="376" customFormat="1" ht="38.25" customHeight="1" x14ac:dyDescent="0.35">
      <c r="A20" s="340"/>
      <c r="B20" s="28">
        <v>14</v>
      </c>
      <c r="C20" s="677" t="str">
        <f>IF(DATA!E18="","",DATA!E18)</f>
        <v/>
      </c>
      <c r="D20" s="29" t="str">
        <f>IF(DATA!C18="","",DATA!C18)</f>
        <v/>
      </c>
      <c r="E20" s="31"/>
      <c r="F20" s="31"/>
      <c r="G20" s="31"/>
      <c r="H20" s="31"/>
      <c r="I20" s="31"/>
      <c r="J20" s="31"/>
      <c r="K20" s="31"/>
      <c r="L20" s="31"/>
      <c r="M20" s="111"/>
      <c r="N20" s="672" t="str">
        <f>IF('GREEN SHEET'!Y20="","",'GREEN SHEET'!Y20)</f>
        <v/>
      </c>
      <c r="O20" s="31"/>
      <c r="P20" s="340"/>
    </row>
    <row r="21" spans="1:16" s="376" customFormat="1" ht="38.25" customHeight="1" x14ac:dyDescent="0.35">
      <c r="A21" s="340"/>
      <c r="B21" s="36">
        <v>15</v>
      </c>
      <c r="C21" s="678" t="str">
        <f>IF(DATA!E19="","",DATA!E19)</f>
        <v/>
      </c>
      <c r="D21" s="37" t="str">
        <f>IF(DATA!C19="","",DATA!C19)</f>
        <v/>
      </c>
      <c r="E21" s="31"/>
      <c r="F21" s="38"/>
      <c r="G21" s="38"/>
      <c r="H21" s="31"/>
      <c r="I21" s="31"/>
      <c r="J21" s="31"/>
      <c r="K21" s="31"/>
      <c r="L21" s="31"/>
      <c r="M21" s="589"/>
      <c r="N21" s="672" t="str">
        <f>IF('GREEN SHEET'!Y21="","",'GREEN SHEET'!Y21)</f>
        <v/>
      </c>
      <c r="O21" s="38"/>
      <c r="P21" s="340"/>
    </row>
    <row r="22" spans="1:16" s="376" customFormat="1" ht="38.25" customHeight="1" x14ac:dyDescent="0.35">
      <c r="A22" s="340"/>
      <c r="B22" s="28">
        <v>16</v>
      </c>
      <c r="C22" s="677" t="str">
        <f>IF(DATA!E20="","",DATA!E20)</f>
        <v/>
      </c>
      <c r="D22" s="29" t="str">
        <f>IF(DATA!C20="","",DATA!C20)</f>
        <v/>
      </c>
      <c r="E22" s="31"/>
      <c r="F22" s="31"/>
      <c r="G22" s="31"/>
      <c r="H22" s="31"/>
      <c r="I22" s="31"/>
      <c r="J22" s="31"/>
      <c r="K22" s="31"/>
      <c r="L22" s="31"/>
      <c r="M22" s="111"/>
      <c r="N22" s="672" t="str">
        <f>IF('GREEN SHEET'!Y22="","",'GREEN SHEET'!Y22)</f>
        <v/>
      </c>
      <c r="O22" s="31"/>
      <c r="P22" s="340"/>
    </row>
    <row r="23" spans="1:16" s="376" customFormat="1" ht="38.25" customHeight="1" x14ac:dyDescent="0.35">
      <c r="A23" s="340"/>
      <c r="B23" s="28">
        <v>17</v>
      </c>
      <c r="C23" s="677" t="str">
        <f>IF(DATA!E21="","",DATA!E21)</f>
        <v/>
      </c>
      <c r="D23" s="29" t="str">
        <f>IF(DATA!C21="","",DATA!C21)</f>
        <v/>
      </c>
      <c r="E23" s="31"/>
      <c r="F23" s="31"/>
      <c r="G23" s="31"/>
      <c r="H23" s="31"/>
      <c r="I23" s="31"/>
      <c r="J23" s="31"/>
      <c r="K23" s="31"/>
      <c r="L23" s="31"/>
      <c r="M23" s="589"/>
      <c r="N23" s="672" t="str">
        <f>IF('GREEN SHEET'!Y23="","",'GREEN SHEET'!Y23)</f>
        <v/>
      </c>
      <c r="O23" s="31"/>
      <c r="P23" s="340"/>
    </row>
    <row r="24" spans="1:16" s="376" customFormat="1" ht="38.25" customHeight="1" x14ac:dyDescent="0.35">
      <c r="A24" s="340"/>
      <c r="B24" s="28">
        <v>18</v>
      </c>
      <c r="C24" s="677" t="str">
        <f>IF(DATA!E22="","",DATA!E22)</f>
        <v/>
      </c>
      <c r="D24" s="29" t="str">
        <f>IF(DATA!C22="","",DATA!C22)</f>
        <v/>
      </c>
      <c r="E24" s="31"/>
      <c r="F24" s="31"/>
      <c r="G24" s="31"/>
      <c r="H24" s="31"/>
      <c r="I24" s="31"/>
      <c r="J24" s="31"/>
      <c r="K24" s="31"/>
      <c r="L24" s="31"/>
      <c r="M24" s="111"/>
      <c r="N24" s="672" t="str">
        <f>IF('GREEN SHEET'!Y24="","",'GREEN SHEET'!Y24)</f>
        <v/>
      </c>
      <c r="O24" s="31"/>
      <c r="P24" s="340"/>
    </row>
    <row r="25" spans="1:16" s="376" customFormat="1" ht="38.25" customHeight="1" x14ac:dyDescent="0.35">
      <c r="A25" s="340"/>
      <c r="B25" s="28">
        <v>19</v>
      </c>
      <c r="C25" s="677" t="str">
        <f>IF(DATA!E23="","",DATA!E23)</f>
        <v/>
      </c>
      <c r="D25" s="29" t="str">
        <f>IF(DATA!C23="","",DATA!C23)</f>
        <v/>
      </c>
      <c r="E25" s="31"/>
      <c r="F25" s="31"/>
      <c r="G25" s="31"/>
      <c r="H25" s="31"/>
      <c r="I25" s="31"/>
      <c r="J25" s="31"/>
      <c r="K25" s="31"/>
      <c r="L25" s="31"/>
      <c r="M25" s="111"/>
      <c r="N25" s="672" t="str">
        <f>IF('GREEN SHEET'!Y25="","",'GREEN SHEET'!Y25)</f>
        <v/>
      </c>
      <c r="O25" s="31"/>
      <c r="P25" s="340"/>
    </row>
    <row r="26" spans="1:16" s="376" customFormat="1" ht="38.25" customHeight="1" x14ac:dyDescent="0.35">
      <c r="A26" s="340"/>
      <c r="B26" s="28">
        <v>20</v>
      </c>
      <c r="C26" s="677" t="str">
        <f>IF(DATA!E24="","",DATA!E24)</f>
        <v/>
      </c>
      <c r="D26" s="29" t="str">
        <f>IF(DATA!C24="","",DATA!C24)</f>
        <v/>
      </c>
      <c r="E26" s="31"/>
      <c r="F26" s="31"/>
      <c r="G26" s="31"/>
      <c r="H26" s="31"/>
      <c r="I26" s="31"/>
      <c r="J26" s="31"/>
      <c r="K26" s="31"/>
      <c r="L26" s="31"/>
      <c r="M26" s="111"/>
      <c r="N26" s="672" t="str">
        <f>IF('GREEN SHEET'!Y26="","",'GREEN SHEET'!Y26)</f>
        <v/>
      </c>
      <c r="O26" s="31"/>
      <c r="P26" s="340"/>
    </row>
    <row r="27" spans="1:16" s="376" customFormat="1" ht="38.25" customHeight="1" x14ac:dyDescent="0.35">
      <c r="A27" s="340"/>
      <c r="B27" s="28">
        <v>21</v>
      </c>
      <c r="C27" s="677" t="str">
        <f>IF(DATA!E25="","",DATA!E25)</f>
        <v/>
      </c>
      <c r="D27" s="29" t="str">
        <f>IF(DATA!C25="","",DATA!C25)</f>
        <v/>
      </c>
      <c r="E27" s="31"/>
      <c r="F27" s="31"/>
      <c r="G27" s="31"/>
      <c r="H27" s="31"/>
      <c r="I27" s="31"/>
      <c r="J27" s="31"/>
      <c r="K27" s="31"/>
      <c r="L27" s="31"/>
      <c r="M27" s="111"/>
      <c r="N27" s="672" t="str">
        <f>IF('GREEN SHEET'!Y27="","",'GREEN SHEET'!Y27)</f>
        <v/>
      </c>
      <c r="O27" s="31"/>
      <c r="P27" s="340"/>
    </row>
    <row r="28" spans="1:16" s="376" customFormat="1" ht="38.25" customHeight="1" x14ac:dyDescent="0.35">
      <c r="A28" s="340"/>
      <c r="B28" s="28">
        <v>22</v>
      </c>
      <c r="C28" s="677" t="str">
        <f>IF(DATA!E26="","",DATA!E26)</f>
        <v/>
      </c>
      <c r="D28" s="29" t="str">
        <f>IF(DATA!C26="","",DATA!C26)</f>
        <v/>
      </c>
      <c r="E28" s="31"/>
      <c r="F28" s="31"/>
      <c r="G28" s="31"/>
      <c r="H28" s="31"/>
      <c r="I28" s="31"/>
      <c r="J28" s="31"/>
      <c r="K28" s="31"/>
      <c r="L28" s="31"/>
      <c r="M28" s="111"/>
      <c r="N28" s="672" t="str">
        <f>IF('GREEN SHEET'!Y28="","",'GREEN SHEET'!Y28)</f>
        <v/>
      </c>
      <c r="O28" s="31"/>
      <c r="P28" s="340"/>
    </row>
    <row r="29" spans="1:16" s="376" customFormat="1" ht="38.25" customHeight="1" x14ac:dyDescent="0.35">
      <c r="A29" s="340"/>
      <c r="B29" s="28">
        <v>23</v>
      </c>
      <c r="C29" s="677" t="str">
        <f>IF(DATA!E27="","",DATA!E27)</f>
        <v/>
      </c>
      <c r="D29" s="29" t="str">
        <f>IF(DATA!C27="","",DATA!C27)</f>
        <v/>
      </c>
      <c r="E29" s="31"/>
      <c r="F29" s="31"/>
      <c r="G29" s="31"/>
      <c r="H29" s="31"/>
      <c r="I29" s="31"/>
      <c r="J29" s="31"/>
      <c r="K29" s="31"/>
      <c r="L29" s="31"/>
      <c r="M29" s="111"/>
      <c r="N29" s="672" t="str">
        <f>IF('GREEN SHEET'!Y29="","",'GREEN SHEET'!Y29)</f>
        <v/>
      </c>
      <c r="O29" s="31"/>
      <c r="P29" s="340"/>
    </row>
    <row r="30" spans="1:16" s="376" customFormat="1" ht="38.25" customHeight="1" x14ac:dyDescent="0.35">
      <c r="A30" s="340"/>
      <c r="B30" s="28">
        <v>24</v>
      </c>
      <c r="C30" s="677" t="str">
        <f>IF(DATA!E28="","",DATA!E28)</f>
        <v/>
      </c>
      <c r="D30" s="29" t="str">
        <f>IF(DATA!C28="","",DATA!C28)</f>
        <v/>
      </c>
      <c r="E30" s="31"/>
      <c r="F30" s="31"/>
      <c r="G30" s="31"/>
      <c r="H30" s="31"/>
      <c r="I30" s="31"/>
      <c r="J30" s="31"/>
      <c r="K30" s="31"/>
      <c r="L30" s="31"/>
      <c r="M30" s="111"/>
      <c r="N30" s="672" t="str">
        <f>IF('GREEN SHEET'!Y30="","",'GREEN SHEET'!Y30)</f>
        <v/>
      </c>
      <c r="O30" s="31"/>
      <c r="P30" s="340"/>
    </row>
    <row r="31" spans="1:16" s="376" customFormat="1" ht="30" customHeight="1" x14ac:dyDescent="0.35">
      <c r="A31" s="340"/>
      <c r="B31" s="28">
        <v>25</v>
      </c>
      <c r="C31" s="677" t="str">
        <f>IF(DATA!E29="","",DATA!E29)</f>
        <v/>
      </c>
      <c r="D31" s="29" t="str">
        <f>IF(DATA!C29="","",DATA!C29)</f>
        <v/>
      </c>
      <c r="E31" s="31"/>
      <c r="F31" s="31"/>
      <c r="G31" s="31"/>
      <c r="H31" s="31"/>
      <c r="I31" s="31"/>
      <c r="J31" s="31"/>
      <c r="K31" s="31"/>
      <c r="L31" s="31"/>
      <c r="M31" s="111"/>
      <c r="N31" s="672" t="str">
        <f>IF('GREEN SHEET'!Y31="","",'GREEN SHEET'!Y31)</f>
        <v/>
      </c>
      <c r="O31" s="31"/>
      <c r="P31" s="340"/>
    </row>
    <row r="32" spans="1:16" s="376" customFormat="1" ht="30" customHeight="1" x14ac:dyDescent="0.35">
      <c r="A32" s="340"/>
      <c r="B32" s="28">
        <v>26</v>
      </c>
      <c r="C32" s="677" t="str">
        <f>IF(DATA!E30="","",DATA!E30)</f>
        <v/>
      </c>
      <c r="D32" s="29" t="str">
        <f>IF(DATA!C30="","",DATA!C30)</f>
        <v/>
      </c>
      <c r="E32" s="31"/>
      <c r="F32" s="31"/>
      <c r="G32" s="31"/>
      <c r="H32" s="31"/>
      <c r="I32" s="31"/>
      <c r="J32" s="31"/>
      <c r="K32" s="31"/>
      <c r="L32" s="31"/>
      <c r="M32" s="111"/>
      <c r="N32" s="672" t="str">
        <f>IF('GREEN SHEET'!Y32="","",'GREEN SHEET'!Y32)</f>
        <v/>
      </c>
      <c r="O32" s="31"/>
      <c r="P32" s="340"/>
    </row>
    <row r="33" spans="1:16" s="376" customFormat="1" ht="30" customHeight="1" x14ac:dyDescent="0.35">
      <c r="A33" s="340"/>
      <c r="B33" s="28">
        <v>27</v>
      </c>
      <c r="C33" s="677" t="str">
        <f>IF(DATA!E31="","",DATA!E31)</f>
        <v/>
      </c>
      <c r="D33" s="29" t="str">
        <f>IF(DATA!C31="","",DATA!C31)</f>
        <v/>
      </c>
      <c r="E33" s="31"/>
      <c r="F33" s="31"/>
      <c r="G33" s="31"/>
      <c r="H33" s="31"/>
      <c r="I33" s="31"/>
      <c r="J33" s="31"/>
      <c r="K33" s="31"/>
      <c r="L33" s="31"/>
      <c r="M33" s="111"/>
      <c r="N33" s="672" t="str">
        <f>IF('GREEN SHEET'!Y33="","",'GREEN SHEET'!Y33)</f>
        <v/>
      </c>
      <c r="O33" s="31"/>
      <c r="P33" s="340"/>
    </row>
    <row r="34" spans="1:16" s="376" customFormat="1" ht="30" customHeight="1" x14ac:dyDescent="0.35">
      <c r="A34" s="340"/>
      <c r="B34" s="28">
        <v>28</v>
      </c>
      <c r="C34" s="677" t="str">
        <f>IF(DATA!E32="","",DATA!E32)</f>
        <v/>
      </c>
      <c r="D34" s="29" t="str">
        <f>IF(DATA!C32="","",DATA!C32)</f>
        <v/>
      </c>
      <c r="E34" s="31"/>
      <c r="F34" s="31"/>
      <c r="G34" s="31"/>
      <c r="H34" s="31"/>
      <c r="I34" s="31"/>
      <c r="J34" s="31"/>
      <c r="K34" s="31"/>
      <c r="L34" s="31"/>
      <c r="M34" s="111"/>
      <c r="N34" s="672" t="str">
        <f>IF('GREEN SHEET'!Y34="","",'GREEN SHEET'!Y34)</f>
        <v/>
      </c>
      <c r="O34" s="31"/>
      <c r="P34" s="340"/>
    </row>
    <row r="35" spans="1:16" s="376" customFormat="1" ht="30" customHeight="1" x14ac:dyDescent="0.35">
      <c r="A35" s="340"/>
      <c r="B35" s="28">
        <v>29</v>
      </c>
      <c r="C35" s="677" t="str">
        <f>IF(DATA!E33="","",DATA!E33)</f>
        <v/>
      </c>
      <c r="D35" s="29" t="str">
        <f>IF(DATA!C33="","",DATA!C33)</f>
        <v/>
      </c>
      <c r="E35" s="31"/>
      <c r="F35" s="31"/>
      <c r="G35" s="31"/>
      <c r="H35" s="31"/>
      <c r="I35" s="31"/>
      <c r="J35" s="31"/>
      <c r="K35" s="31"/>
      <c r="L35" s="31"/>
      <c r="M35" s="111"/>
      <c r="N35" s="672" t="str">
        <f>IF('GREEN SHEET'!Y35="","",'GREEN SHEET'!Y35)</f>
        <v/>
      </c>
      <c r="O35" s="31"/>
      <c r="P35" s="340"/>
    </row>
    <row r="36" spans="1:16" s="376" customFormat="1" ht="30" customHeight="1" x14ac:dyDescent="0.35">
      <c r="A36" s="340"/>
      <c r="B36" s="28">
        <v>30</v>
      </c>
      <c r="C36" s="677" t="str">
        <f>IF(DATA!E34="","",DATA!E34)</f>
        <v/>
      </c>
      <c r="D36" s="29" t="str">
        <f>IF(DATA!C34="","",DATA!C34)</f>
        <v/>
      </c>
      <c r="E36" s="31"/>
      <c r="F36" s="31"/>
      <c r="G36" s="31"/>
      <c r="H36" s="31"/>
      <c r="I36" s="31"/>
      <c r="J36" s="31"/>
      <c r="K36" s="31"/>
      <c r="L36" s="31"/>
      <c r="M36" s="111"/>
      <c r="N36" s="672" t="str">
        <f>IF('GREEN SHEET'!Y36="","",'GREEN SHEET'!Y36)</f>
        <v/>
      </c>
      <c r="O36" s="31"/>
      <c r="P36" s="340"/>
    </row>
    <row r="37" spans="1:16" s="376" customFormat="1" ht="30" customHeight="1" x14ac:dyDescent="0.35">
      <c r="A37" s="340"/>
      <c r="B37" s="28">
        <v>31</v>
      </c>
      <c r="C37" s="677" t="str">
        <f>IF(DATA!E35="","",DATA!E35)</f>
        <v/>
      </c>
      <c r="D37" s="29" t="str">
        <f>IF(DATA!C35="","",DATA!C35)</f>
        <v/>
      </c>
      <c r="E37" s="31"/>
      <c r="F37" s="31"/>
      <c r="G37" s="31"/>
      <c r="H37" s="31"/>
      <c r="I37" s="31"/>
      <c r="J37" s="31"/>
      <c r="K37" s="31"/>
      <c r="L37" s="31"/>
      <c r="M37" s="111"/>
      <c r="N37" s="672" t="str">
        <f>IF('GREEN SHEET'!Y37="","",'GREEN SHEET'!Y37)</f>
        <v/>
      </c>
      <c r="O37" s="31"/>
      <c r="P37" s="340"/>
    </row>
    <row r="38" spans="1:16" s="376" customFormat="1" ht="30" customHeight="1" x14ac:dyDescent="0.35">
      <c r="A38" s="340"/>
      <c r="B38" s="28">
        <v>32</v>
      </c>
      <c r="C38" s="677" t="str">
        <f>IF(DATA!E36="","",DATA!E36)</f>
        <v/>
      </c>
      <c r="D38" s="29" t="str">
        <f>IF(DATA!C36="","",DATA!C36)</f>
        <v/>
      </c>
      <c r="E38" s="31"/>
      <c r="F38" s="31"/>
      <c r="G38" s="31"/>
      <c r="H38" s="31"/>
      <c r="I38" s="31"/>
      <c r="J38" s="31"/>
      <c r="K38" s="31"/>
      <c r="L38" s="31"/>
      <c r="M38" s="111"/>
      <c r="N38" s="672" t="str">
        <f>IF('GREEN SHEET'!Y38="","",'GREEN SHEET'!Y38)</f>
        <v/>
      </c>
      <c r="O38" s="31"/>
      <c r="P38" s="340"/>
    </row>
    <row r="39" spans="1:16" s="376" customFormat="1" ht="30" customHeight="1" x14ac:dyDescent="0.35">
      <c r="A39" s="340"/>
      <c r="B39" s="28">
        <v>33</v>
      </c>
      <c r="C39" s="677" t="str">
        <f>IF(DATA!E37="","",DATA!E37)</f>
        <v/>
      </c>
      <c r="D39" s="29" t="str">
        <f>IF(DATA!C37="","",DATA!C37)</f>
        <v/>
      </c>
      <c r="E39" s="31"/>
      <c r="F39" s="31"/>
      <c r="G39" s="31"/>
      <c r="H39" s="31"/>
      <c r="I39" s="31"/>
      <c r="J39" s="31"/>
      <c r="K39" s="31"/>
      <c r="L39" s="31"/>
      <c r="M39" s="111"/>
      <c r="N39" s="672" t="str">
        <f>IF('GREEN SHEET'!Y39="","",'GREEN SHEET'!Y39)</f>
        <v/>
      </c>
      <c r="O39" s="31"/>
      <c r="P39" s="340"/>
    </row>
    <row r="40" spans="1:16" s="376" customFormat="1" ht="22.8" x14ac:dyDescent="0.35">
      <c r="A40" s="340"/>
      <c r="B40" s="28">
        <v>34</v>
      </c>
      <c r="C40" s="677" t="str">
        <f>IF(DATA!E38="","",DATA!E38)</f>
        <v/>
      </c>
      <c r="D40" s="29" t="str">
        <f>IF(DATA!C38="","",DATA!C38)</f>
        <v/>
      </c>
      <c r="E40" s="31"/>
      <c r="F40" s="31"/>
      <c r="G40" s="31"/>
      <c r="H40" s="31"/>
      <c r="I40" s="31"/>
      <c r="J40" s="31"/>
      <c r="K40" s="31"/>
      <c r="L40" s="31"/>
      <c r="M40" s="111"/>
      <c r="N40" s="672" t="str">
        <f>IF('GREEN SHEET'!Y40="","",'GREEN SHEET'!Y40)</f>
        <v/>
      </c>
      <c r="O40" s="31"/>
      <c r="P40" s="340"/>
    </row>
    <row r="41" spans="1:16" s="3" customFormat="1" ht="22.8" x14ac:dyDescent="0.3">
      <c r="A41" s="4"/>
      <c r="B41" s="28">
        <v>35</v>
      </c>
      <c r="C41" s="677" t="str">
        <f>IF(DATA!E39="","",DATA!E39)</f>
        <v/>
      </c>
      <c r="D41" s="29" t="str">
        <f>IF(DATA!C39="","",DATA!C39)</f>
        <v/>
      </c>
      <c r="E41" s="31"/>
      <c r="F41" s="31"/>
      <c r="G41" s="31"/>
      <c r="H41" s="30"/>
      <c r="I41" s="30"/>
      <c r="J41" s="30"/>
      <c r="K41" s="30"/>
      <c r="L41" s="31"/>
      <c r="M41" s="111"/>
      <c r="N41" s="672" t="str">
        <f>IF('GREEN SHEET'!Y41="","",'GREEN SHEET'!Y41)</f>
        <v/>
      </c>
      <c r="O41" s="31"/>
      <c r="P41" s="4"/>
    </row>
    <row r="42" spans="1:16" s="3" customFormat="1" ht="22.8" x14ac:dyDescent="0.3">
      <c r="A42" s="4"/>
      <c r="B42" s="28">
        <v>36</v>
      </c>
      <c r="C42" s="677" t="str">
        <f>IF(DATA!E40="","",DATA!E40)</f>
        <v/>
      </c>
      <c r="D42" s="29" t="str">
        <f>IF(DATA!C40="","",DATA!C40)</f>
        <v/>
      </c>
      <c r="E42" s="31"/>
      <c r="F42" s="31"/>
      <c r="G42" s="31"/>
      <c r="H42" s="30"/>
      <c r="I42" s="30"/>
      <c r="J42" s="30"/>
      <c r="K42" s="30"/>
      <c r="L42" s="31"/>
      <c r="M42" s="111"/>
      <c r="N42" s="672" t="str">
        <f>IF('GREEN SHEET'!Y42="","",'GREEN SHEET'!Y42)</f>
        <v/>
      </c>
      <c r="O42" s="31"/>
      <c r="P42" s="4"/>
    </row>
    <row r="43" spans="1:16" s="3" customFormat="1" ht="22.8" x14ac:dyDescent="0.3">
      <c r="A43" s="4"/>
      <c r="B43" s="28">
        <v>37</v>
      </c>
      <c r="C43" s="677" t="str">
        <f>IF(DATA!E41="","",DATA!E41)</f>
        <v/>
      </c>
      <c r="D43" s="29" t="str">
        <f>IF(DATA!C41="","",DATA!C41)</f>
        <v/>
      </c>
      <c r="E43" s="31"/>
      <c r="F43" s="31"/>
      <c r="G43" s="31"/>
      <c r="H43" s="31"/>
      <c r="I43" s="31"/>
      <c r="J43" s="31"/>
      <c r="K43" s="31"/>
      <c r="L43" s="31"/>
      <c r="M43" s="111"/>
      <c r="N43" s="672" t="str">
        <f>IF('GREEN SHEET'!Y43="","",'GREEN SHEET'!Y43)</f>
        <v/>
      </c>
      <c r="O43" s="31"/>
      <c r="P43" s="4"/>
    </row>
    <row r="44" spans="1:16" s="3" customFormat="1" ht="22.8" x14ac:dyDescent="0.3">
      <c r="A44" s="4"/>
      <c r="B44" s="28">
        <v>38</v>
      </c>
      <c r="C44" s="677" t="str">
        <f>IF(DATA!E42="","",DATA!E42)</f>
        <v/>
      </c>
      <c r="D44" s="29" t="str">
        <f>IF(DATA!C42="","",DATA!C42)</f>
        <v/>
      </c>
      <c r="E44" s="31"/>
      <c r="F44" s="31"/>
      <c r="G44" s="31"/>
      <c r="H44" s="31"/>
      <c r="I44" s="31"/>
      <c r="J44" s="31"/>
      <c r="K44" s="31"/>
      <c r="L44" s="31"/>
      <c r="M44" s="111"/>
      <c r="N44" s="672" t="str">
        <f>IF('GREEN SHEET'!Y44="","",'GREEN SHEET'!Y44)</f>
        <v/>
      </c>
      <c r="O44" s="31"/>
      <c r="P44" s="4"/>
    </row>
    <row r="45" spans="1:16" s="3" customFormat="1" ht="22.8" x14ac:dyDescent="0.3">
      <c r="A45" s="4"/>
      <c r="B45" s="28">
        <v>39</v>
      </c>
      <c r="C45" s="677" t="str">
        <f>IF(DATA!E43="","",DATA!E43)</f>
        <v/>
      </c>
      <c r="D45" s="29" t="str">
        <f>IF(DATA!C43="","",DATA!C43)</f>
        <v/>
      </c>
      <c r="E45" s="31"/>
      <c r="F45" s="31"/>
      <c r="G45" s="31"/>
      <c r="H45" s="31"/>
      <c r="I45" s="31"/>
      <c r="J45" s="31"/>
      <c r="K45" s="31"/>
      <c r="L45" s="31"/>
      <c r="M45" s="111"/>
      <c r="N45" s="672" t="str">
        <f>IF('GREEN SHEET'!Y45="","",'GREEN SHEET'!Y45)</f>
        <v/>
      </c>
      <c r="O45" s="31"/>
      <c r="P45" s="4"/>
    </row>
    <row r="46" spans="1:16" s="3" customFormat="1" ht="22.8" x14ac:dyDescent="0.3">
      <c r="A46" s="4"/>
      <c r="B46" s="28">
        <v>40</v>
      </c>
      <c r="C46" s="677" t="str">
        <f>IF(DATA!E44="","",DATA!E44)</f>
        <v/>
      </c>
      <c r="D46" s="29" t="str">
        <f>IF(DATA!C44="","",DATA!C44)</f>
        <v/>
      </c>
      <c r="E46" s="31"/>
      <c r="F46" s="31"/>
      <c r="G46" s="31"/>
      <c r="H46" s="31"/>
      <c r="I46" s="31"/>
      <c r="J46" s="31"/>
      <c r="K46" s="31"/>
      <c r="L46" s="31"/>
      <c r="M46" s="111"/>
      <c r="N46" s="672" t="str">
        <f>IF('GREEN SHEET'!Y46="","",'GREEN SHEET'!Y46)</f>
        <v/>
      </c>
      <c r="O46" s="31"/>
      <c r="P46" s="4"/>
    </row>
    <row r="47" spans="1:16" s="3" customFormat="1" ht="22.8" x14ac:dyDescent="0.3">
      <c r="A47" s="4"/>
      <c r="B47" s="28">
        <v>41</v>
      </c>
      <c r="C47" s="677" t="str">
        <f>IF(DATA!E45="","",DATA!E45)</f>
        <v/>
      </c>
      <c r="D47" s="29" t="str">
        <f>IF(DATA!C45="","",DATA!C45)</f>
        <v/>
      </c>
      <c r="E47" s="31"/>
      <c r="F47" s="31"/>
      <c r="G47" s="31"/>
      <c r="H47" s="31"/>
      <c r="I47" s="31"/>
      <c r="J47" s="31"/>
      <c r="K47" s="31"/>
      <c r="L47" s="31"/>
      <c r="M47" s="111"/>
      <c r="N47" s="672" t="str">
        <f>IF('GREEN SHEET'!Y47="","",'GREEN SHEET'!Y47)</f>
        <v/>
      </c>
      <c r="O47" s="31"/>
      <c r="P47" s="4"/>
    </row>
    <row r="48" spans="1:16" s="3" customFormat="1" ht="22.8" x14ac:dyDescent="0.3">
      <c r="A48" s="4"/>
      <c r="B48" s="28">
        <v>42</v>
      </c>
      <c r="C48" s="677" t="str">
        <f>IF(DATA!E46="","",DATA!E46)</f>
        <v/>
      </c>
      <c r="D48" s="29" t="str">
        <f>IF(DATA!C46="","",DATA!C46)</f>
        <v/>
      </c>
      <c r="E48" s="31"/>
      <c r="F48" s="31"/>
      <c r="G48" s="31"/>
      <c r="H48" s="31"/>
      <c r="I48" s="31"/>
      <c r="J48" s="31"/>
      <c r="K48" s="31"/>
      <c r="L48" s="31"/>
      <c r="M48" s="111"/>
      <c r="N48" s="672" t="str">
        <f>IF('GREEN SHEET'!Y48="","",'GREEN SHEET'!Y48)</f>
        <v/>
      </c>
      <c r="O48" s="31"/>
      <c r="P48" s="4"/>
    </row>
    <row r="49" spans="1:16" s="3" customFormat="1" ht="22.8" x14ac:dyDescent="0.3">
      <c r="A49" s="4"/>
      <c r="B49" s="28">
        <v>43</v>
      </c>
      <c r="C49" s="677" t="str">
        <f>IF(DATA!E47="","",DATA!E47)</f>
        <v/>
      </c>
      <c r="D49" s="29" t="str">
        <f>IF(DATA!C47="","",DATA!C47)</f>
        <v/>
      </c>
      <c r="E49" s="31"/>
      <c r="F49" s="31"/>
      <c r="G49" s="31"/>
      <c r="H49" s="31"/>
      <c r="I49" s="31"/>
      <c r="J49" s="31"/>
      <c r="K49" s="31"/>
      <c r="L49" s="31"/>
      <c r="M49" s="111"/>
      <c r="N49" s="672" t="str">
        <f>IF('GREEN SHEET'!Y49="","",'GREEN SHEET'!Y49)</f>
        <v/>
      </c>
      <c r="O49" s="31"/>
      <c r="P49" s="4"/>
    </row>
    <row r="50" spans="1:16" s="3" customFormat="1" ht="22.8" x14ac:dyDescent="0.3">
      <c r="A50" s="4"/>
      <c r="B50" s="28">
        <v>44</v>
      </c>
      <c r="C50" s="677" t="str">
        <f>IF(DATA!E48="","",DATA!E48)</f>
        <v/>
      </c>
      <c r="D50" s="29" t="str">
        <f>IF(DATA!C48="","",DATA!C48)</f>
        <v/>
      </c>
      <c r="E50" s="31"/>
      <c r="F50" s="31"/>
      <c r="G50" s="31"/>
      <c r="H50" s="31"/>
      <c r="I50" s="31"/>
      <c r="J50" s="31"/>
      <c r="K50" s="31"/>
      <c r="L50" s="31"/>
      <c r="M50" s="111"/>
      <c r="N50" s="672" t="str">
        <f>IF('GREEN SHEET'!Y50="","",'GREEN SHEET'!Y50)</f>
        <v/>
      </c>
      <c r="O50" s="31"/>
      <c r="P50" s="4"/>
    </row>
    <row r="51" spans="1:16" s="3" customFormat="1" ht="23.4" thickBot="1" x14ac:dyDescent="0.35">
      <c r="A51" s="4"/>
      <c r="B51" s="374">
        <v>45</v>
      </c>
      <c r="C51" s="679" t="str">
        <f>IF(DATA!E49="","",DATA!E49)</f>
        <v/>
      </c>
      <c r="D51" s="375" t="str">
        <f>IF(DATA!C49="","",DATA!C49)</f>
        <v/>
      </c>
      <c r="E51" s="210"/>
      <c r="F51" s="210"/>
      <c r="G51" s="210"/>
      <c r="H51" s="210"/>
      <c r="I51" s="210"/>
      <c r="J51" s="210"/>
      <c r="K51" s="210"/>
      <c r="L51" s="210"/>
      <c r="M51" s="111"/>
      <c r="N51" s="672" t="str">
        <f>IF('GREEN SHEET'!Y51="","",'GREEN SHEET'!Y51)</f>
        <v/>
      </c>
      <c r="O51" s="210"/>
      <c r="P51" s="4"/>
    </row>
    <row r="52" spans="1:16" s="3" customFormat="1" ht="54.6" customHeight="1" thickBot="1" x14ac:dyDescent="0.45">
      <c r="A52" s="4"/>
      <c r="B52" s="822" t="s">
        <v>267</v>
      </c>
      <c r="C52" s="823"/>
      <c r="D52" s="824"/>
      <c r="E52" s="825"/>
      <c r="F52" s="826"/>
      <c r="G52" s="826"/>
      <c r="H52" s="826"/>
      <c r="I52" s="826"/>
      <c r="J52" s="826"/>
      <c r="K52" s="826"/>
      <c r="L52" s="826"/>
      <c r="M52" s="826"/>
      <c r="N52" s="826"/>
      <c r="O52" s="827"/>
      <c r="P52" s="4"/>
    </row>
    <row r="53" spans="1:16" s="3" customFormat="1" ht="24" customHeight="1" x14ac:dyDescent="0.3">
      <c r="A53" s="4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49"/>
      <c r="N53" s="22"/>
      <c r="O53" s="22"/>
      <c r="P53" s="4"/>
    </row>
    <row r="54" spans="1:16" hidden="1" x14ac:dyDescent="0.3"/>
  </sheetData>
  <sheetProtection algorithmName="SHA-512" hashValue="t2KnSysxoDFCeXpfCIx+iKvrbqZ37lS9AERHhxfE2ojT6cyq7hN5yj9kyLhEbm9O2yglGCfVusyUPvnB0pNJOg==" saltValue="A4pr/M8HHWIoOAyq2Cggyw==" spinCount="100000" sheet="1" objects="1" scenarios="1" selectLockedCells="1"/>
  <mergeCells count="6">
    <mergeCell ref="B6:D6"/>
    <mergeCell ref="L4:O4"/>
    <mergeCell ref="B2:O2"/>
    <mergeCell ref="B3:O3"/>
    <mergeCell ref="B52:D52"/>
    <mergeCell ref="E52:O52"/>
  </mergeCells>
  <hyperlinks>
    <hyperlink ref="A1" location="DASHBOARD!A1" display="D"/>
  </hyperlinks>
  <pageMargins left="0.32" right="0.21" top="0.2" bottom="0.19" header="0.18" footer="0.27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53"/>
  <sheetViews>
    <sheetView zoomScale="85" zoomScaleNormal="85" workbookViewId="0">
      <selection activeCell="I9" sqref="I9"/>
    </sheetView>
  </sheetViews>
  <sheetFormatPr defaultColWidth="0" defaultRowHeight="0" customHeight="1" zeroHeight="1" x14ac:dyDescent="0.3"/>
  <cols>
    <col min="1" max="1" width="2.44140625" style="3" customWidth="1"/>
    <col min="2" max="2" width="6.44140625" style="34" customWidth="1"/>
    <col min="3" max="3" width="35.33203125" style="34" customWidth="1"/>
    <col min="4" max="4" width="9.5546875" style="34" customWidth="1"/>
    <col min="5" max="5" width="12.6640625" style="35" customWidth="1"/>
    <col min="6" max="6" width="12" style="35" customWidth="1"/>
    <col min="7" max="7" width="15.5546875" style="35" customWidth="1"/>
    <col min="8" max="8" width="12.33203125" style="35" customWidth="1"/>
    <col min="9" max="9" width="12.88671875" style="35" customWidth="1"/>
    <col min="10" max="10" width="14.44140625" style="35" customWidth="1"/>
    <col min="11" max="11" width="2.88671875" style="815" customWidth="1"/>
    <col min="12" max="12" width="14.44140625" style="35" customWidth="1"/>
    <col min="13" max="13" width="10.44140625" style="35" customWidth="1"/>
    <col min="14" max="14" width="4.109375" style="2" customWidth="1"/>
    <col min="15" max="16" width="9.109375" style="1" hidden="1" customWidth="1"/>
    <col min="17" max="17" width="0" style="1" hidden="1" customWidth="1"/>
    <col min="18" max="16384" width="9.109375" style="1" hidden="1"/>
  </cols>
  <sheetData>
    <row r="1" spans="1:14" s="3" customFormat="1" ht="8.25" customHeight="1" x14ac:dyDescent="0.3">
      <c r="A1" s="5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815"/>
      <c r="L1" s="22"/>
      <c r="M1" s="22"/>
      <c r="N1" s="4"/>
    </row>
    <row r="2" spans="1:14" s="3" customFormat="1" ht="20.399999999999999" x14ac:dyDescent="0.3">
      <c r="A2" s="4"/>
      <c r="B2" s="830" t="str">
        <f>DASHBOARD!B2&amp;DASHBOARD!B3</f>
        <v xml:space="preserve">SWAMI VIVEKANAND GOVT. MODEL SCHOOL,  AMET, BLOCK-AMET, RAJSAMAND                                                                </v>
      </c>
      <c r="C2" s="830"/>
      <c r="D2" s="830"/>
      <c r="E2" s="830"/>
      <c r="F2" s="830"/>
      <c r="G2" s="830"/>
      <c r="H2" s="830"/>
      <c r="I2" s="830"/>
      <c r="J2" s="830"/>
      <c r="K2" s="815"/>
      <c r="L2" s="574"/>
      <c r="M2" s="574"/>
      <c r="N2" s="4"/>
    </row>
    <row r="3" spans="1:14" s="3" customFormat="1" ht="22.8" x14ac:dyDescent="0.3">
      <c r="A3" s="4"/>
      <c r="B3" s="820" t="str">
        <f>IF(DASHBOARD!B4="","",DASHBOARD!B4)</f>
        <v>SESSION    -  2025-26</v>
      </c>
      <c r="C3" s="820"/>
      <c r="D3" s="820"/>
      <c r="E3" s="820"/>
      <c r="F3" s="820"/>
      <c r="G3" s="820"/>
      <c r="H3" s="820"/>
      <c r="I3" s="820"/>
      <c r="J3" s="820"/>
      <c r="K3" s="815"/>
      <c r="L3" s="572"/>
      <c r="M3" s="572"/>
      <c r="N3" s="4"/>
    </row>
    <row r="4" spans="1:14" s="13" customFormat="1" ht="24" thickBot="1" x14ac:dyDescent="0.5">
      <c r="A4" s="12"/>
      <c r="B4" s="23"/>
      <c r="C4" s="24" t="s">
        <v>63</v>
      </c>
      <c r="D4" s="23" t="str">
        <f>DASHBOARD!B8&amp;DASHBOARD!C8</f>
        <v>XI A</v>
      </c>
      <c r="E4" s="23"/>
      <c r="F4" s="23"/>
      <c r="G4" s="23"/>
      <c r="H4" s="831" t="s">
        <v>157</v>
      </c>
      <c r="I4" s="831"/>
      <c r="J4" s="831"/>
      <c r="K4" s="815"/>
      <c r="L4" s="43"/>
      <c r="M4" s="43"/>
      <c r="N4" s="12"/>
    </row>
    <row r="5" spans="1:14" s="3" customFormat="1" ht="35.4" thickBot="1" x14ac:dyDescent="0.35">
      <c r="A5" s="4"/>
      <c r="B5" s="680" t="s">
        <v>65</v>
      </c>
      <c r="C5" s="681" t="s">
        <v>64</v>
      </c>
      <c r="D5" s="681" t="s">
        <v>3</v>
      </c>
      <c r="E5" s="682" t="s">
        <v>98</v>
      </c>
      <c r="F5" s="834" t="s">
        <v>99</v>
      </c>
      <c r="G5" s="835"/>
      <c r="H5" s="682" t="s">
        <v>100</v>
      </c>
      <c r="I5" s="836" t="s">
        <v>18</v>
      </c>
      <c r="J5" s="837"/>
      <c r="K5" s="815"/>
      <c r="L5" s="828" t="s">
        <v>41</v>
      </c>
      <c r="M5" s="26" t="s">
        <v>122</v>
      </c>
      <c r="N5" s="4"/>
    </row>
    <row r="6" spans="1:14" s="3" customFormat="1" ht="17.399999999999999" x14ac:dyDescent="0.3">
      <c r="A6" s="4"/>
      <c r="B6" s="686"/>
      <c r="C6" s="687"/>
      <c r="D6" s="687"/>
      <c r="E6" s="688"/>
      <c r="F6" s="688" t="s">
        <v>101</v>
      </c>
      <c r="G6" s="688" t="s">
        <v>102</v>
      </c>
      <c r="H6" s="689"/>
      <c r="I6" s="688" t="s">
        <v>101</v>
      </c>
      <c r="J6" s="690" t="s">
        <v>102</v>
      </c>
      <c r="K6" s="815"/>
      <c r="L6" s="829"/>
      <c r="M6" s="26"/>
      <c r="N6" s="4"/>
    </row>
    <row r="7" spans="1:14" s="3" customFormat="1" ht="26.25" customHeight="1" thickBot="1" x14ac:dyDescent="0.35">
      <c r="A7" s="4"/>
      <c r="B7" s="832" t="s">
        <v>19</v>
      </c>
      <c r="C7" s="833"/>
      <c r="D7" s="833"/>
      <c r="E7" s="691">
        <v>10</v>
      </c>
      <c r="F7" s="691">
        <v>70</v>
      </c>
      <c r="G7" s="691">
        <v>30</v>
      </c>
      <c r="H7" s="691">
        <v>10</v>
      </c>
      <c r="I7" s="691">
        <v>70</v>
      </c>
      <c r="J7" s="692">
        <v>30</v>
      </c>
      <c r="K7" s="815"/>
      <c r="L7" s="576">
        <f>IF('GREEN SHEET'!BJ6="","",'GREEN SHEET'!BJ6)</f>
        <v>76</v>
      </c>
      <c r="M7" s="27">
        <v>70</v>
      </c>
      <c r="N7" s="4"/>
    </row>
    <row r="8" spans="1:14" s="298" customFormat="1" ht="26.25" customHeight="1" x14ac:dyDescent="0.3">
      <c r="A8" s="295"/>
      <c r="B8" s="683">
        <v>1</v>
      </c>
      <c r="C8" s="693" t="str">
        <f>IF(DATA!E5="","",DATA!E5)</f>
        <v>Devendra Sharma</v>
      </c>
      <c r="D8" s="684">
        <f>IF(DATA!C5="","",DATA!C5)</f>
        <v>1101</v>
      </c>
      <c r="E8" s="685">
        <v>9</v>
      </c>
      <c r="F8" s="685">
        <v>62</v>
      </c>
      <c r="G8" s="685">
        <v>29</v>
      </c>
      <c r="H8" s="685">
        <v>10</v>
      </c>
      <c r="I8" s="685">
        <v>35</v>
      </c>
      <c r="J8" s="685">
        <v>29</v>
      </c>
      <c r="K8" s="815"/>
      <c r="L8" s="576">
        <f>IF('GREEN SHEET'!BJ7="","",'GREEN SHEET'!BJ7)</f>
        <v>56</v>
      </c>
      <c r="M8" s="46"/>
      <c r="N8" s="295"/>
    </row>
    <row r="9" spans="1:14" s="298" customFormat="1" ht="26.25" customHeight="1" x14ac:dyDescent="0.3">
      <c r="A9" s="295"/>
      <c r="B9" s="296">
        <v>2</v>
      </c>
      <c r="C9" s="694" t="str">
        <f>IF(DATA!E6="","",DATA!E6)</f>
        <v>DHARA SALVI</v>
      </c>
      <c r="D9" s="297">
        <f>IF(DATA!C6="","",DATA!C6)</f>
        <v>1102</v>
      </c>
      <c r="E9" s="30">
        <v>5</v>
      </c>
      <c r="F9" s="30">
        <v>35</v>
      </c>
      <c r="G9" s="30">
        <v>28</v>
      </c>
      <c r="H9" s="30">
        <v>4</v>
      </c>
      <c r="I9" s="30">
        <v>60</v>
      </c>
      <c r="J9" s="30">
        <v>29</v>
      </c>
      <c r="K9" s="815"/>
      <c r="L9" s="576">
        <f>IF('GREEN SHEET'!BJ8="","",'GREEN SHEET'!BJ8)</f>
        <v>50</v>
      </c>
      <c r="M9" s="46"/>
      <c r="N9" s="295"/>
    </row>
    <row r="10" spans="1:14" s="298" customFormat="1" ht="26.25" customHeight="1" x14ac:dyDescent="0.3">
      <c r="A10" s="295"/>
      <c r="B10" s="296">
        <v>3</v>
      </c>
      <c r="C10" s="694" t="str">
        <f>IF(DATA!E7="","",DATA!E7)</f>
        <v>HARSHIKA RAO</v>
      </c>
      <c r="D10" s="297">
        <f>IF(DATA!C7="","",DATA!C7)</f>
        <v>1103</v>
      </c>
      <c r="E10" s="30">
        <v>7</v>
      </c>
      <c r="F10" s="30">
        <v>50</v>
      </c>
      <c r="G10" s="30">
        <v>28</v>
      </c>
      <c r="H10" s="30">
        <v>8</v>
      </c>
      <c r="I10" s="30">
        <v>40</v>
      </c>
      <c r="J10" s="30">
        <v>29</v>
      </c>
      <c r="K10" s="815"/>
      <c r="L10" s="576">
        <f>IF('GREEN SHEET'!BJ9="","",'GREEN SHEET'!BJ9)</f>
        <v>50</v>
      </c>
      <c r="M10" s="46"/>
      <c r="N10" s="295"/>
    </row>
    <row r="11" spans="1:14" s="298" customFormat="1" ht="26.25" customHeight="1" x14ac:dyDescent="0.3">
      <c r="A11" s="295"/>
      <c r="B11" s="296">
        <v>4</v>
      </c>
      <c r="C11" s="694" t="str">
        <f>IF(DATA!E8="","",DATA!E8)</f>
        <v/>
      </c>
      <c r="D11" s="297" t="str">
        <f>IF(DATA!C8="","",DATA!C8)</f>
        <v/>
      </c>
      <c r="E11" s="30"/>
      <c r="F11" s="30"/>
      <c r="G11" s="30"/>
      <c r="H11" s="30"/>
      <c r="I11" s="30"/>
      <c r="J11" s="30"/>
      <c r="K11" s="815"/>
      <c r="L11" s="576" t="str">
        <f>IF('GREEN SHEET'!BJ10="","",'GREEN SHEET'!BJ10)</f>
        <v/>
      </c>
      <c r="M11" s="46"/>
      <c r="N11" s="295"/>
    </row>
    <row r="12" spans="1:14" s="298" customFormat="1" ht="26.25" customHeight="1" x14ac:dyDescent="0.3">
      <c r="A12" s="295"/>
      <c r="B12" s="296">
        <v>5</v>
      </c>
      <c r="C12" s="694" t="str">
        <f>IF(DATA!E9="","",DATA!E9)</f>
        <v/>
      </c>
      <c r="D12" s="297" t="str">
        <f>IF(DATA!C9="","",DATA!C9)</f>
        <v/>
      </c>
      <c r="E12" s="30"/>
      <c r="F12" s="30"/>
      <c r="G12" s="30"/>
      <c r="H12" s="30"/>
      <c r="I12" s="30"/>
      <c r="J12" s="30"/>
      <c r="K12" s="815"/>
      <c r="L12" s="576" t="str">
        <f>IF('GREEN SHEET'!BJ11="","",'GREEN SHEET'!BJ11)</f>
        <v/>
      </c>
      <c r="M12" s="46"/>
      <c r="N12" s="295"/>
    </row>
    <row r="13" spans="1:14" s="298" customFormat="1" ht="26.25" customHeight="1" x14ac:dyDescent="0.3">
      <c r="A13" s="295"/>
      <c r="B13" s="296">
        <v>6</v>
      </c>
      <c r="C13" s="694" t="str">
        <f>IF(DATA!E10="","",DATA!E10)</f>
        <v/>
      </c>
      <c r="D13" s="297" t="str">
        <f>IF(DATA!C10="","",DATA!C10)</f>
        <v/>
      </c>
      <c r="E13" s="30"/>
      <c r="F13" s="30"/>
      <c r="G13" s="30"/>
      <c r="H13" s="30"/>
      <c r="I13" s="30"/>
      <c r="J13" s="30"/>
      <c r="K13" s="815"/>
      <c r="L13" s="576" t="str">
        <f>IF('GREEN SHEET'!BJ12="","",'GREEN SHEET'!BJ12)</f>
        <v/>
      </c>
      <c r="M13" s="46"/>
      <c r="N13" s="295"/>
    </row>
    <row r="14" spans="1:14" s="298" customFormat="1" ht="26.25" customHeight="1" x14ac:dyDescent="0.3">
      <c r="A14" s="295"/>
      <c r="B14" s="296">
        <v>7</v>
      </c>
      <c r="C14" s="694" t="str">
        <f>IF(DATA!E11="","",DATA!E11)</f>
        <v/>
      </c>
      <c r="D14" s="297" t="str">
        <f>IF(DATA!C11="","",DATA!C11)</f>
        <v/>
      </c>
      <c r="E14" s="30"/>
      <c r="F14" s="30"/>
      <c r="G14" s="30"/>
      <c r="H14" s="30"/>
      <c r="I14" s="30"/>
      <c r="J14" s="30"/>
      <c r="K14" s="815"/>
      <c r="L14" s="576" t="str">
        <f>IF('GREEN SHEET'!BJ13="","",'GREEN SHEET'!BJ13)</f>
        <v/>
      </c>
      <c r="M14" s="46"/>
      <c r="N14" s="295"/>
    </row>
    <row r="15" spans="1:14" s="298" customFormat="1" ht="26.25" customHeight="1" x14ac:dyDescent="0.3">
      <c r="A15" s="295"/>
      <c r="B15" s="296">
        <v>8</v>
      </c>
      <c r="C15" s="694" t="str">
        <f>IF(DATA!E12="","",DATA!E12)</f>
        <v/>
      </c>
      <c r="D15" s="297" t="str">
        <f>IF(DATA!C12="","",DATA!C12)</f>
        <v/>
      </c>
      <c r="E15" s="30"/>
      <c r="F15" s="30"/>
      <c r="G15" s="30"/>
      <c r="H15" s="30"/>
      <c r="I15" s="30"/>
      <c r="J15" s="30"/>
      <c r="K15" s="815"/>
      <c r="L15" s="576" t="str">
        <f>IF('GREEN SHEET'!BJ14="","",'GREEN SHEET'!BJ14)</f>
        <v/>
      </c>
      <c r="M15" s="46"/>
      <c r="N15" s="295"/>
    </row>
    <row r="16" spans="1:14" s="298" customFormat="1" ht="26.25" customHeight="1" x14ac:dyDescent="0.3">
      <c r="A16" s="295"/>
      <c r="B16" s="296">
        <v>9</v>
      </c>
      <c r="C16" s="694" t="str">
        <f>IF(DATA!E13="","",DATA!E13)</f>
        <v/>
      </c>
      <c r="D16" s="297" t="str">
        <f>IF(DATA!C13="","",DATA!C13)</f>
        <v/>
      </c>
      <c r="E16" s="30"/>
      <c r="F16" s="30"/>
      <c r="G16" s="30"/>
      <c r="H16" s="30"/>
      <c r="I16" s="30"/>
      <c r="J16" s="30"/>
      <c r="K16" s="815"/>
      <c r="L16" s="576" t="str">
        <f>IF('GREEN SHEET'!BJ15="","",'GREEN SHEET'!BJ15)</f>
        <v/>
      </c>
      <c r="M16" s="46"/>
      <c r="N16" s="295"/>
    </row>
    <row r="17" spans="1:14" s="298" customFormat="1" ht="26.25" customHeight="1" x14ac:dyDescent="0.3">
      <c r="A17" s="295"/>
      <c r="B17" s="296">
        <v>10</v>
      </c>
      <c r="C17" s="694" t="str">
        <f>IF(DATA!E14="","",DATA!E14)</f>
        <v/>
      </c>
      <c r="D17" s="297" t="str">
        <f>IF(DATA!C14="","",DATA!C14)</f>
        <v/>
      </c>
      <c r="E17" s="30"/>
      <c r="F17" s="30"/>
      <c r="G17" s="30"/>
      <c r="H17" s="30"/>
      <c r="I17" s="30"/>
      <c r="J17" s="30"/>
      <c r="K17" s="815"/>
      <c r="L17" s="576" t="str">
        <f>IF('GREEN SHEET'!BJ16="","",'GREEN SHEET'!BJ16)</f>
        <v/>
      </c>
      <c r="M17" s="46"/>
      <c r="N17" s="295"/>
    </row>
    <row r="18" spans="1:14" s="298" customFormat="1" ht="26.25" customHeight="1" x14ac:dyDescent="0.3">
      <c r="A18" s="295"/>
      <c r="B18" s="296">
        <v>11</v>
      </c>
      <c r="C18" s="694" t="str">
        <f>IF(DATA!E15="","",DATA!E15)</f>
        <v/>
      </c>
      <c r="D18" s="297" t="str">
        <f>IF(DATA!C15="","",DATA!C15)</f>
        <v/>
      </c>
      <c r="E18" s="30"/>
      <c r="F18" s="30"/>
      <c r="G18" s="30"/>
      <c r="H18" s="30"/>
      <c r="I18" s="30"/>
      <c r="J18" s="30"/>
      <c r="K18" s="815"/>
      <c r="L18" s="576" t="str">
        <f>IF('GREEN SHEET'!BJ17="","",'GREEN SHEET'!BJ17)</f>
        <v/>
      </c>
      <c r="M18" s="46"/>
      <c r="N18" s="295"/>
    </row>
    <row r="19" spans="1:14" s="298" customFormat="1" ht="26.25" customHeight="1" x14ac:dyDescent="0.3">
      <c r="A19" s="295"/>
      <c r="B19" s="296">
        <v>12</v>
      </c>
      <c r="C19" s="694" t="str">
        <f>IF(DATA!E16="","",DATA!E16)</f>
        <v/>
      </c>
      <c r="D19" s="297" t="str">
        <f>IF(DATA!C16="","",DATA!C16)</f>
        <v/>
      </c>
      <c r="E19" s="30"/>
      <c r="F19" s="30"/>
      <c r="G19" s="30"/>
      <c r="H19" s="30"/>
      <c r="I19" s="30"/>
      <c r="J19" s="30"/>
      <c r="K19" s="815"/>
      <c r="L19" s="576" t="str">
        <f>IF('GREEN SHEET'!BJ18="","",'GREEN SHEET'!BJ18)</f>
        <v/>
      </c>
      <c r="M19" s="46"/>
      <c r="N19" s="295"/>
    </row>
    <row r="20" spans="1:14" s="298" customFormat="1" ht="26.25" customHeight="1" x14ac:dyDescent="0.3">
      <c r="A20" s="295"/>
      <c r="B20" s="296">
        <v>13</v>
      </c>
      <c r="C20" s="694" t="str">
        <f>IF(DATA!E17="","",DATA!E17)</f>
        <v/>
      </c>
      <c r="D20" s="297" t="str">
        <f>IF(DATA!C17="","",DATA!C17)</f>
        <v/>
      </c>
      <c r="E20" s="30"/>
      <c r="F20" s="30"/>
      <c r="G20" s="30"/>
      <c r="H20" s="30"/>
      <c r="I20" s="30"/>
      <c r="J20" s="30"/>
      <c r="K20" s="815"/>
      <c r="L20" s="576" t="str">
        <f>IF('GREEN SHEET'!BJ19="","",'GREEN SHEET'!BJ19)</f>
        <v/>
      </c>
      <c r="M20" s="46"/>
      <c r="N20" s="295"/>
    </row>
    <row r="21" spans="1:14" s="298" customFormat="1" ht="26.25" customHeight="1" x14ac:dyDescent="0.3">
      <c r="A21" s="295"/>
      <c r="B21" s="296">
        <v>14</v>
      </c>
      <c r="C21" s="694" t="str">
        <f>IF(DATA!E18="","",DATA!E18)</f>
        <v/>
      </c>
      <c r="D21" s="297" t="str">
        <f>IF(DATA!C18="","",DATA!C18)</f>
        <v/>
      </c>
      <c r="E21" s="30"/>
      <c r="F21" s="30"/>
      <c r="G21" s="30"/>
      <c r="H21" s="30"/>
      <c r="I21" s="30"/>
      <c r="J21" s="30"/>
      <c r="K21" s="815"/>
      <c r="L21" s="576" t="str">
        <f>IF('GREEN SHEET'!BJ20="","",'GREEN SHEET'!BJ20)</f>
        <v/>
      </c>
      <c r="M21" s="46"/>
      <c r="N21" s="295"/>
    </row>
    <row r="22" spans="1:14" s="298" customFormat="1" ht="26.25" customHeight="1" x14ac:dyDescent="0.3">
      <c r="A22" s="295"/>
      <c r="B22" s="296">
        <v>15</v>
      </c>
      <c r="C22" s="694" t="str">
        <f>IF(DATA!E19="","",DATA!E19)</f>
        <v/>
      </c>
      <c r="D22" s="297" t="str">
        <f>IF(DATA!C19="","",DATA!C19)</f>
        <v/>
      </c>
      <c r="E22" s="30"/>
      <c r="F22" s="30"/>
      <c r="G22" s="30"/>
      <c r="H22" s="30"/>
      <c r="I22" s="30"/>
      <c r="J22" s="30"/>
      <c r="K22" s="815"/>
      <c r="L22" s="576" t="str">
        <f>IF('GREEN SHEET'!BJ21="","",'GREEN SHEET'!BJ21)</f>
        <v/>
      </c>
      <c r="M22" s="46"/>
      <c r="N22" s="295"/>
    </row>
    <row r="23" spans="1:14" s="298" customFormat="1" ht="26.25" customHeight="1" x14ac:dyDescent="0.3">
      <c r="A23" s="295"/>
      <c r="B23" s="296">
        <v>16</v>
      </c>
      <c r="C23" s="694" t="str">
        <f>IF(DATA!E20="","",DATA!E20)</f>
        <v/>
      </c>
      <c r="D23" s="297" t="str">
        <f>IF(DATA!C20="","",DATA!C20)</f>
        <v/>
      </c>
      <c r="E23" s="30"/>
      <c r="F23" s="30"/>
      <c r="G23" s="30"/>
      <c r="H23" s="30"/>
      <c r="I23" s="30"/>
      <c r="J23" s="30"/>
      <c r="K23" s="815"/>
      <c r="L23" s="576" t="str">
        <f>IF('GREEN SHEET'!BJ22="","",'GREEN SHEET'!BJ22)</f>
        <v/>
      </c>
      <c r="M23" s="46"/>
      <c r="N23" s="295"/>
    </row>
    <row r="24" spans="1:14" s="298" customFormat="1" ht="26.25" customHeight="1" x14ac:dyDescent="0.3">
      <c r="A24" s="295"/>
      <c r="B24" s="296">
        <v>17</v>
      </c>
      <c r="C24" s="694" t="str">
        <f>IF(DATA!E21="","",DATA!E21)</f>
        <v/>
      </c>
      <c r="D24" s="297" t="str">
        <f>IF(DATA!C21="","",DATA!C21)</f>
        <v/>
      </c>
      <c r="E24" s="30"/>
      <c r="F24" s="30"/>
      <c r="G24" s="30"/>
      <c r="H24" s="30"/>
      <c r="I24" s="30"/>
      <c r="J24" s="30"/>
      <c r="K24" s="815"/>
      <c r="L24" s="576" t="str">
        <f>IF('GREEN SHEET'!BJ23="","",'GREEN SHEET'!BJ23)</f>
        <v/>
      </c>
      <c r="M24" s="46"/>
      <c r="N24" s="295"/>
    </row>
    <row r="25" spans="1:14" s="298" customFormat="1" ht="26.25" customHeight="1" x14ac:dyDescent="0.3">
      <c r="A25" s="295"/>
      <c r="B25" s="296">
        <v>18</v>
      </c>
      <c r="C25" s="694" t="str">
        <f>IF(DATA!E22="","",DATA!E22)</f>
        <v/>
      </c>
      <c r="D25" s="297" t="str">
        <f>IF(DATA!C22="","",DATA!C22)</f>
        <v/>
      </c>
      <c r="E25" s="30"/>
      <c r="F25" s="30"/>
      <c r="G25" s="30"/>
      <c r="H25" s="30"/>
      <c r="I25" s="30"/>
      <c r="J25" s="30"/>
      <c r="K25" s="815"/>
      <c r="L25" s="576" t="str">
        <f>IF('GREEN SHEET'!BJ24="","",'GREEN SHEET'!BJ24)</f>
        <v/>
      </c>
      <c r="M25" s="46"/>
      <c r="N25" s="295"/>
    </row>
    <row r="26" spans="1:14" s="298" customFormat="1" ht="26.25" customHeight="1" x14ac:dyDescent="0.3">
      <c r="A26" s="295"/>
      <c r="B26" s="296">
        <v>19</v>
      </c>
      <c r="C26" s="694" t="str">
        <f>IF(DATA!E23="","",DATA!E23)</f>
        <v/>
      </c>
      <c r="D26" s="297" t="str">
        <f>IF(DATA!C23="","",DATA!C23)</f>
        <v/>
      </c>
      <c r="E26" s="30"/>
      <c r="F26" s="30"/>
      <c r="G26" s="30"/>
      <c r="H26" s="30"/>
      <c r="I26" s="30"/>
      <c r="J26" s="30"/>
      <c r="K26" s="815"/>
      <c r="L26" s="576" t="str">
        <f>IF('GREEN SHEET'!BJ25="","",'GREEN SHEET'!BJ25)</f>
        <v/>
      </c>
      <c r="M26" s="46"/>
      <c r="N26" s="295"/>
    </row>
    <row r="27" spans="1:14" s="298" customFormat="1" ht="26.25" customHeight="1" x14ac:dyDescent="0.3">
      <c r="A27" s="295"/>
      <c r="B27" s="296">
        <v>20</v>
      </c>
      <c r="C27" s="694" t="str">
        <f>IF(DATA!E24="","",DATA!E24)</f>
        <v/>
      </c>
      <c r="D27" s="297" t="str">
        <f>IF(DATA!C24="","",DATA!C24)</f>
        <v/>
      </c>
      <c r="E27" s="30"/>
      <c r="F27" s="30"/>
      <c r="G27" s="30"/>
      <c r="H27" s="30"/>
      <c r="I27" s="30"/>
      <c r="J27" s="30"/>
      <c r="K27" s="815"/>
      <c r="L27" s="576" t="str">
        <f>IF('GREEN SHEET'!BJ26="","",'GREEN SHEET'!BJ26)</f>
        <v/>
      </c>
      <c r="M27" s="46"/>
      <c r="N27" s="295"/>
    </row>
    <row r="28" spans="1:14" s="298" customFormat="1" ht="26.25" customHeight="1" x14ac:dyDescent="0.3">
      <c r="A28" s="295"/>
      <c r="B28" s="296">
        <v>21</v>
      </c>
      <c r="C28" s="694" t="str">
        <f>IF(DATA!E25="","",DATA!E25)</f>
        <v/>
      </c>
      <c r="D28" s="297" t="str">
        <f>IF(DATA!C25="","",DATA!C25)</f>
        <v/>
      </c>
      <c r="E28" s="30"/>
      <c r="F28" s="30"/>
      <c r="G28" s="30"/>
      <c r="H28" s="30"/>
      <c r="I28" s="30"/>
      <c r="J28" s="30"/>
      <c r="K28" s="815"/>
      <c r="L28" s="576" t="str">
        <f>IF('GREEN SHEET'!BJ27="","",'GREEN SHEET'!BJ27)</f>
        <v/>
      </c>
      <c r="M28" s="46"/>
      <c r="N28" s="295"/>
    </row>
    <row r="29" spans="1:14" s="298" customFormat="1" ht="26.25" customHeight="1" x14ac:dyDescent="0.3">
      <c r="A29" s="295"/>
      <c r="B29" s="296">
        <v>22</v>
      </c>
      <c r="C29" s="694" t="str">
        <f>IF(DATA!E26="","",DATA!E26)</f>
        <v/>
      </c>
      <c r="D29" s="297" t="str">
        <f>IF(DATA!C26="","",DATA!C26)</f>
        <v/>
      </c>
      <c r="E29" s="30"/>
      <c r="F29" s="30"/>
      <c r="G29" s="30"/>
      <c r="H29" s="30"/>
      <c r="I29" s="30"/>
      <c r="J29" s="30"/>
      <c r="K29" s="815"/>
      <c r="L29" s="576" t="str">
        <f>IF('GREEN SHEET'!BJ28="","",'GREEN SHEET'!BJ28)</f>
        <v/>
      </c>
      <c r="M29" s="46"/>
      <c r="N29" s="295"/>
    </row>
    <row r="30" spans="1:14" s="298" customFormat="1" ht="26.25" customHeight="1" x14ac:dyDescent="0.3">
      <c r="A30" s="295"/>
      <c r="B30" s="296">
        <v>23</v>
      </c>
      <c r="C30" s="694" t="str">
        <f>IF(DATA!E27="","",DATA!E27)</f>
        <v/>
      </c>
      <c r="D30" s="297" t="str">
        <f>IF(DATA!C27="","",DATA!C27)</f>
        <v/>
      </c>
      <c r="E30" s="30"/>
      <c r="F30" s="30"/>
      <c r="G30" s="30"/>
      <c r="H30" s="30"/>
      <c r="I30" s="30"/>
      <c r="J30" s="30"/>
      <c r="K30" s="815"/>
      <c r="L30" s="576" t="str">
        <f>IF('GREEN SHEET'!BJ29="","",'GREEN SHEET'!BJ29)</f>
        <v/>
      </c>
      <c r="M30" s="46"/>
      <c r="N30" s="295"/>
    </row>
    <row r="31" spans="1:14" s="298" customFormat="1" ht="26.25" customHeight="1" x14ac:dyDescent="0.3">
      <c r="A31" s="295"/>
      <c r="B31" s="296">
        <v>24</v>
      </c>
      <c r="C31" s="694" t="str">
        <f>IF(DATA!E28="","",DATA!E28)</f>
        <v/>
      </c>
      <c r="D31" s="297" t="str">
        <f>IF(DATA!C28="","",DATA!C28)</f>
        <v/>
      </c>
      <c r="E31" s="30"/>
      <c r="F31" s="30"/>
      <c r="G31" s="30"/>
      <c r="H31" s="30"/>
      <c r="I31" s="30"/>
      <c r="J31" s="30"/>
      <c r="K31" s="815"/>
      <c r="L31" s="576" t="str">
        <f>IF('GREEN SHEET'!BJ30="","",'GREEN SHEET'!BJ30)</f>
        <v/>
      </c>
      <c r="M31" s="46"/>
      <c r="N31" s="295"/>
    </row>
    <row r="32" spans="1:14" s="298" customFormat="1" ht="26.25" customHeight="1" x14ac:dyDescent="0.3">
      <c r="A32" s="295"/>
      <c r="B32" s="296">
        <v>25</v>
      </c>
      <c r="C32" s="694" t="str">
        <f>IF(DATA!E29="","",DATA!E29)</f>
        <v/>
      </c>
      <c r="D32" s="297" t="str">
        <f>IF(DATA!C29="","",DATA!C29)</f>
        <v/>
      </c>
      <c r="E32" s="30"/>
      <c r="F32" s="30"/>
      <c r="G32" s="30"/>
      <c r="H32" s="30"/>
      <c r="I32" s="30"/>
      <c r="J32" s="30"/>
      <c r="K32" s="815"/>
      <c r="L32" s="576" t="str">
        <f>IF('GREEN SHEET'!BJ31="","",'GREEN SHEET'!BJ31)</f>
        <v/>
      </c>
      <c r="M32" s="46"/>
      <c r="N32" s="295"/>
    </row>
    <row r="33" spans="1:14" s="298" customFormat="1" ht="26.25" customHeight="1" x14ac:dyDescent="0.3">
      <c r="A33" s="295"/>
      <c r="B33" s="296">
        <v>26</v>
      </c>
      <c r="C33" s="694" t="str">
        <f>IF(DATA!E30="","",DATA!E30)</f>
        <v/>
      </c>
      <c r="D33" s="297" t="str">
        <f>IF(DATA!C30="","",DATA!C30)</f>
        <v/>
      </c>
      <c r="E33" s="30"/>
      <c r="F33" s="30"/>
      <c r="G33" s="30"/>
      <c r="H33" s="30"/>
      <c r="I33" s="30"/>
      <c r="J33" s="30"/>
      <c r="K33" s="815"/>
      <c r="L33" s="576" t="str">
        <f>IF('GREEN SHEET'!BJ32="","",'GREEN SHEET'!BJ32)</f>
        <v/>
      </c>
      <c r="M33" s="46"/>
      <c r="N33" s="295"/>
    </row>
    <row r="34" spans="1:14" s="298" customFormat="1" ht="26.25" customHeight="1" x14ac:dyDescent="0.3">
      <c r="A34" s="295"/>
      <c r="B34" s="296">
        <v>27</v>
      </c>
      <c r="C34" s="694" t="str">
        <f>IF(DATA!E31="","",DATA!E31)</f>
        <v/>
      </c>
      <c r="D34" s="297" t="str">
        <f>IF(DATA!C31="","",DATA!C31)</f>
        <v/>
      </c>
      <c r="E34" s="30"/>
      <c r="F34" s="30"/>
      <c r="G34" s="30"/>
      <c r="H34" s="30"/>
      <c r="I34" s="30"/>
      <c r="J34" s="30"/>
      <c r="K34" s="815"/>
      <c r="L34" s="576" t="str">
        <f>IF('GREEN SHEET'!BJ33="","",'GREEN SHEET'!BJ33)</f>
        <v/>
      </c>
      <c r="M34" s="46"/>
      <c r="N34" s="295"/>
    </row>
    <row r="35" spans="1:14" s="298" customFormat="1" ht="26.25" customHeight="1" x14ac:dyDescent="0.3">
      <c r="A35" s="295"/>
      <c r="B35" s="296">
        <v>28</v>
      </c>
      <c r="C35" s="694" t="str">
        <f>IF(DATA!E32="","",DATA!E32)</f>
        <v/>
      </c>
      <c r="D35" s="297" t="str">
        <f>IF(DATA!C32="","",DATA!C32)</f>
        <v/>
      </c>
      <c r="E35" s="30"/>
      <c r="F35" s="30"/>
      <c r="G35" s="30"/>
      <c r="H35" s="30"/>
      <c r="I35" s="30"/>
      <c r="J35" s="30"/>
      <c r="K35" s="815"/>
      <c r="L35" s="576" t="str">
        <f>IF('GREEN SHEET'!BJ34="","",'GREEN SHEET'!BJ34)</f>
        <v/>
      </c>
      <c r="M35" s="46"/>
      <c r="N35" s="295"/>
    </row>
    <row r="36" spans="1:14" s="298" customFormat="1" ht="26.25" customHeight="1" x14ac:dyDescent="0.3">
      <c r="A36" s="295"/>
      <c r="B36" s="296">
        <v>29</v>
      </c>
      <c r="C36" s="694" t="str">
        <f>IF(DATA!E33="","",DATA!E33)</f>
        <v/>
      </c>
      <c r="D36" s="297" t="str">
        <f>IF(DATA!C33="","",DATA!C33)</f>
        <v/>
      </c>
      <c r="E36" s="30"/>
      <c r="F36" s="30"/>
      <c r="G36" s="30"/>
      <c r="H36" s="30"/>
      <c r="I36" s="30"/>
      <c r="J36" s="30"/>
      <c r="K36" s="815"/>
      <c r="L36" s="576" t="str">
        <f>IF('GREEN SHEET'!BJ35="","",'GREEN SHEET'!BJ35)</f>
        <v/>
      </c>
      <c r="M36" s="46"/>
      <c r="N36" s="295"/>
    </row>
    <row r="37" spans="1:14" s="298" customFormat="1" ht="26.25" customHeight="1" x14ac:dyDescent="0.3">
      <c r="A37" s="295"/>
      <c r="B37" s="296">
        <v>30</v>
      </c>
      <c r="C37" s="694" t="str">
        <f>IF(DATA!E34="","",DATA!E34)</f>
        <v/>
      </c>
      <c r="D37" s="297" t="str">
        <f>IF(DATA!C34="","",DATA!C34)</f>
        <v/>
      </c>
      <c r="E37" s="30"/>
      <c r="F37" s="30"/>
      <c r="G37" s="30"/>
      <c r="H37" s="30"/>
      <c r="I37" s="30"/>
      <c r="J37" s="30"/>
      <c r="K37" s="815"/>
      <c r="L37" s="576" t="str">
        <f>IF('GREEN SHEET'!BJ36="","",'GREEN SHEET'!BJ36)</f>
        <v/>
      </c>
      <c r="M37" s="46"/>
      <c r="N37" s="295"/>
    </row>
    <row r="38" spans="1:14" s="298" customFormat="1" ht="26.25" customHeight="1" x14ac:dyDescent="0.3">
      <c r="A38" s="295"/>
      <c r="B38" s="296">
        <v>31</v>
      </c>
      <c r="C38" s="694" t="str">
        <f>IF(DATA!E35="","",DATA!E35)</f>
        <v/>
      </c>
      <c r="D38" s="297" t="str">
        <f>IF(DATA!C35="","",DATA!C35)</f>
        <v/>
      </c>
      <c r="E38" s="30"/>
      <c r="F38" s="30"/>
      <c r="G38" s="30"/>
      <c r="H38" s="30"/>
      <c r="I38" s="30"/>
      <c r="J38" s="30"/>
      <c r="K38" s="815"/>
      <c r="L38" s="576" t="str">
        <f>IF('GREEN SHEET'!BJ37="","",'GREEN SHEET'!BJ37)</f>
        <v/>
      </c>
      <c r="M38" s="46"/>
      <c r="N38" s="295"/>
    </row>
    <row r="39" spans="1:14" s="298" customFormat="1" ht="26.25" customHeight="1" x14ac:dyDescent="0.3">
      <c r="A39" s="295"/>
      <c r="B39" s="296">
        <v>32</v>
      </c>
      <c r="C39" s="694" t="str">
        <f>IF(DATA!E36="","",DATA!E36)</f>
        <v/>
      </c>
      <c r="D39" s="297" t="str">
        <f>IF(DATA!C36="","",DATA!C36)</f>
        <v/>
      </c>
      <c r="E39" s="30"/>
      <c r="F39" s="30"/>
      <c r="G39" s="30"/>
      <c r="H39" s="30"/>
      <c r="I39" s="30"/>
      <c r="J39" s="30"/>
      <c r="K39" s="815"/>
      <c r="L39" s="576" t="str">
        <f>IF('GREEN SHEET'!BJ38="","",'GREEN SHEET'!BJ38)</f>
        <v/>
      </c>
      <c r="M39" s="46"/>
      <c r="N39" s="295"/>
    </row>
    <row r="40" spans="1:14" s="298" customFormat="1" ht="26.25" customHeight="1" x14ac:dyDescent="0.3">
      <c r="A40" s="295"/>
      <c r="B40" s="296">
        <v>33</v>
      </c>
      <c r="C40" s="694" t="str">
        <f>IF(DATA!E37="","",DATA!E37)</f>
        <v/>
      </c>
      <c r="D40" s="297" t="str">
        <f>IF(DATA!C37="","",DATA!C37)</f>
        <v/>
      </c>
      <c r="E40" s="30"/>
      <c r="F40" s="30"/>
      <c r="G40" s="30"/>
      <c r="H40" s="30"/>
      <c r="I40" s="30"/>
      <c r="J40" s="30"/>
      <c r="K40" s="815"/>
      <c r="L40" s="576" t="str">
        <f>IF('GREEN SHEET'!BJ39="","",'GREEN SHEET'!BJ39)</f>
        <v/>
      </c>
      <c r="M40" s="46"/>
      <c r="N40" s="295"/>
    </row>
    <row r="41" spans="1:14" s="298" customFormat="1" ht="20.399999999999999" x14ac:dyDescent="0.3">
      <c r="A41" s="295"/>
      <c r="B41" s="296">
        <v>34</v>
      </c>
      <c r="C41" s="694" t="str">
        <f>IF(DATA!E38="","",DATA!E38)</f>
        <v/>
      </c>
      <c r="D41" s="297" t="str">
        <f>IF(DATA!C38="","",DATA!C38)</f>
        <v/>
      </c>
      <c r="E41" s="30"/>
      <c r="F41" s="30"/>
      <c r="G41" s="30"/>
      <c r="H41" s="30"/>
      <c r="I41" s="30"/>
      <c r="J41" s="30"/>
      <c r="K41" s="815"/>
      <c r="L41" s="576" t="str">
        <f>IF('GREEN SHEET'!BJ40="","",'GREEN SHEET'!BJ40)</f>
        <v/>
      </c>
      <c r="M41" s="46"/>
      <c r="N41" s="295"/>
    </row>
    <row r="42" spans="1:14" s="298" customFormat="1" ht="17.399999999999999" x14ac:dyDescent="0.3">
      <c r="A42" s="295"/>
      <c r="B42" s="296">
        <v>35</v>
      </c>
      <c r="C42" s="694" t="str">
        <f>IF(DATA!E39="","",DATA!E39)</f>
        <v/>
      </c>
      <c r="D42" s="297" t="str">
        <f>IF(DATA!C39="","",DATA!C39)</f>
        <v/>
      </c>
      <c r="E42" s="46"/>
      <c r="F42" s="46"/>
      <c r="G42" s="46"/>
      <c r="H42" s="46"/>
      <c r="I42" s="46"/>
      <c r="J42" s="46"/>
      <c r="K42" s="815"/>
      <c r="L42" s="576" t="str">
        <f>IF('GREEN SHEET'!BJ41="","",'GREEN SHEET'!BJ41)</f>
        <v/>
      </c>
      <c r="M42" s="46"/>
      <c r="N42" s="295"/>
    </row>
    <row r="43" spans="1:14" s="298" customFormat="1" ht="17.399999999999999" x14ac:dyDescent="0.3">
      <c r="A43" s="295"/>
      <c r="B43" s="296">
        <v>36</v>
      </c>
      <c r="C43" s="694" t="str">
        <f>IF(DATA!E40="","",DATA!E40)</f>
        <v/>
      </c>
      <c r="D43" s="297" t="str">
        <f>IF(DATA!C40="","",DATA!C40)</f>
        <v/>
      </c>
      <c r="E43" s="46"/>
      <c r="F43" s="46"/>
      <c r="G43" s="46"/>
      <c r="H43" s="46"/>
      <c r="I43" s="46"/>
      <c r="J43" s="46"/>
      <c r="K43" s="815"/>
      <c r="L43" s="576" t="str">
        <f>IF('GREEN SHEET'!BJ42="","",'GREEN SHEET'!BJ42)</f>
        <v/>
      </c>
      <c r="M43" s="46"/>
      <c r="N43" s="295"/>
    </row>
    <row r="44" spans="1:14" s="298" customFormat="1" ht="17.399999999999999" x14ac:dyDescent="0.3">
      <c r="A44" s="295"/>
      <c r="B44" s="296">
        <v>37</v>
      </c>
      <c r="C44" s="694" t="str">
        <f>IF(DATA!E41="","",DATA!E41)</f>
        <v/>
      </c>
      <c r="D44" s="297" t="str">
        <f>IF(DATA!C41="","",DATA!C41)</f>
        <v/>
      </c>
      <c r="E44" s="46"/>
      <c r="F44" s="46"/>
      <c r="G44" s="46"/>
      <c r="H44" s="46"/>
      <c r="I44" s="46"/>
      <c r="J44" s="46"/>
      <c r="K44" s="815"/>
      <c r="L44" s="576" t="str">
        <f>IF('GREEN SHEET'!BJ43="","",'GREEN SHEET'!BJ43)</f>
        <v/>
      </c>
      <c r="M44" s="46"/>
      <c r="N44" s="295"/>
    </row>
    <row r="45" spans="1:14" s="298" customFormat="1" ht="17.399999999999999" x14ac:dyDescent="0.3">
      <c r="A45" s="295"/>
      <c r="B45" s="296">
        <v>38</v>
      </c>
      <c r="C45" s="694" t="str">
        <f>IF(DATA!E42="","",DATA!E42)</f>
        <v/>
      </c>
      <c r="D45" s="297" t="str">
        <f>IF(DATA!C42="","",DATA!C42)</f>
        <v/>
      </c>
      <c r="E45" s="46"/>
      <c r="F45" s="46"/>
      <c r="G45" s="46"/>
      <c r="H45" s="46"/>
      <c r="I45" s="46"/>
      <c r="J45" s="46"/>
      <c r="K45" s="815"/>
      <c r="L45" s="576" t="str">
        <f>IF('GREEN SHEET'!BJ44="","",'GREEN SHEET'!BJ44)</f>
        <v/>
      </c>
      <c r="M45" s="46"/>
      <c r="N45" s="295"/>
    </row>
    <row r="46" spans="1:14" s="298" customFormat="1" ht="17.399999999999999" x14ac:dyDescent="0.3">
      <c r="A46" s="295"/>
      <c r="B46" s="296">
        <v>39</v>
      </c>
      <c r="C46" s="694" t="str">
        <f>IF(DATA!E43="","",DATA!E43)</f>
        <v/>
      </c>
      <c r="D46" s="297" t="str">
        <f>IF(DATA!C43="","",DATA!C43)</f>
        <v/>
      </c>
      <c r="E46" s="46"/>
      <c r="F46" s="46"/>
      <c r="G46" s="46"/>
      <c r="H46" s="46"/>
      <c r="I46" s="46"/>
      <c r="J46" s="46"/>
      <c r="K46" s="815"/>
      <c r="L46" s="576" t="str">
        <f>IF('GREEN SHEET'!BJ45="","",'GREEN SHEET'!BJ45)</f>
        <v/>
      </c>
      <c r="M46" s="46"/>
      <c r="N46" s="295"/>
    </row>
    <row r="47" spans="1:14" s="298" customFormat="1" ht="17.399999999999999" x14ac:dyDescent="0.3">
      <c r="A47" s="295"/>
      <c r="B47" s="296">
        <v>40</v>
      </c>
      <c r="C47" s="694" t="str">
        <f>IF(DATA!E44="","",DATA!E44)</f>
        <v/>
      </c>
      <c r="D47" s="297" t="str">
        <f>IF(DATA!C44="","",DATA!C44)</f>
        <v/>
      </c>
      <c r="E47" s="46"/>
      <c r="F47" s="46"/>
      <c r="G47" s="46"/>
      <c r="H47" s="46"/>
      <c r="I47" s="46"/>
      <c r="J47" s="46"/>
      <c r="K47" s="815"/>
      <c r="L47" s="576" t="str">
        <f>IF('GREEN SHEET'!BJ46="","",'GREEN SHEET'!BJ46)</f>
        <v/>
      </c>
      <c r="M47" s="46"/>
      <c r="N47" s="295"/>
    </row>
    <row r="48" spans="1:14" s="298" customFormat="1" ht="17.399999999999999" x14ac:dyDescent="0.3">
      <c r="A48" s="295"/>
      <c r="B48" s="296">
        <v>41</v>
      </c>
      <c r="C48" s="694" t="str">
        <f>IF(DATA!E45="","",DATA!E45)</f>
        <v/>
      </c>
      <c r="D48" s="297" t="str">
        <f>IF(DATA!C45="","",DATA!C45)</f>
        <v/>
      </c>
      <c r="E48" s="46"/>
      <c r="F48" s="46"/>
      <c r="G48" s="46"/>
      <c r="H48" s="46"/>
      <c r="I48" s="46"/>
      <c r="J48" s="46"/>
      <c r="K48" s="815"/>
      <c r="L48" s="576" t="str">
        <f>IF('GREEN SHEET'!BJ47="","",'GREEN SHEET'!BJ47)</f>
        <v/>
      </c>
      <c r="M48" s="46"/>
      <c r="N48" s="295"/>
    </row>
    <row r="49" spans="1:14" s="298" customFormat="1" ht="17.399999999999999" x14ac:dyDescent="0.3">
      <c r="A49" s="295"/>
      <c r="B49" s="296">
        <v>42</v>
      </c>
      <c r="C49" s="694" t="str">
        <f>IF(DATA!E46="","",DATA!E46)</f>
        <v/>
      </c>
      <c r="D49" s="297" t="str">
        <f>IF(DATA!C46="","",DATA!C46)</f>
        <v/>
      </c>
      <c r="E49" s="46"/>
      <c r="F49" s="46"/>
      <c r="G49" s="46"/>
      <c r="H49" s="46"/>
      <c r="I49" s="46"/>
      <c r="J49" s="46"/>
      <c r="K49" s="815"/>
      <c r="L49" s="576" t="str">
        <f>IF('GREEN SHEET'!BJ48="","",'GREEN SHEET'!BJ48)</f>
        <v/>
      </c>
      <c r="M49" s="46"/>
      <c r="N49" s="295"/>
    </row>
    <row r="50" spans="1:14" s="298" customFormat="1" ht="17.399999999999999" x14ac:dyDescent="0.3">
      <c r="A50" s="295"/>
      <c r="B50" s="296">
        <v>43</v>
      </c>
      <c r="C50" s="694" t="str">
        <f>IF(DATA!E47="","",DATA!E47)</f>
        <v/>
      </c>
      <c r="D50" s="297" t="str">
        <f>IF(DATA!C47="","",DATA!C47)</f>
        <v/>
      </c>
      <c r="E50" s="46"/>
      <c r="F50" s="46"/>
      <c r="G50" s="46"/>
      <c r="H50" s="46"/>
      <c r="I50" s="46"/>
      <c r="J50" s="46"/>
      <c r="K50" s="815"/>
      <c r="L50" s="576" t="str">
        <f>IF('GREEN SHEET'!BJ49="","",'GREEN SHEET'!BJ49)</f>
        <v/>
      </c>
      <c r="M50" s="46"/>
      <c r="N50" s="295"/>
    </row>
    <row r="51" spans="1:14" s="298" customFormat="1" ht="18" thickBot="1" x14ac:dyDescent="0.35">
      <c r="A51" s="295"/>
      <c r="B51" s="296">
        <v>44</v>
      </c>
      <c r="C51" s="694" t="str">
        <f>IF(DATA!E48="","",DATA!E48)</f>
        <v/>
      </c>
      <c r="D51" s="297" t="str">
        <f>IF(DATA!C48="","",DATA!C48)</f>
        <v/>
      </c>
      <c r="E51" s="46"/>
      <c r="F51" s="46"/>
      <c r="G51" s="46"/>
      <c r="H51" s="46"/>
      <c r="I51" s="46"/>
      <c r="J51" s="46"/>
      <c r="K51" s="815"/>
      <c r="L51" s="576" t="str">
        <f>IF('GREEN SHEET'!BJ50="","",'GREEN SHEET'!BJ50)</f>
        <v/>
      </c>
      <c r="M51" s="46"/>
      <c r="N51" s="295"/>
    </row>
    <row r="52" spans="1:14" s="298" customFormat="1" ht="48.6" customHeight="1" thickBot="1" x14ac:dyDescent="0.4">
      <c r="A52" s="295"/>
      <c r="B52" s="838" t="s">
        <v>267</v>
      </c>
      <c r="C52" s="839"/>
      <c r="D52" s="840"/>
      <c r="E52" s="841"/>
      <c r="F52" s="842"/>
      <c r="G52" s="842"/>
      <c r="H52" s="842"/>
      <c r="I52" s="842"/>
      <c r="J52" s="843"/>
      <c r="K52" s="815"/>
      <c r="L52" s="844"/>
      <c r="M52" s="845"/>
      <c r="N52" s="295"/>
    </row>
    <row r="53" spans="1:14" s="3" customFormat="1" ht="15" customHeight="1" x14ac:dyDescent="0.3">
      <c r="A53" s="4"/>
      <c r="B53" s="22"/>
      <c r="C53" s="22"/>
      <c r="D53" s="22"/>
      <c r="E53" s="22"/>
      <c r="F53" s="22"/>
      <c r="G53" s="22"/>
      <c r="H53" s="22"/>
      <c r="I53" s="22"/>
      <c r="J53" s="22"/>
      <c r="K53" s="815"/>
      <c r="L53" s="22"/>
      <c r="M53" s="22"/>
      <c r="N53" s="4"/>
    </row>
  </sheetData>
  <sheetProtection algorithmName="SHA-512" hashValue="XvL1w3m6YMQVFO6p9IEt19UrVxdD8U84ndyPPjMdwqzz+o9Kw00H+AicT4hNdWmmdXUboOpaxhzLR4mV6OnR6Q==" saltValue="G2OVFGwE1qRZFEDOA4GW/w==" spinCount="100000" sheet="1" objects="1" scenarios="1" selectLockedCells="1"/>
  <mergeCells count="11">
    <mergeCell ref="L5:L6"/>
    <mergeCell ref="B2:J2"/>
    <mergeCell ref="B3:J3"/>
    <mergeCell ref="H4:J4"/>
    <mergeCell ref="B7:D7"/>
    <mergeCell ref="F5:G5"/>
    <mergeCell ref="I5:J5"/>
    <mergeCell ref="K1:K1048576"/>
    <mergeCell ref="B52:D52"/>
    <mergeCell ref="E52:J52"/>
    <mergeCell ref="L52:M52"/>
  </mergeCells>
  <hyperlinks>
    <hyperlink ref="A1" location="DASHBOARD!A1" display="D"/>
  </hyperlinks>
  <pageMargins left="0.19" right="0.17" top="0.41" bottom="0.17" header="0.48" footer="0.3"/>
  <pageSetup paperSize="9" scale="6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55"/>
  <sheetViews>
    <sheetView zoomScale="80" zoomScaleNormal="80" workbookViewId="0">
      <selection activeCell="I9" sqref="I9"/>
    </sheetView>
  </sheetViews>
  <sheetFormatPr defaultColWidth="0" defaultRowHeight="15" customHeight="1" zeroHeight="1" x14ac:dyDescent="0.3"/>
  <cols>
    <col min="1" max="1" width="5.109375" style="3" customWidth="1"/>
    <col min="2" max="2" width="6.44140625" style="34" bestFit="1" customWidth="1"/>
    <col min="3" max="3" width="41.5546875" style="34" bestFit="1" customWidth="1"/>
    <col min="4" max="4" width="10" style="34" customWidth="1"/>
    <col min="5" max="5" width="13.5546875" style="35" customWidth="1"/>
    <col min="6" max="6" width="11.33203125" style="35" customWidth="1"/>
    <col min="7" max="7" width="15.109375" style="35" customWidth="1"/>
    <col min="8" max="8" width="15.33203125" style="35" customWidth="1"/>
    <col min="9" max="9" width="14.44140625" style="35" customWidth="1"/>
    <col min="10" max="10" width="14.88671875" style="35" customWidth="1"/>
    <col min="11" max="11" width="4.44140625" style="42" customWidth="1"/>
    <col min="12" max="12" width="13.5546875" style="35" customWidth="1"/>
    <col min="13" max="13" width="18.109375" style="35" customWidth="1"/>
    <col min="14" max="14" width="4.6640625" style="2" customWidth="1"/>
    <col min="15" max="16" width="0" style="1" hidden="1" customWidth="1"/>
    <col min="17" max="16384" width="9.109375" style="1" hidden="1"/>
  </cols>
  <sheetData>
    <row r="1" spans="1:14" s="3" customFormat="1" ht="21" x14ac:dyDescent="0.3">
      <c r="A1" s="5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4"/>
    </row>
    <row r="2" spans="1:14" s="3" customFormat="1" ht="20.399999999999999" x14ac:dyDescent="0.3">
      <c r="A2" s="4"/>
      <c r="B2" s="847" t="str">
        <f>DASHBOARD!B2&amp;DASHBOARD!B3</f>
        <v xml:space="preserve">SWAMI VIVEKANAND GOVT. MODEL SCHOOL,  AMET, BLOCK-AMET, RAJSAMAND                                                                </v>
      </c>
      <c r="C2" s="847"/>
      <c r="D2" s="847"/>
      <c r="E2" s="847"/>
      <c r="F2" s="847"/>
      <c r="G2" s="847"/>
      <c r="H2" s="847"/>
      <c r="I2" s="847"/>
      <c r="J2" s="847"/>
      <c r="K2" s="293"/>
      <c r="L2" s="574"/>
      <c r="M2" s="574"/>
      <c r="N2" s="4"/>
    </row>
    <row r="3" spans="1:14" s="3" customFormat="1" ht="22.8" x14ac:dyDescent="0.3">
      <c r="A3" s="4"/>
      <c r="B3" s="820" t="str">
        <f>IF(DASHBOARD!B4="","",DASHBOARD!B4)</f>
        <v>SESSION    -  2025-26</v>
      </c>
      <c r="C3" s="820"/>
      <c r="D3" s="820"/>
      <c r="E3" s="820"/>
      <c r="F3" s="820"/>
      <c r="G3" s="820"/>
      <c r="H3" s="820"/>
      <c r="I3" s="820"/>
      <c r="J3" s="820"/>
      <c r="K3" s="294"/>
      <c r="L3" s="572"/>
      <c r="M3" s="572"/>
      <c r="N3" s="4"/>
    </row>
    <row r="4" spans="1:14" s="13" customFormat="1" ht="24" thickBot="1" x14ac:dyDescent="0.5">
      <c r="A4" s="12"/>
      <c r="B4" s="23"/>
      <c r="C4" s="24" t="s">
        <v>63</v>
      </c>
      <c r="D4" s="23" t="str">
        <f>DASHBOARD!B8&amp;DASHBOARD!C8</f>
        <v>XI A</v>
      </c>
      <c r="E4" s="23"/>
      <c r="F4" s="23"/>
      <c r="G4" s="23"/>
      <c r="H4" s="831" t="s">
        <v>103</v>
      </c>
      <c r="I4" s="831"/>
      <c r="J4" s="831"/>
      <c r="K4" s="223"/>
      <c r="L4" s="452"/>
      <c r="M4" s="43"/>
      <c r="N4" s="12"/>
    </row>
    <row r="5" spans="1:14" s="3" customFormat="1" ht="35.4" thickBot="1" x14ac:dyDescent="0.35">
      <c r="A5" s="4"/>
      <c r="B5" s="680" t="s">
        <v>65</v>
      </c>
      <c r="C5" s="681" t="s">
        <v>64</v>
      </c>
      <c r="D5" s="681" t="s">
        <v>3</v>
      </c>
      <c r="E5" s="682" t="s">
        <v>98</v>
      </c>
      <c r="F5" s="834" t="s">
        <v>99</v>
      </c>
      <c r="G5" s="835"/>
      <c r="H5" s="682" t="s">
        <v>100</v>
      </c>
      <c r="I5" s="836" t="s">
        <v>18</v>
      </c>
      <c r="J5" s="850"/>
      <c r="K5" s="581"/>
      <c r="L5" s="44"/>
      <c r="M5" s="26" t="s">
        <v>122</v>
      </c>
      <c r="N5" s="4"/>
    </row>
    <row r="6" spans="1:14" s="3" customFormat="1" ht="17.399999999999999" x14ac:dyDescent="0.3">
      <c r="A6" s="4"/>
      <c r="B6" s="686"/>
      <c r="C6" s="687"/>
      <c r="D6" s="687"/>
      <c r="E6" s="688"/>
      <c r="F6" s="688" t="s">
        <v>101</v>
      </c>
      <c r="G6" s="688" t="s">
        <v>102</v>
      </c>
      <c r="H6" s="689"/>
      <c r="I6" s="688" t="s">
        <v>101</v>
      </c>
      <c r="J6" s="690" t="s">
        <v>102</v>
      </c>
      <c r="K6" s="581"/>
      <c r="L6" s="453" t="s">
        <v>41</v>
      </c>
      <c r="M6" s="26"/>
      <c r="N6" s="4"/>
    </row>
    <row r="7" spans="1:14" s="3" customFormat="1" ht="31.5" customHeight="1" thickBot="1" x14ac:dyDescent="0.35">
      <c r="A7" s="4"/>
      <c r="B7" s="832" t="s">
        <v>19</v>
      </c>
      <c r="C7" s="833"/>
      <c r="D7" s="833"/>
      <c r="E7" s="691">
        <v>10</v>
      </c>
      <c r="F7" s="691">
        <v>70</v>
      </c>
      <c r="G7" s="691">
        <v>30</v>
      </c>
      <c r="H7" s="691">
        <v>10</v>
      </c>
      <c r="I7" s="691">
        <v>70</v>
      </c>
      <c r="J7" s="692">
        <v>30</v>
      </c>
      <c r="K7" s="582"/>
      <c r="L7" s="580">
        <f>IF('GREEN SHEET'!CC6="","",'GREEN SHEET'!CC6)</f>
        <v>76</v>
      </c>
      <c r="M7" s="27">
        <v>70</v>
      </c>
      <c r="N7" s="4"/>
    </row>
    <row r="8" spans="1:14" s="3" customFormat="1" ht="31.5" customHeight="1" x14ac:dyDescent="0.3">
      <c r="A8" s="4"/>
      <c r="B8" s="671">
        <v>1</v>
      </c>
      <c r="C8" s="676" t="str">
        <f>IF(DATA!E5="","",DATA!E5)</f>
        <v>Devendra Sharma</v>
      </c>
      <c r="D8" s="672">
        <f>IF(DATA!C5="","",DATA!C5)</f>
        <v>1101</v>
      </c>
      <c r="E8" s="685">
        <v>10</v>
      </c>
      <c r="F8" s="685">
        <v>62</v>
      </c>
      <c r="G8" s="685">
        <v>30</v>
      </c>
      <c r="H8" s="685">
        <v>10</v>
      </c>
      <c r="I8" s="685">
        <v>45</v>
      </c>
      <c r="J8" s="695">
        <v>15</v>
      </c>
      <c r="K8" s="583"/>
      <c r="L8" s="580">
        <f>IF('GREEN SHEET'!CC7="","",'GREEN SHEET'!CC7)</f>
        <v>62</v>
      </c>
      <c r="M8" s="31"/>
      <c r="N8" s="4"/>
    </row>
    <row r="9" spans="1:14" s="3" customFormat="1" ht="31.5" customHeight="1" x14ac:dyDescent="0.3">
      <c r="A9" s="4"/>
      <c r="B9" s="28">
        <v>2</v>
      </c>
      <c r="C9" s="677" t="str">
        <f>IF(DATA!E6="","",DATA!E6)</f>
        <v>DHARA SALVI</v>
      </c>
      <c r="D9" s="29">
        <f>IF(DATA!C6="","",DATA!C6)</f>
        <v>1102</v>
      </c>
      <c r="E9" s="30">
        <v>7</v>
      </c>
      <c r="F9" s="30">
        <v>35</v>
      </c>
      <c r="G9" s="30">
        <v>29</v>
      </c>
      <c r="H9" s="30">
        <v>10</v>
      </c>
      <c r="I9" s="30">
        <v>25</v>
      </c>
      <c r="J9" s="577">
        <v>30</v>
      </c>
      <c r="K9" s="584"/>
      <c r="L9" s="580">
        <f>IF('GREEN SHEET'!CC8="","",'GREEN SHEET'!CC8)</f>
        <v>41</v>
      </c>
      <c r="M9" s="31"/>
      <c r="N9" s="4"/>
    </row>
    <row r="10" spans="1:14" s="3" customFormat="1" ht="31.5" customHeight="1" x14ac:dyDescent="0.3">
      <c r="A10" s="4"/>
      <c r="B10" s="28">
        <v>3</v>
      </c>
      <c r="C10" s="677" t="str">
        <f>IF(DATA!E7="","",DATA!E7)</f>
        <v>HARSHIKA RAO</v>
      </c>
      <c r="D10" s="29">
        <f>IF(DATA!C7="","",DATA!C7)</f>
        <v>1103</v>
      </c>
      <c r="E10" s="30">
        <v>7</v>
      </c>
      <c r="F10" s="30">
        <v>46</v>
      </c>
      <c r="G10" s="30">
        <v>29</v>
      </c>
      <c r="H10" s="30">
        <v>10</v>
      </c>
      <c r="I10" s="30">
        <v>43</v>
      </c>
      <c r="J10" s="577">
        <v>30</v>
      </c>
      <c r="K10" s="584"/>
      <c r="L10" s="580">
        <f>IF('GREEN SHEET'!CC9="","",'GREEN SHEET'!CC9)</f>
        <v>53</v>
      </c>
      <c r="M10" s="31"/>
      <c r="N10" s="4"/>
    </row>
    <row r="11" spans="1:14" s="3" customFormat="1" ht="31.5" customHeight="1" x14ac:dyDescent="0.3">
      <c r="A11" s="4"/>
      <c r="B11" s="28">
        <v>4</v>
      </c>
      <c r="C11" s="677" t="str">
        <f>IF(DATA!E8="","",DATA!E8)</f>
        <v/>
      </c>
      <c r="D11" s="29" t="str">
        <f>IF(DATA!C8="","",DATA!C8)</f>
        <v/>
      </c>
      <c r="E11" s="30"/>
      <c r="F11" s="30"/>
      <c r="G11" s="30"/>
      <c r="H11" s="30"/>
      <c r="I11" s="30"/>
      <c r="J11" s="577"/>
      <c r="K11" s="584"/>
      <c r="L11" s="580" t="str">
        <f>IF('GREEN SHEET'!CC10="","",'GREEN SHEET'!CC10)</f>
        <v/>
      </c>
      <c r="M11" s="31"/>
      <c r="N11" s="4"/>
    </row>
    <row r="12" spans="1:14" s="3" customFormat="1" ht="31.5" customHeight="1" x14ac:dyDescent="0.3">
      <c r="A12" s="4"/>
      <c r="B12" s="28">
        <v>5</v>
      </c>
      <c r="C12" s="677" t="str">
        <f>IF(DATA!E9="","",DATA!E9)</f>
        <v/>
      </c>
      <c r="D12" s="29" t="str">
        <f>IF(DATA!C9="","",DATA!C9)</f>
        <v/>
      </c>
      <c r="E12" s="30"/>
      <c r="F12" s="30"/>
      <c r="G12" s="30"/>
      <c r="H12" s="30"/>
      <c r="I12" s="30"/>
      <c r="J12" s="577"/>
      <c r="K12" s="584"/>
      <c r="L12" s="580" t="str">
        <f>IF('GREEN SHEET'!CC11="","",'GREEN SHEET'!CC11)</f>
        <v/>
      </c>
      <c r="M12" s="31"/>
      <c r="N12" s="4"/>
    </row>
    <row r="13" spans="1:14" s="3" customFormat="1" ht="31.5" customHeight="1" x14ac:dyDescent="0.3">
      <c r="A13" s="4"/>
      <c r="B13" s="28">
        <v>6</v>
      </c>
      <c r="C13" s="677" t="str">
        <f>IF(DATA!E10="","",DATA!E10)</f>
        <v/>
      </c>
      <c r="D13" s="29" t="str">
        <f>IF(DATA!C10="","",DATA!C10)</f>
        <v/>
      </c>
      <c r="E13" s="30"/>
      <c r="F13" s="30"/>
      <c r="G13" s="30"/>
      <c r="H13" s="30"/>
      <c r="I13" s="30"/>
      <c r="J13" s="577"/>
      <c r="K13" s="584"/>
      <c r="L13" s="580" t="str">
        <f>IF('GREEN SHEET'!CC12="","",'GREEN SHEET'!CC12)</f>
        <v/>
      </c>
      <c r="M13" s="31"/>
      <c r="N13" s="4"/>
    </row>
    <row r="14" spans="1:14" s="3" customFormat="1" ht="31.5" customHeight="1" x14ac:dyDescent="0.3">
      <c r="A14" s="4"/>
      <c r="B14" s="28">
        <v>7</v>
      </c>
      <c r="C14" s="677" t="str">
        <f>IF(DATA!E11="","",DATA!E11)</f>
        <v/>
      </c>
      <c r="D14" s="29" t="str">
        <f>IF(DATA!C11="","",DATA!C11)</f>
        <v/>
      </c>
      <c r="E14" s="30"/>
      <c r="F14" s="30"/>
      <c r="G14" s="30"/>
      <c r="H14" s="30"/>
      <c r="I14" s="30"/>
      <c r="J14" s="577"/>
      <c r="K14" s="584"/>
      <c r="L14" s="580" t="str">
        <f>IF('GREEN SHEET'!CC13="","",'GREEN SHEET'!CC13)</f>
        <v/>
      </c>
      <c r="M14" s="31"/>
      <c r="N14" s="4"/>
    </row>
    <row r="15" spans="1:14" s="3" customFormat="1" ht="31.5" customHeight="1" x14ac:dyDescent="0.3">
      <c r="A15" s="4"/>
      <c r="B15" s="28">
        <v>8</v>
      </c>
      <c r="C15" s="677" t="str">
        <f>IF(DATA!E12="","",DATA!E12)</f>
        <v/>
      </c>
      <c r="D15" s="29" t="str">
        <f>IF(DATA!C12="","",DATA!C12)</f>
        <v/>
      </c>
      <c r="E15" s="30"/>
      <c r="F15" s="30"/>
      <c r="G15" s="30"/>
      <c r="H15" s="30"/>
      <c r="I15" s="30"/>
      <c r="J15" s="577"/>
      <c r="K15" s="584"/>
      <c r="L15" s="580" t="str">
        <f>IF('GREEN SHEET'!CC14="","",'GREEN SHEET'!CC14)</f>
        <v/>
      </c>
      <c r="M15" s="31"/>
      <c r="N15" s="4"/>
    </row>
    <row r="16" spans="1:14" s="3" customFormat="1" ht="31.5" customHeight="1" x14ac:dyDescent="0.3">
      <c r="A16" s="4"/>
      <c r="B16" s="28">
        <v>9</v>
      </c>
      <c r="C16" s="677" t="str">
        <f>IF(DATA!E13="","",DATA!E13)</f>
        <v/>
      </c>
      <c r="D16" s="29" t="str">
        <f>IF(DATA!C13="","",DATA!C13)</f>
        <v/>
      </c>
      <c r="E16" s="30"/>
      <c r="F16" s="30"/>
      <c r="G16" s="30"/>
      <c r="H16" s="30"/>
      <c r="I16" s="30"/>
      <c r="J16" s="577"/>
      <c r="K16" s="584"/>
      <c r="L16" s="580" t="str">
        <f>IF('GREEN SHEET'!CC15="","",'GREEN SHEET'!CC15)</f>
        <v/>
      </c>
      <c r="M16" s="31"/>
      <c r="N16" s="4"/>
    </row>
    <row r="17" spans="1:14" s="3" customFormat="1" ht="31.5" customHeight="1" x14ac:dyDescent="0.3">
      <c r="A17" s="4"/>
      <c r="B17" s="28">
        <v>10</v>
      </c>
      <c r="C17" s="677" t="str">
        <f>IF(DATA!E14="","",DATA!E14)</f>
        <v/>
      </c>
      <c r="D17" s="29" t="str">
        <f>IF(DATA!C14="","",DATA!C14)</f>
        <v/>
      </c>
      <c r="E17" s="30"/>
      <c r="F17" s="30"/>
      <c r="G17" s="30"/>
      <c r="H17" s="30"/>
      <c r="I17" s="30"/>
      <c r="J17" s="577"/>
      <c r="K17" s="584"/>
      <c r="L17" s="580" t="str">
        <f>IF('GREEN SHEET'!CC16="","",'GREEN SHEET'!CC16)</f>
        <v/>
      </c>
      <c r="M17" s="31"/>
      <c r="N17" s="4"/>
    </row>
    <row r="18" spans="1:14" s="3" customFormat="1" ht="31.5" customHeight="1" x14ac:dyDescent="0.3">
      <c r="A18" s="4"/>
      <c r="B18" s="28">
        <v>11</v>
      </c>
      <c r="C18" s="677" t="str">
        <f>IF(DATA!E15="","",DATA!E15)</f>
        <v/>
      </c>
      <c r="D18" s="29" t="str">
        <f>IF(DATA!C15="","",DATA!C15)</f>
        <v/>
      </c>
      <c r="E18" s="30"/>
      <c r="F18" s="30"/>
      <c r="G18" s="30"/>
      <c r="H18" s="30"/>
      <c r="I18" s="30"/>
      <c r="J18" s="577"/>
      <c r="K18" s="584"/>
      <c r="L18" s="580" t="str">
        <f>IF('GREEN SHEET'!CC17="","",'GREEN SHEET'!CC17)</f>
        <v/>
      </c>
      <c r="M18" s="31"/>
      <c r="N18" s="4"/>
    </row>
    <row r="19" spans="1:14" s="3" customFormat="1" ht="31.5" customHeight="1" x14ac:dyDescent="0.3">
      <c r="A19" s="4"/>
      <c r="B19" s="28">
        <v>12</v>
      </c>
      <c r="C19" s="677" t="str">
        <f>IF(DATA!E16="","",DATA!E16)</f>
        <v/>
      </c>
      <c r="D19" s="29" t="str">
        <f>IF(DATA!C16="","",DATA!C16)</f>
        <v/>
      </c>
      <c r="E19" s="30"/>
      <c r="F19" s="30"/>
      <c r="G19" s="30"/>
      <c r="H19" s="30"/>
      <c r="I19" s="30"/>
      <c r="J19" s="577"/>
      <c r="K19" s="584"/>
      <c r="L19" s="580" t="str">
        <f>IF('GREEN SHEET'!CC18="","",'GREEN SHEET'!CC18)</f>
        <v/>
      </c>
      <c r="M19" s="31"/>
      <c r="N19" s="4"/>
    </row>
    <row r="20" spans="1:14" s="3" customFormat="1" ht="31.5" customHeight="1" x14ac:dyDescent="0.3">
      <c r="A20" s="4"/>
      <c r="B20" s="28">
        <v>13</v>
      </c>
      <c r="C20" s="677" t="str">
        <f>IF(DATA!E17="","",DATA!E17)</f>
        <v/>
      </c>
      <c r="D20" s="29" t="str">
        <f>IF(DATA!C17="","",DATA!C17)</f>
        <v/>
      </c>
      <c r="E20" s="30"/>
      <c r="F20" s="30"/>
      <c r="G20" s="30"/>
      <c r="H20" s="30"/>
      <c r="I20" s="30"/>
      <c r="J20" s="577"/>
      <c r="K20" s="584"/>
      <c r="L20" s="580" t="str">
        <f>IF('GREEN SHEET'!CC19="","",'GREEN SHEET'!CC19)</f>
        <v/>
      </c>
      <c r="M20" s="31"/>
      <c r="N20" s="4"/>
    </row>
    <row r="21" spans="1:14" s="3" customFormat="1" ht="31.5" customHeight="1" x14ac:dyDescent="0.3">
      <c r="A21" s="4"/>
      <c r="B21" s="28">
        <v>14</v>
      </c>
      <c r="C21" s="677" t="str">
        <f>IF(DATA!E18="","",DATA!E18)</f>
        <v/>
      </c>
      <c r="D21" s="29" t="str">
        <f>IF(DATA!C18="","",DATA!C18)</f>
        <v/>
      </c>
      <c r="E21" s="30"/>
      <c r="F21" s="30"/>
      <c r="G21" s="30"/>
      <c r="H21" s="30"/>
      <c r="I21" s="30"/>
      <c r="J21" s="577"/>
      <c r="K21" s="584"/>
      <c r="L21" s="580" t="str">
        <f>IF('GREEN SHEET'!CC20="","",'GREEN SHEET'!CC20)</f>
        <v/>
      </c>
      <c r="M21" s="31"/>
      <c r="N21" s="4"/>
    </row>
    <row r="22" spans="1:14" s="3" customFormat="1" ht="31.5" customHeight="1" x14ac:dyDescent="0.3">
      <c r="A22" s="4"/>
      <c r="B22" s="28">
        <v>15</v>
      </c>
      <c r="C22" s="677" t="str">
        <f>IF(DATA!E19="","",DATA!E19)</f>
        <v/>
      </c>
      <c r="D22" s="29" t="str">
        <f>IF(DATA!C19="","",DATA!C19)</f>
        <v/>
      </c>
      <c r="E22" s="30"/>
      <c r="F22" s="30"/>
      <c r="G22" s="30"/>
      <c r="H22" s="30"/>
      <c r="I22" s="30"/>
      <c r="J22" s="577"/>
      <c r="K22" s="584"/>
      <c r="L22" s="580" t="str">
        <f>IF('GREEN SHEET'!CC21="","",'GREEN SHEET'!CC21)</f>
        <v/>
      </c>
      <c r="M22" s="31"/>
      <c r="N22" s="4"/>
    </row>
    <row r="23" spans="1:14" s="3" customFormat="1" ht="31.5" customHeight="1" x14ac:dyDescent="0.3">
      <c r="A23" s="4"/>
      <c r="B23" s="28">
        <v>16</v>
      </c>
      <c r="C23" s="677" t="str">
        <f>IF(DATA!E20="","",DATA!E20)</f>
        <v/>
      </c>
      <c r="D23" s="29" t="str">
        <f>IF(DATA!C20="","",DATA!C20)</f>
        <v/>
      </c>
      <c r="E23" s="30"/>
      <c r="F23" s="30"/>
      <c r="G23" s="30"/>
      <c r="H23" s="30"/>
      <c r="I23" s="30"/>
      <c r="J23" s="577"/>
      <c r="K23" s="584"/>
      <c r="L23" s="580" t="str">
        <f>IF('GREEN SHEET'!CC22="","",'GREEN SHEET'!CC22)</f>
        <v/>
      </c>
      <c r="M23" s="31"/>
      <c r="N23" s="4"/>
    </row>
    <row r="24" spans="1:14" s="3" customFormat="1" ht="31.5" customHeight="1" x14ac:dyDescent="0.3">
      <c r="A24" s="4"/>
      <c r="B24" s="28">
        <v>17</v>
      </c>
      <c r="C24" s="677" t="str">
        <f>IF(DATA!E21="","",DATA!E21)</f>
        <v/>
      </c>
      <c r="D24" s="29" t="str">
        <f>IF(DATA!C21="","",DATA!C21)</f>
        <v/>
      </c>
      <c r="E24" s="30"/>
      <c r="F24" s="30"/>
      <c r="G24" s="30"/>
      <c r="H24" s="30"/>
      <c r="I24" s="30"/>
      <c r="J24" s="577"/>
      <c r="K24" s="584"/>
      <c r="L24" s="580" t="str">
        <f>IF('GREEN SHEET'!CC23="","",'GREEN SHEET'!CC23)</f>
        <v/>
      </c>
      <c r="M24" s="31"/>
      <c r="N24" s="4"/>
    </row>
    <row r="25" spans="1:14" s="3" customFormat="1" ht="31.5" customHeight="1" x14ac:dyDescent="0.3">
      <c r="A25" s="4"/>
      <c r="B25" s="28">
        <v>18</v>
      </c>
      <c r="C25" s="677" t="str">
        <f>IF(DATA!E22="","",DATA!E22)</f>
        <v/>
      </c>
      <c r="D25" s="29" t="str">
        <f>IF(DATA!C22="","",DATA!C22)</f>
        <v/>
      </c>
      <c r="E25" s="30"/>
      <c r="F25" s="30"/>
      <c r="G25" s="30"/>
      <c r="H25" s="30"/>
      <c r="I25" s="30"/>
      <c r="J25" s="577"/>
      <c r="K25" s="584"/>
      <c r="L25" s="580" t="str">
        <f>IF('GREEN SHEET'!CC24="","",'GREEN SHEET'!CC24)</f>
        <v/>
      </c>
      <c r="M25" s="31"/>
      <c r="N25" s="4"/>
    </row>
    <row r="26" spans="1:14" s="3" customFormat="1" ht="31.5" customHeight="1" x14ac:dyDescent="0.3">
      <c r="A26" s="4"/>
      <c r="B26" s="28">
        <v>19</v>
      </c>
      <c r="C26" s="677" t="str">
        <f>IF(DATA!E23="","",DATA!E23)</f>
        <v/>
      </c>
      <c r="D26" s="29" t="str">
        <f>IF(DATA!C23="","",DATA!C23)</f>
        <v/>
      </c>
      <c r="E26" s="30"/>
      <c r="F26" s="30"/>
      <c r="G26" s="30"/>
      <c r="H26" s="30"/>
      <c r="I26" s="30"/>
      <c r="J26" s="577"/>
      <c r="K26" s="584"/>
      <c r="L26" s="580" t="str">
        <f>IF('GREEN SHEET'!CC25="","",'GREEN SHEET'!CC25)</f>
        <v/>
      </c>
      <c r="M26" s="31"/>
      <c r="N26" s="4"/>
    </row>
    <row r="27" spans="1:14" s="3" customFormat="1" ht="31.5" customHeight="1" x14ac:dyDescent="0.3">
      <c r="A27" s="4"/>
      <c r="B27" s="28">
        <v>20</v>
      </c>
      <c r="C27" s="677" t="str">
        <f>IF(DATA!E24="","",DATA!E24)</f>
        <v/>
      </c>
      <c r="D27" s="29" t="str">
        <f>IF(DATA!C24="","",DATA!C24)</f>
        <v/>
      </c>
      <c r="E27" s="30"/>
      <c r="F27" s="30"/>
      <c r="G27" s="30"/>
      <c r="H27" s="30"/>
      <c r="I27" s="30"/>
      <c r="J27" s="577"/>
      <c r="K27" s="584"/>
      <c r="L27" s="580" t="str">
        <f>IF('GREEN SHEET'!CC26="","",'GREEN SHEET'!CC26)</f>
        <v/>
      </c>
      <c r="M27" s="31"/>
      <c r="N27" s="4"/>
    </row>
    <row r="28" spans="1:14" s="3" customFormat="1" ht="31.5" customHeight="1" x14ac:dyDescent="0.3">
      <c r="A28" s="4"/>
      <c r="B28" s="28">
        <v>21</v>
      </c>
      <c r="C28" s="677" t="str">
        <f>IF(DATA!E25="","",DATA!E25)</f>
        <v/>
      </c>
      <c r="D28" s="29" t="str">
        <f>IF(DATA!C25="","",DATA!C25)</f>
        <v/>
      </c>
      <c r="E28" s="30"/>
      <c r="F28" s="30"/>
      <c r="G28" s="30"/>
      <c r="H28" s="30"/>
      <c r="I28" s="30"/>
      <c r="J28" s="577"/>
      <c r="K28" s="584"/>
      <c r="L28" s="580" t="str">
        <f>IF('GREEN SHEET'!CC27="","",'GREEN SHEET'!CC27)</f>
        <v/>
      </c>
      <c r="M28" s="31"/>
      <c r="N28" s="4"/>
    </row>
    <row r="29" spans="1:14" s="3" customFormat="1" ht="31.5" customHeight="1" x14ac:dyDescent="0.3">
      <c r="A29" s="4"/>
      <c r="B29" s="28">
        <v>22</v>
      </c>
      <c r="C29" s="677" t="str">
        <f>IF(DATA!E26="","",DATA!E26)</f>
        <v/>
      </c>
      <c r="D29" s="29" t="str">
        <f>IF(DATA!C26="","",DATA!C26)</f>
        <v/>
      </c>
      <c r="E29" s="30"/>
      <c r="F29" s="30"/>
      <c r="G29" s="30"/>
      <c r="H29" s="30"/>
      <c r="I29" s="30"/>
      <c r="J29" s="577"/>
      <c r="K29" s="584"/>
      <c r="L29" s="580" t="str">
        <f>IF('GREEN SHEET'!CC28="","",'GREEN SHEET'!CC28)</f>
        <v/>
      </c>
      <c r="M29" s="31"/>
      <c r="N29" s="4"/>
    </row>
    <row r="30" spans="1:14" s="3" customFormat="1" ht="31.5" customHeight="1" x14ac:dyDescent="0.3">
      <c r="A30" s="4"/>
      <c r="B30" s="28">
        <v>23</v>
      </c>
      <c r="C30" s="677" t="str">
        <f>IF(DATA!E27="","",DATA!E27)</f>
        <v/>
      </c>
      <c r="D30" s="29" t="str">
        <f>IF(DATA!C27="","",DATA!C27)</f>
        <v/>
      </c>
      <c r="E30" s="30"/>
      <c r="F30" s="30"/>
      <c r="G30" s="30"/>
      <c r="H30" s="30"/>
      <c r="I30" s="30"/>
      <c r="J30" s="577"/>
      <c r="K30" s="584"/>
      <c r="L30" s="580" t="str">
        <f>IF('GREEN SHEET'!CC29="","",'GREEN SHEET'!CC29)</f>
        <v/>
      </c>
      <c r="M30" s="31"/>
      <c r="N30" s="4"/>
    </row>
    <row r="31" spans="1:14" s="3" customFormat="1" ht="31.5" customHeight="1" x14ac:dyDescent="0.3">
      <c r="A31" s="4"/>
      <c r="B31" s="28">
        <v>24</v>
      </c>
      <c r="C31" s="677" t="str">
        <f>IF(DATA!E28="","",DATA!E28)</f>
        <v/>
      </c>
      <c r="D31" s="29" t="str">
        <f>IF(DATA!C28="","",DATA!C28)</f>
        <v/>
      </c>
      <c r="E31" s="30"/>
      <c r="F31" s="30"/>
      <c r="G31" s="30"/>
      <c r="H31" s="30"/>
      <c r="I31" s="30"/>
      <c r="J31" s="577"/>
      <c r="K31" s="584"/>
      <c r="L31" s="580" t="str">
        <f>IF('GREEN SHEET'!CC30="","",'GREEN SHEET'!CC30)</f>
        <v/>
      </c>
      <c r="M31" s="31"/>
      <c r="N31" s="4"/>
    </row>
    <row r="32" spans="1:14" s="3" customFormat="1" ht="31.5" customHeight="1" x14ac:dyDescent="0.3">
      <c r="A32" s="4"/>
      <c r="B32" s="28">
        <v>25</v>
      </c>
      <c r="C32" s="677" t="str">
        <f>IF(DATA!E29="","",DATA!E29)</f>
        <v/>
      </c>
      <c r="D32" s="29" t="str">
        <f>IF(DATA!C29="","",DATA!C29)</f>
        <v/>
      </c>
      <c r="E32" s="30"/>
      <c r="F32" s="30"/>
      <c r="G32" s="30"/>
      <c r="H32" s="30"/>
      <c r="I32" s="30"/>
      <c r="J32" s="577"/>
      <c r="K32" s="584"/>
      <c r="L32" s="580" t="str">
        <f>IF('GREEN SHEET'!CC31="","",'GREEN SHEET'!CC31)</f>
        <v/>
      </c>
      <c r="M32" s="31"/>
      <c r="N32" s="4"/>
    </row>
    <row r="33" spans="1:14" s="3" customFormat="1" ht="31.5" customHeight="1" x14ac:dyDescent="0.3">
      <c r="A33" s="4"/>
      <c r="B33" s="28">
        <v>26</v>
      </c>
      <c r="C33" s="677" t="str">
        <f>IF(DATA!E30="","",DATA!E30)</f>
        <v/>
      </c>
      <c r="D33" s="29" t="str">
        <f>IF(DATA!C30="","",DATA!C30)</f>
        <v/>
      </c>
      <c r="E33" s="30"/>
      <c r="F33" s="30"/>
      <c r="G33" s="30"/>
      <c r="H33" s="30"/>
      <c r="I33" s="30"/>
      <c r="J33" s="577"/>
      <c r="K33" s="584"/>
      <c r="L33" s="580" t="str">
        <f>IF('GREEN SHEET'!CC32="","",'GREEN SHEET'!CC32)</f>
        <v/>
      </c>
      <c r="M33" s="31"/>
      <c r="N33" s="4"/>
    </row>
    <row r="34" spans="1:14" s="3" customFormat="1" ht="31.5" customHeight="1" x14ac:dyDescent="0.3">
      <c r="A34" s="4"/>
      <c r="B34" s="28">
        <v>27</v>
      </c>
      <c r="C34" s="677" t="str">
        <f>IF(DATA!E31="","",DATA!E31)</f>
        <v/>
      </c>
      <c r="D34" s="29" t="str">
        <f>IF(DATA!C31="","",DATA!C31)</f>
        <v/>
      </c>
      <c r="E34" s="30"/>
      <c r="F34" s="30"/>
      <c r="G34" s="30"/>
      <c r="H34" s="30"/>
      <c r="I34" s="30"/>
      <c r="J34" s="577"/>
      <c r="K34" s="584"/>
      <c r="L34" s="580" t="str">
        <f>IF('GREEN SHEET'!CC33="","",'GREEN SHEET'!CC33)</f>
        <v/>
      </c>
      <c r="M34" s="31"/>
      <c r="N34" s="4"/>
    </row>
    <row r="35" spans="1:14" s="3" customFormat="1" ht="31.5" customHeight="1" x14ac:dyDescent="0.3">
      <c r="A35" s="4"/>
      <c r="B35" s="28">
        <v>28</v>
      </c>
      <c r="C35" s="677" t="str">
        <f>IF(DATA!E32="","",DATA!E32)</f>
        <v/>
      </c>
      <c r="D35" s="29" t="str">
        <f>IF(DATA!C32="","",DATA!C32)</f>
        <v/>
      </c>
      <c r="E35" s="30"/>
      <c r="F35" s="30"/>
      <c r="G35" s="30"/>
      <c r="H35" s="30"/>
      <c r="I35" s="30"/>
      <c r="J35" s="577"/>
      <c r="K35" s="584"/>
      <c r="L35" s="580" t="str">
        <f>IF('GREEN SHEET'!CC34="","",'GREEN SHEET'!CC34)</f>
        <v/>
      </c>
      <c r="M35" s="31"/>
      <c r="N35" s="4"/>
    </row>
    <row r="36" spans="1:14" s="3" customFormat="1" ht="31.5" customHeight="1" x14ac:dyDescent="0.3">
      <c r="A36" s="4"/>
      <c r="B36" s="28">
        <v>29</v>
      </c>
      <c r="C36" s="677" t="str">
        <f>IF(DATA!E33="","",DATA!E33)</f>
        <v/>
      </c>
      <c r="D36" s="29" t="str">
        <f>IF(DATA!C33="","",DATA!C33)</f>
        <v/>
      </c>
      <c r="E36" s="30"/>
      <c r="F36" s="30"/>
      <c r="G36" s="30"/>
      <c r="H36" s="30"/>
      <c r="I36" s="30"/>
      <c r="J36" s="577"/>
      <c r="K36" s="584"/>
      <c r="L36" s="580" t="str">
        <f>IF('GREEN SHEET'!CC35="","",'GREEN SHEET'!CC35)</f>
        <v/>
      </c>
      <c r="M36" s="31"/>
      <c r="N36" s="4"/>
    </row>
    <row r="37" spans="1:14" s="3" customFormat="1" ht="31.5" customHeight="1" x14ac:dyDescent="0.3">
      <c r="A37" s="4"/>
      <c r="B37" s="28">
        <v>30</v>
      </c>
      <c r="C37" s="677" t="str">
        <f>IF(DATA!E34="","",DATA!E34)</f>
        <v/>
      </c>
      <c r="D37" s="29" t="str">
        <f>IF(DATA!C34="","",DATA!C34)</f>
        <v/>
      </c>
      <c r="E37" s="30"/>
      <c r="F37" s="30"/>
      <c r="G37" s="30"/>
      <c r="H37" s="30"/>
      <c r="I37" s="30"/>
      <c r="J37" s="577"/>
      <c r="K37" s="584"/>
      <c r="L37" s="580" t="str">
        <f>IF('GREEN SHEET'!CC36="","",'GREEN SHEET'!CC36)</f>
        <v/>
      </c>
      <c r="M37" s="31"/>
      <c r="N37" s="4"/>
    </row>
    <row r="38" spans="1:14" s="3" customFormat="1" ht="31.5" customHeight="1" x14ac:dyDescent="0.3">
      <c r="A38" s="4"/>
      <c r="B38" s="28">
        <v>31</v>
      </c>
      <c r="C38" s="677" t="str">
        <f>IF(DATA!E35="","",DATA!E35)</f>
        <v/>
      </c>
      <c r="D38" s="29" t="str">
        <f>IF(DATA!C35="","",DATA!C35)</f>
        <v/>
      </c>
      <c r="E38" s="30"/>
      <c r="F38" s="30"/>
      <c r="G38" s="30"/>
      <c r="H38" s="30"/>
      <c r="I38" s="30"/>
      <c r="J38" s="577"/>
      <c r="K38" s="584"/>
      <c r="L38" s="580" t="str">
        <f>IF('GREEN SHEET'!CC37="","",'GREEN SHEET'!CC37)</f>
        <v/>
      </c>
      <c r="M38" s="31"/>
      <c r="N38" s="4"/>
    </row>
    <row r="39" spans="1:14" s="3" customFormat="1" ht="31.5" customHeight="1" x14ac:dyDescent="0.3">
      <c r="A39" s="4"/>
      <c r="B39" s="28">
        <v>32</v>
      </c>
      <c r="C39" s="677" t="str">
        <f>IF(DATA!E36="","",DATA!E36)</f>
        <v/>
      </c>
      <c r="D39" s="29" t="str">
        <f>IF(DATA!C36="","",DATA!C36)</f>
        <v/>
      </c>
      <c r="E39" s="30"/>
      <c r="F39" s="30"/>
      <c r="G39" s="30"/>
      <c r="H39" s="30"/>
      <c r="I39" s="30"/>
      <c r="J39" s="577"/>
      <c r="K39" s="584"/>
      <c r="L39" s="580" t="str">
        <f>IF('GREEN SHEET'!CC38="","",'GREEN SHEET'!CC38)</f>
        <v/>
      </c>
      <c r="M39" s="31"/>
      <c r="N39" s="4"/>
    </row>
    <row r="40" spans="1:14" s="3" customFormat="1" ht="31.5" customHeight="1" x14ac:dyDescent="0.3">
      <c r="A40" s="4"/>
      <c r="B40" s="28">
        <v>33</v>
      </c>
      <c r="C40" s="677" t="str">
        <f>IF(DATA!E37="","",DATA!E37)</f>
        <v/>
      </c>
      <c r="D40" s="29" t="str">
        <f>IF(DATA!C37="","",DATA!C37)</f>
        <v/>
      </c>
      <c r="E40" s="30"/>
      <c r="F40" s="30"/>
      <c r="G40" s="30"/>
      <c r="H40" s="30"/>
      <c r="I40" s="30"/>
      <c r="J40" s="577"/>
      <c r="K40" s="584"/>
      <c r="L40" s="580" t="str">
        <f>IF('GREEN SHEET'!CC39="","",'GREEN SHEET'!CC39)</f>
        <v/>
      </c>
      <c r="M40" s="31"/>
      <c r="N40" s="4"/>
    </row>
    <row r="41" spans="1:14" s="3" customFormat="1" ht="20.399999999999999" x14ac:dyDescent="0.3">
      <c r="A41" s="4"/>
      <c r="B41" s="28">
        <v>34</v>
      </c>
      <c r="C41" s="677" t="str">
        <f>IF(DATA!E38="","",DATA!E38)</f>
        <v/>
      </c>
      <c r="D41" s="29" t="str">
        <f>IF(DATA!C38="","",DATA!C38)</f>
        <v/>
      </c>
      <c r="E41" s="30"/>
      <c r="F41" s="30"/>
      <c r="G41" s="30"/>
      <c r="H41" s="30"/>
      <c r="I41" s="30"/>
      <c r="J41" s="577"/>
      <c r="K41" s="584"/>
      <c r="L41" s="580" t="str">
        <f>IF('GREEN SHEET'!CC40="","",'GREEN SHEET'!CC40)</f>
        <v/>
      </c>
      <c r="M41" s="31"/>
      <c r="N41" s="4"/>
    </row>
    <row r="42" spans="1:14" s="3" customFormat="1" ht="20.399999999999999" x14ac:dyDescent="0.3">
      <c r="A42" s="4"/>
      <c r="B42" s="28">
        <v>35</v>
      </c>
      <c r="C42" s="677" t="str">
        <f>IF(DATA!E39="","",DATA!E39)</f>
        <v/>
      </c>
      <c r="D42" s="29" t="str">
        <f>IF(DATA!C39="","",DATA!C39)</f>
        <v/>
      </c>
      <c r="E42" s="31"/>
      <c r="F42" s="31"/>
      <c r="G42" s="31"/>
      <c r="H42" s="31"/>
      <c r="I42" s="31"/>
      <c r="J42" s="578"/>
      <c r="K42" s="584"/>
      <c r="L42" s="580" t="str">
        <f>IF('GREEN SHEET'!CE41="","",'GREEN SHEET'!CE41)</f>
        <v/>
      </c>
      <c r="M42" s="31"/>
      <c r="N42" s="4"/>
    </row>
    <row r="43" spans="1:14" s="3" customFormat="1" ht="20.399999999999999" x14ac:dyDescent="0.3">
      <c r="A43" s="4"/>
      <c r="B43" s="28">
        <v>36</v>
      </c>
      <c r="C43" s="677" t="str">
        <f>IF(DATA!E40="","",DATA!E40)</f>
        <v/>
      </c>
      <c r="D43" s="29" t="str">
        <f>IF(DATA!C40="","",DATA!C40)</f>
        <v/>
      </c>
      <c r="E43" s="31"/>
      <c r="F43" s="31"/>
      <c r="G43" s="31"/>
      <c r="H43" s="31"/>
      <c r="I43" s="31"/>
      <c r="J43" s="578"/>
      <c r="K43" s="584"/>
      <c r="L43" s="580" t="str">
        <f>IF('GREEN SHEET'!CE42="","",'GREEN SHEET'!CE42)</f>
        <v/>
      </c>
      <c r="M43" s="31"/>
      <c r="N43" s="4"/>
    </row>
    <row r="44" spans="1:14" s="3" customFormat="1" ht="20.399999999999999" x14ac:dyDescent="0.3">
      <c r="A44" s="4"/>
      <c r="B44" s="28">
        <v>37</v>
      </c>
      <c r="C44" s="677" t="str">
        <f>IF(DATA!E41="","",DATA!E41)</f>
        <v/>
      </c>
      <c r="D44" s="29" t="str">
        <f>IF(DATA!C41="","",DATA!C41)</f>
        <v/>
      </c>
      <c r="E44" s="31"/>
      <c r="F44" s="31"/>
      <c r="G44" s="31"/>
      <c r="H44" s="31"/>
      <c r="I44" s="31"/>
      <c r="J44" s="578"/>
      <c r="K44" s="584"/>
      <c r="L44" s="580" t="str">
        <f>IF('GREEN SHEET'!CE43="","",'GREEN SHEET'!CE43)</f>
        <v/>
      </c>
      <c r="M44" s="31"/>
      <c r="N44" s="4"/>
    </row>
    <row r="45" spans="1:14" s="3" customFormat="1" ht="20.399999999999999" x14ac:dyDescent="0.3">
      <c r="A45" s="4"/>
      <c r="B45" s="28">
        <v>38</v>
      </c>
      <c r="C45" s="677" t="str">
        <f>IF(DATA!E42="","",DATA!E42)</f>
        <v/>
      </c>
      <c r="D45" s="29" t="str">
        <f>IF(DATA!C42="","",DATA!C42)</f>
        <v/>
      </c>
      <c r="E45" s="31"/>
      <c r="F45" s="31"/>
      <c r="G45" s="31"/>
      <c r="H45" s="31"/>
      <c r="I45" s="31"/>
      <c r="J45" s="578"/>
      <c r="K45" s="584"/>
      <c r="L45" s="580" t="str">
        <f>IF('GREEN SHEET'!CE44="","",'GREEN SHEET'!CE44)</f>
        <v/>
      </c>
      <c r="M45" s="31"/>
      <c r="N45" s="4"/>
    </row>
    <row r="46" spans="1:14" s="3" customFormat="1" ht="20.399999999999999" x14ac:dyDescent="0.3">
      <c r="A46" s="4"/>
      <c r="B46" s="28">
        <v>39</v>
      </c>
      <c r="C46" s="677" t="str">
        <f>IF(DATA!E43="","",DATA!E43)</f>
        <v/>
      </c>
      <c r="D46" s="29" t="str">
        <f>IF(DATA!C43="","",DATA!C43)</f>
        <v/>
      </c>
      <c r="E46" s="31"/>
      <c r="F46" s="31"/>
      <c r="G46" s="31"/>
      <c r="H46" s="31"/>
      <c r="I46" s="31"/>
      <c r="J46" s="578"/>
      <c r="K46" s="584"/>
      <c r="L46" s="580" t="str">
        <f>IF('GREEN SHEET'!CE45="","",'GREEN SHEET'!CE45)</f>
        <v/>
      </c>
      <c r="M46" s="31"/>
      <c r="N46" s="4"/>
    </row>
    <row r="47" spans="1:14" s="3" customFormat="1" ht="20.399999999999999" x14ac:dyDescent="0.3">
      <c r="A47" s="4"/>
      <c r="B47" s="28">
        <v>40</v>
      </c>
      <c r="C47" s="677" t="str">
        <f>IF(DATA!E44="","",DATA!E44)</f>
        <v/>
      </c>
      <c r="D47" s="29" t="str">
        <f>IF(DATA!C44="","",DATA!C44)</f>
        <v/>
      </c>
      <c r="E47" s="31"/>
      <c r="F47" s="31"/>
      <c r="G47" s="31"/>
      <c r="H47" s="31"/>
      <c r="I47" s="31"/>
      <c r="J47" s="578"/>
      <c r="K47" s="584"/>
      <c r="L47" s="580" t="str">
        <f>IF('GREEN SHEET'!CE46="","",'GREEN SHEET'!CE46)</f>
        <v/>
      </c>
      <c r="M47" s="31"/>
      <c r="N47" s="4"/>
    </row>
    <row r="48" spans="1:14" s="3" customFormat="1" ht="20.399999999999999" x14ac:dyDescent="0.3">
      <c r="A48" s="4"/>
      <c r="B48" s="28">
        <v>41</v>
      </c>
      <c r="C48" s="677" t="str">
        <f>IF(DATA!E45="","",DATA!E45)</f>
        <v/>
      </c>
      <c r="D48" s="29" t="str">
        <f>IF(DATA!C45="","",DATA!C45)</f>
        <v/>
      </c>
      <c r="E48" s="31"/>
      <c r="F48" s="31"/>
      <c r="G48" s="31"/>
      <c r="H48" s="31"/>
      <c r="I48" s="31"/>
      <c r="J48" s="578"/>
      <c r="K48" s="584"/>
      <c r="L48" s="580" t="str">
        <f>IF('GREEN SHEET'!CE47="","",'GREEN SHEET'!CE47)</f>
        <v/>
      </c>
      <c r="M48" s="31"/>
      <c r="N48" s="4"/>
    </row>
    <row r="49" spans="1:14" s="3" customFormat="1" ht="20.399999999999999" x14ac:dyDescent="0.3">
      <c r="A49" s="4"/>
      <c r="B49" s="28">
        <v>42</v>
      </c>
      <c r="C49" s="677" t="str">
        <f>IF(DATA!E46="","",DATA!E46)</f>
        <v/>
      </c>
      <c r="D49" s="29" t="str">
        <f>IF(DATA!C46="","",DATA!C46)</f>
        <v/>
      </c>
      <c r="E49" s="31"/>
      <c r="F49" s="31"/>
      <c r="G49" s="31"/>
      <c r="H49" s="31"/>
      <c r="I49" s="31"/>
      <c r="J49" s="578"/>
      <c r="K49" s="584"/>
      <c r="L49" s="580" t="str">
        <f>IF('GREEN SHEET'!CE48="","",'GREEN SHEET'!CE48)</f>
        <v/>
      </c>
      <c r="M49" s="31"/>
      <c r="N49" s="4"/>
    </row>
    <row r="50" spans="1:14" s="3" customFormat="1" ht="20.399999999999999" x14ac:dyDescent="0.3">
      <c r="A50" s="4"/>
      <c r="B50" s="28">
        <v>43</v>
      </c>
      <c r="C50" s="677" t="str">
        <f>IF(DATA!E47="","",DATA!E47)</f>
        <v/>
      </c>
      <c r="D50" s="29" t="str">
        <f>IF(DATA!C47="","",DATA!C47)</f>
        <v/>
      </c>
      <c r="E50" s="31"/>
      <c r="F50" s="31"/>
      <c r="G50" s="31"/>
      <c r="H50" s="31"/>
      <c r="I50" s="31"/>
      <c r="J50" s="578"/>
      <c r="K50" s="584"/>
      <c r="L50" s="580" t="str">
        <f>IF('GREEN SHEET'!CE49="","",'GREEN SHEET'!CE49)</f>
        <v/>
      </c>
      <c r="M50" s="31"/>
      <c r="N50" s="4"/>
    </row>
    <row r="51" spans="1:14" s="3" customFormat="1" ht="20.399999999999999" x14ac:dyDescent="0.3">
      <c r="A51" s="4"/>
      <c r="B51" s="28">
        <v>44</v>
      </c>
      <c r="C51" s="677" t="str">
        <f>IF(DATA!E48="","",DATA!E48)</f>
        <v/>
      </c>
      <c r="D51" s="29" t="str">
        <f>IF(DATA!C48="","",DATA!C48)</f>
        <v/>
      </c>
      <c r="E51" s="31"/>
      <c r="F51" s="31"/>
      <c r="G51" s="31"/>
      <c r="H51" s="31"/>
      <c r="I51" s="31"/>
      <c r="J51" s="578"/>
      <c r="K51" s="584"/>
      <c r="L51" s="580" t="str">
        <f>IF('GREEN SHEET'!CE50="","",'GREEN SHEET'!CE50)</f>
        <v/>
      </c>
      <c r="M51" s="31"/>
      <c r="N51" s="4"/>
    </row>
    <row r="52" spans="1:14" s="3" customFormat="1" ht="21" thickBot="1" x14ac:dyDescent="0.35">
      <c r="A52" s="4"/>
      <c r="B52" s="374">
        <v>45</v>
      </c>
      <c r="C52" s="679" t="str">
        <f>IF(DATA!E49="","",DATA!E49)</f>
        <v/>
      </c>
      <c r="D52" s="375" t="str">
        <f>IF(DATA!C49="","",DATA!C49)</f>
        <v/>
      </c>
      <c r="E52" s="210"/>
      <c r="F52" s="210"/>
      <c r="G52" s="210"/>
      <c r="H52" s="210"/>
      <c r="I52" s="210"/>
      <c r="J52" s="579"/>
      <c r="K52" s="584"/>
      <c r="L52" s="580" t="str">
        <f>IF('GREEN SHEET'!CE51="","",'GREEN SHEET'!CE51)</f>
        <v/>
      </c>
      <c r="M52" s="31"/>
      <c r="N52" s="4"/>
    </row>
    <row r="53" spans="1:14" s="3" customFormat="1" ht="49.95" customHeight="1" thickBot="1" x14ac:dyDescent="0.35">
      <c r="A53" s="4"/>
      <c r="B53" s="848" t="s">
        <v>267</v>
      </c>
      <c r="C53" s="849"/>
      <c r="D53" s="849"/>
      <c r="E53" s="825"/>
      <c r="F53" s="826"/>
      <c r="G53" s="826"/>
      <c r="H53" s="826"/>
      <c r="I53" s="826"/>
      <c r="J53" s="826"/>
      <c r="K53" s="584"/>
      <c r="L53" s="846"/>
      <c r="M53" s="846"/>
      <c r="N53" s="4"/>
    </row>
    <row r="54" spans="1:14" s="3" customFormat="1" ht="14.4" x14ac:dyDescent="0.3">
      <c r="A54" s="4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4"/>
    </row>
    <row r="55" spans="1:14" ht="14.4" hidden="1" x14ac:dyDescent="0.3"/>
  </sheetData>
  <sheetProtection algorithmName="SHA-512" hashValue="Jz8trYrT3s0jYa9tloBRhwLwbQ0pjGXwzr9qLOzRr8rfc3BlgMoyx/FOtICBlmIDkLq3PuXdXcRHYCfL75VvFA==" saltValue="eXqKqg5U0L8fZZIlb5qFNg==" spinCount="100000" sheet="1" objects="1" scenarios="1" selectLockedCells="1"/>
  <mergeCells count="9">
    <mergeCell ref="L53:M53"/>
    <mergeCell ref="B2:J2"/>
    <mergeCell ref="B3:J3"/>
    <mergeCell ref="B53:D53"/>
    <mergeCell ref="H4:J4"/>
    <mergeCell ref="F5:G5"/>
    <mergeCell ref="I5:J5"/>
    <mergeCell ref="B7:D7"/>
    <mergeCell ref="E53:J53"/>
  </mergeCells>
  <hyperlinks>
    <hyperlink ref="A1" location="DASHBOARD!A1" display="D"/>
  </hyperlinks>
  <pageMargins left="0.52" right="0.3" top="0.21" bottom="0.28999999999999998" header="0.12" footer="0.31496062992125984"/>
  <pageSetup paperSize="9" scale="5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U54"/>
  <sheetViews>
    <sheetView topLeftCell="A2" zoomScale="85" zoomScaleNormal="85" workbookViewId="0">
      <selection activeCell="E7" sqref="E7:K8"/>
    </sheetView>
  </sheetViews>
  <sheetFormatPr defaultColWidth="0" defaultRowHeight="0" customHeight="1" zeroHeight="1" x14ac:dyDescent="0.3"/>
  <cols>
    <col min="1" max="1" width="4" style="3" customWidth="1"/>
    <col min="2" max="2" width="6.44140625" style="34" bestFit="1" customWidth="1"/>
    <col min="3" max="3" width="54.109375" style="34" customWidth="1"/>
    <col min="4" max="4" width="11.5546875" style="34" customWidth="1"/>
    <col min="5" max="7" width="13.44140625" style="35" customWidth="1"/>
    <col min="8" max="8" width="15.33203125" style="35" customWidth="1"/>
    <col min="9" max="11" width="13.44140625" style="35" customWidth="1"/>
    <col min="12" max="12" width="3" style="42" customWidth="1"/>
    <col min="13" max="15" width="13.44140625" style="35" customWidth="1"/>
    <col min="16" max="16" width="7.5546875" style="42" customWidth="1"/>
    <col min="17" max="21" width="0" style="35" hidden="1" customWidth="1"/>
    <col min="22" max="16384" width="9.109375" style="35" hidden="1"/>
  </cols>
  <sheetData>
    <row r="1" spans="1:16" s="34" customFormat="1" ht="19.5" customHeight="1" x14ac:dyDescent="0.25">
      <c r="A1" s="5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s="34" customFormat="1" ht="30" x14ac:dyDescent="0.3">
      <c r="A2" s="4"/>
      <c r="B2" s="820" t="str">
        <f>DASHBOARD!B2&amp;DASHBOARD!B3</f>
        <v xml:space="preserve">SWAMI VIVEKANAND GOVT. MODEL SCHOOL,  AMET, BLOCK-AMET, RAJSAMAND                                                                </v>
      </c>
      <c r="C2" s="820"/>
      <c r="D2" s="820"/>
      <c r="E2" s="820"/>
      <c r="F2" s="820"/>
      <c r="G2" s="820"/>
      <c r="H2" s="820"/>
      <c r="I2" s="820"/>
      <c r="J2" s="820"/>
      <c r="K2" s="820"/>
      <c r="L2" s="284"/>
      <c r="M2" s="573"/>
      <c r="N2" s="573"/>
      <c r="O2" s="573"/>
      <c r="P2" s="22"/>
    </row>
    <row r="3" spans="1:16" s="34" customFormat="1" ht="30" x14ac:dyDescent="0.3">
      <c r="A3" s="4"/>
      <c r="B3" s="854" t="str">
        <f>IF(DASHBOARD!B4="","",DASHBOARD!B4)</f>
        <v>SESSION    -  2025-26</v>
      </c>
      <c r="C3" s="854"/>
      <c r="D3" s="854"/>
      <c r="E3" s="854"/>
      <c r="F3" s="854"/>
      <c r="G3" s="854"/>
      <c r="H3" s="854"/>
      <c r="I3" s="854"/>
      <c r="J3" s="854"/>
      <c r="K3" s="854"/>
      <c r="L3" s="284"/>
      <c r="M3" s="573"/>
      <c r="N3" s="573"/>
      <c r="O3" s="573"/>
      <c r="P3" s="22"/>
    </row>
    <row r="4" spans="1:16" s="288" customFormat="1" ht="27.75" customHeight="1" x14ac:dyDescent="0.3">
      <c r="A4" s="285"/>
      <c r="B4" s="111"/>
      <c r="C4" s="289" t="s">
        <v>63</v>
      </c>
      <c r="D4" s="111" t="str">
        <f>DASHBOARD!B8&amp;DASHBOARD!C8</f>
        <v>XI A</v>
      </c>
      <c r="E4" s="111"/>
      <c r="F4" s="111"/>
      <c r="G4" s="855" t="s">
        <v>158</v>
      </c>
      <c r="H4" s="855"/>
      <c r="I4" s="855"/>
      <c r="J4" s="855"/>
      <c r="K4" s="855"/>
      <c r="L4" s="111"/>
      <c r="M4" s="286"/>
      <c r="N4" s="286"/>
      <c r="O4" s="286"/>
      <c r="P4" s="287"/>
    </row>
    <row r="5" spans="1:16" s="34" customFormat="1" ht="105" customHeight="1" thickBot="1" x14ac:dyDescent="0.35">
      <c r="A5" s="4"/>
      <c r="B5" s="680" t="s">
        <v>65</v>
      </c>
      <c r="C5" s="681" t="s">
        <v>64</v>
      </c>
      <c r="D5" s="681" t="s">
        <v>3</v>
      </c>
      <c r="E5" s="682" t="s">
        <v>98</v>
      </c>
      <c r="F5" s="682" t="s">
        <v>99</v>
      </c>
      <c r="G5" s="682" t="s">
        <v>100</v>
      </c>
      <c r="H5" s="682" t="s">
        <v>137</v>
      </c>
      <c r="I5" s="682" t="s">
        <v>135</v>
      </c>
      <c r="J5" s="682" t="s">
        <v>136</v>
      </c>
      <c r="K5" s="696" t="s">
        <v>18</v>
      </c>
      <c r="L5" s="581"/>
      <c r="M5" s="700" t="s">
        <v>152</v>
      </c>
      <c r="N5" s="682" t="s">
        <v>41</v>
      </c>
      <c r="O5" s="682" t="s">
        <v>122</v>
      </c>
      <c r="P5" s="22"/>
    </row>
    <row r="6" spans="1:16" s="34" customFormat="1" ht="37.5" customHeight="1" thickBot="1" x14ac:dyDescent="0.35">
      <c r="A6" s="4"/>
      <c r="B6" s="852" t="s">
        <v>19</v>
      </c>
      <c r="C6" s="853"/>
      <c r="D6" s="853"/>
      <c r="E6" s="698">
        <v>10</v>
      </c>
      <c r="F6" s="698">
        <v>80</v>
      </c>
      <c r="G6" s="698">
        <v>10</v>
      </c>
      <c r="H6" s="698">
        <v>5</v>
      </c>
      <c r="I6" s="698">
        <v>3</v>
      </c>
      <c r="J6" s="698">
        <v>2</v>
      </c>
      <c r="K6" s="699">
        <v>80</v>
      </c>
      <c r="L6" s="587"/>
      <c r="M6" s="704">
        <f>IF('GREEN SHEET'!AQ6="","",'GREEN SHEET'!AQ6)</f>
        <v>20</v>
      </c>
      <c r="N6" s="705">
        <f>IF('GREEN SHEET'!AS6="","",'GREEN SHEET'!AS6)</f>
        <v>100</v>
      </c>
      <c r="O6" s="699">
        <v>80</v>
      </c>
      <c r="P6" s="22"/>
    </row>
    <row r="7" spans="1:16" s="34" customFormat="1" ht="35.25" customHeight="1" x14ac:dyDescent="0.3">
      <c r="A7" s="4"/>
      <c r="B7" s="697">
        <v>1</v>
      </c>
      <c r="C7" s="706" t="str">
        <f>IF(DATA!E5="","",DATA!E5)</f>
        <v>Devendra Sharma</v>
      </c>
      <c r="D7" s="555">
        <f>IF(DATA!C5="","",DATA!C5)</f>
        <v>1101</v>
      </c>
      <c r="E7" s="685"/>
      <c r="F7" s="685"/>
      <c r="G7" s="685"/>
      <c r="H7" s="685"/>
      <c r="I7" s="685"/>
      <c r="J7" s="685"/>
      <c r="K7" s="695"/>
      <c r="L7" s="111"/>
      <c r="M7" s="701" t="str">
        <f>IF('GREEN SHEET'!AQ7="","",'GREEN SHEET'!AQ7)</f>
        <v/>
      </c>
      <c r="N7" s="702" t="str">
        <f>IF('GREEN SHEET'!AS7="","",'GREEN SHEET'!AS7)</f>
        <v/>
      </c>
      <c r="O7" s="703"/>
      <c r="P7" s="22"/>
    </row>
    <row r="8" spans="1:16" s="34" customFormat="1" ht="35.25" customHeight="1" x14ac:dyDescent="0.3">
      <c r="A8" s="4"/>
      <c r="B8" s="40">
        <v>2</v>
      </c>
      <c r="C8" s="707" t="str">
        <f>IF(DATA!E6="","",DATA!E6)</f>
        <v>DHARA SALVI</v>
      </c>
      <c r="D8" s="108">
        <f>IF(DATA!C6="","",DATA!C6)</f>
        <v>1102</v>
      </c>
      <c r="E8" s="30"/>
      <c r="F8" s="30"/>
      <c r="G8" s="30"/>
      <c r="H8" s="30"/>
      <c r="I8" s="30"/>
      <c r="J8" s="30"/>
      <c r="K8" s="577"/>
      <c r="L8" s="111"/>
      <c r="M8" s="660" t="str">
        <f>IF('GREEN SHEET'!AQ8="","",'GREEN SHEET'!AQ8)</f>
        <v/>
      </c>
      <c r="N8" s="133" t="str">
        <f>IF('GREEN SHEET'!AS8="","",'GREEN SHEET'!AS8)</f>
        <v/>
      </c>
      <c r="O8" s="132"/>
      <c r="P8" s="22"/>
    </row>
    <row r="9" spans="1:16" s="34" customFormat="1" ht="35.25" customHeight="1" x14ac:dyDescent="0.3">
      <c r="A9" s="4"/>
      <c r="B9" s="40">
        <v>3</v>
      </c>
      <c r="C9" s="707" t="str">
        <f>IF(DATA!E7="","",DATA!E7)</f>
        <v>HARSHIKA RAO</v>
      </c>
      <c r="D9" s="108">
        <f>IF(DATA!C7="","",DATA!C7)</f>
        <v>1103</v>
      </c>
      <c r="E9" s="30"/>
      <c r="F9" s="30"/>
      <c r="G9" s="30"/>
      <c r="H9" s="30"/>
      <c r="I9" s="30"/>
      <c r="J9" s="30"/>
      <c r="K9" s="577"/>
      <c r="L9" s="111"/>
      <c r="M9" s="660" t="str">
        <f>IF('GREEN SHEET'!AQ9="","",'GREEN SHEET'!AQ9)</f>
        <v/>
      </c>
      <c r="N9" s="133" t="str">
        <f>IF('GREEN SHEET'!AS9="","",'GREEN SHEET'!AS9)</f>
        <v/>
      </c>
      <c r="O9" s="132"/>
      <c r="P9" s="22"/>
    </row>
    <row r="10" spans="1:16" s="34" customFormat="1" ht="35.25" customHeight="1" x14ac:dyDescent="0.3">
      <c r="A10" s="4"/>
      <c r="B10" s="40">
        <v>4</v>
      </c>
      <c r="C10" s="707" t="str">
        <f>IF(DATA!E8="","",DATA!E8)</f>
        <v/>
      </c>
      <c r="D10" s="108" t="str">
        <f>IF(DATA!C8="","",DATA!C8)</f>
        <v/>
      </c>
      <c r="E10" s="30"/>
      <c r="F10" s="30"/>
      <c r="G10" s="30"/>
      <c r="H10" s="30"/>
      <c r="I10" s="30"/>
      <c r="J10" s="30"/>
      <c r="K10" s="577"/>
      <c r="L10" s="111"/>
      <c r="M10" s="660" t="str">
        <f>IF('GREEN SHEET'!AQ10="","",'GREEN SHEET'!AQ10)</f>
        <v/>
      </c>
      <c r="N10" s="133" t="str">
        <f>IF('GREEN SHEET'!AS10="","",'GREEN SHEET'!AS10)</f>
        <v/>
      </c>
      <c r="O10" s="132"/>
      <c r="P10" s="22"/>
    </row>
    <row r="11" spans="1:16" s="34" customFormat="1" ht="35.25" customHeight="1" x14ac:dyDescent="0.3">
      <c r="A11" s="4"/>
      <c r="B11" s="40">
        <v>5</v>
      </c>
      <c r="C11" s="707" t="str">
        <f>IF(DATA!E9="","",DATA!E9)</f>
        <v/>
      </c>
      <c r="D11" s="108" t="str">
        <f>IF(DATA!C9="","",DATA!C9)</f>
        <v/>
      </c>
      <c r="E11" s="30"/>
      <c r="F11" s="30"/>
      <c r="G11" s="30"/>
      <c r="H11" s="30"/>
      <c r="I11" s="30"/>
      <c r="J11" s="30"/>
      <c r="K11" s="577"/>
      <c r="L11" s="111"/>
      <c r="M11" s="660" t="str">
        <f>IF('GREEN SHEET'!AQ11="","",'GREEN SHEET'!AQ11)</f>
        <v/>
      </c>
      <c r="N11" s="133" t="str">
        <f>IF('GREEN SHEET'!AS11="","",'GREEN SHEET'!AS11)</f>
        <v/>
      </c>
      <c r="O11" s="132"/>
      <c r="P11" s="22"/>
    </row>
    <row r="12" spans="1:16" s="34" customFormat="1" ht="35.25" customHeight="1" x14ac:dyDescent="0.3">
      <c r="A12" s="4"/>
      <c r="B12" s="40">
        <v>6</v>
      </c>
      <c r="C12" s="707" t="str">
        <f>IF(DATA!E10="","",DATA!E10)</f>
        <v/>
      </c>
      <c r="D12" s="108" t="str">
        <f>IF(DATA!C10="","",DATA!C10)</f>
        <v/>
      </c>
      <c r="E12" s="30"/>
      <c r="F12" s="30"/>
      <c r="G12" s="30"/>
      <c r="H12" s="30"/>
      <c r="I12" s="30"/>
      <c r="J12" s="30"/>
      <c r="K12" s="577"/>
      <c r="L12" s="588"/>
      <c r="M12" s="660" t="str">
        <f>IF('GREEN SHEET'!AQ12="","",'GREEN SHEET'!AQ12)</f>
        <v/>
      </c>
      <c r="N12" s="133" t="str">
        <f>IF('GREEN SHEET'!AS12="","",'GREEN SHEET'!AS12)</f>
        <v/>
      </c>
      <c r="O12" s="132"/>
      <c r="P12" s="22"/>
    </row>
    <row r="13" spans="1:16" s="34" customFormat="1" ht="35.25" customHeight="1" x14ac:dyDescent="0.3">
      <c r="A13" s="4"/>
      <c r="B13" s="40">
        <v>7</v>
      </c>
      <c r="C13" s="707" t="str">
        <f>IF(DATA!E11="","",DATA!E11)</f>
        <v/>
      </c>
      <c r="D13" s="108" t="str">
        <f>IF(DATA!C11="","",DATA!C11)</f>
        <v/>
      </c>
      <c r="E13" s="30"/>
      <c r="F13" s="30"/>
      <c r="G13" s="30"/>
      <c r="H13" s="30"/>
      <c r="I13" s="30"/>
      <c r="J13" s="30"/>
      <c r="K13" s="577"/>
      <c r="L13" s="111"/>
      <c r="M13" s="660" t="str">
        <f>IF('GREEN SHEET'!AQ13="","",'GREEN SHEET'!AQ13)</f>
        <v/>
      </c>
      <c r="N13" s="133" t="str">
        <f>IF('GREEN SHEET'!AS13="","",'GREEN SHEET'!AS13)</f>
        <v/>
      </c>
      <c r="O13" s="132"/>
      <c r="P13" s="22"/>
    </row>
    <row r="14" spans="1:16" s="34" customFormat="1" ht="35.25" customHeight="1" x14ac:dyDescent="0.3">
      <c r="A14" s="4"/>
      <c r="B14" s="40">
        <v>8</v>
      </c>
      <c r="C14" s="707" t="str">
        <f>IF(DATA!E12="","",DATA!E12)</f>
        <v/>
      </c>
      <c r="D14" s="108" t="str">
        <f>IF(DATA!C12="","",DATA!C12)</f>
        <v/>
      </c>
      <c r="E14" s="30"/>
      <c r="F14" s="30"/>
      <c r="G14" s="30"/>
      <c r="H14" s="30"/>
      <c r="I14" s="30"/>
      <c r="J14" s="30"/>
      <c r="K14" s="577"/>
      <c r="L14" s="111"/>
      <c r="M14" s="660" t="str">
        <f>IF('GREEN SHEET'!AQ14="","",'GREEN SHEET'!AQ14)</f>
        <v/>
      </c>
      <c r="N14" s="133" t="str">
        <f>IF('GREEN SHEET'!AS14="","",'GREEN SHEET'!AS14)</f>
        <v/>
      </c>
      <c r="O14" s="132"/>
      <c r="P14" s="22"/>
    </row>
    <row r="15" spans="1:16" s="34" customFormat="1" ht="35.25" customHeight="1" x14ac:dyDescent="0.3">
      <c r="A15" s="4"/>
      <c r="B15" s="40">
        <v>9</v>
      </c>
      <c r="C15" s="707" t="str">
        <f>IF(DATA!E13="","",DATA!E13)</f>
        <v/>
      </c>
      <c r="D15" s="108" t="str">
        <f>IF(DATA!C13="","",DATA!C13)</f>
        <v/>
      </c>
      <c r="E15" s="30"/>
      <c r="F15" s="30"/>
      <c r="G15" s="30"/>
      <c r="H15" s="30"/>
      <c r="I15" s="30"/>
      <c r="J15" s="30"/>
      <c r="K15" s="577"/>
      <c r="L15" s="111"/>
      <c r="M15" s="660" t="str">
        <f>IF('GREEN SHEET'!AQ15="","",'GREEN SHEET'!AQ15)</f>
        <v/>
      </c>
      <c r="N15" s="133" t="str">
        <f>IF('GREEN SHEET'!AS15="","",'GREEN SHEET'!AS15)</f>
        <v/>
      </c>
      <c r="O15" s="132"/>
      <c r="P15" s="22"/>
    </row>
    <row r="16" spans="1:16" s="34" customFormat="1" ht="35.25" customHeight="1" x14ac:dyDescent="0.3">
      <c r="A16" s="4"/>
      <c r="B16" s="40">
        <v>10</v>
      </c>
      <c r="C16" s="707" t="str">
        <f>IF(DATA!E14="","",DATA!E14)</f>
        <v/>
      </c>
      <c r="D16" s="108" t="str">
        <f>IF(DATA!C14="","",DATA!C14)</f>
        <v/>
      </c>
      <c r="E16" s="30"/>
      <c r="F16" s="30"/>
      <c r="G16" s="30"/>
      <c r="H16" s="30"/>
      <c r="I16" s="30"/>
      <c r="J16" s="30"/>
      <c r="K16" s="577"/>
      <c r="L16" s="111"/>
      <c r="M16" s="660" t="str">
        <f>IF('GREEN SHEET'!AQ16="","",'GREEN SHEET'!AQ16)</f>
        <v/>
      </c>
      <c r="N16" s="133" t="str">
        <f>IF('GREEN SHEET'!AS16="","",'GREEN SHEET'!AS16)</f>
        <v/>
      </c>
      <c r="O16" s="132"/>
      <c r="P16" s="22"/>
    </row>
    <row r="17" spans="1:16" s="34" customFormat="1" ht="35.25" customHeight="1" x14ac:dyDescent="0.3">
      <c r="A17" s="4"/>
      <c r="B17" s="40">
        <v>11</v>
      </c>
      <c r="C17" s="707" t="str">
        <f>IF(DATA!E15="","",DATA!E15)</f>
        <v/>
      </c>
      <c r="D17" s="108" t="str">
        <f>IF(DATA!C15="","",DATA!C15)</f>
        <v/>
      </c>
      <c r="E17" s="30"/>
      <c r="F17" s="30"/>
      <c r="G17" s="30"/>
      <c r="H17" s="30"/>
      <c r="I17" s="30"/>
      <c r="J17" s="30"/>
      <c r="K17" s="577"/>
      <c r="L17" s="111"/>
      <c r="M17" s="660" t="str">
        <f>IF('GREEN SHEET'!AQ17="","",'GREEN SHEET'!AQ17)</f>
        <v/>
      </c>
      <c r="N17" s="133" t="str">
        <f>IF('GREEN SHEET'!AS17="","",'GREEN SHEET'!AS17)</f>
        <v/>
      </c>
      <c r="O17" s="132"/>
      <c r="P17" s="22"/>
    </row>
    <row r="18" spans="1:16" s="34" customFormat="1" ht="35.25" customHeight="1" x14ac:dyDescent="0.3">
      <c r="A18" s="4"/>
      <c r="B18" s="40">
        <v>12</v>
      </c>
      <c r="C18" s="707" t="str">
        <f>IF(DATA!E16="","",DATA!E16)</f>
        <v/>
      </c>
      <c r="D18" s="108" t="str">
        <f>IF(DATA!C16="","",DATA!C16)</f>
        <v/>
      </c>
      <c r="E18" s="30"/>
      <c r="F18" s="30"/>
      <c r="G18" s="30"/>
      <c r="H18" s="30"/>
      <c r="I18" s="30"/>
      <c r="J18" s="30"/>
      <c r="K18" s="577"/>
      <c r="L18" s="111"/>
      <c r="M18" s="660" t="str">
        <f>IF('GREEN SHEET'!AQ18="","",'GREEN SHEET'!AQ18)</f>
        <v/>
      </c>
      <c r="N18" s="133" t="str">
        <f>IF('GREEN SHEET'!AS18="","",'GREEN SHEET'!AS18)</f>
        <v/>
      </c>
      <c r="O18" s="132"/>
      <c r="P18" s="22"/>
    </row>
    <row r="19" spans="1:16" s="34" customFormat="1" ht="35.25" customHeight="1" x14ac:dyDescent="0.3">
      <c r="A19" s="4"/>
      <c r="B19" s="40">
        <v>13</v>
      </c>
      <c r="C19" s="707" t="str">
        <f>IF(DATA!E17="","",DATA!E17)</f>
        <v/>
      </c>
      <c r="D19" s="108" t="str">
        <f>IF(DATA!C17="","",DATA!C17)</f>
        <v/>
      </c>
      <c r="E19" s="30"/>
      <c r="F19" s="30"/>
      <c r="G19" s="30"/>
      <c r="H19" s="30"/>
      <c r="I19" s="30"/>
      <c r="J19" s="30"/>
      <c r="K19" s="577"/>
      <c r="L19" s="111"/>
      <c r="M19" s="660" t="str">
        <f>IF('GREEN SHEET'!AQ19="","",'GREEN SHEET'!AQ19)</f>
        <v/>
      </c>
      <c r="N19" s="133" t="str">
        <f>IF('GREEN SHEET'!AS19="","",'GREEN SHEET'!AS19)</f>
        <v/>
      </c>
      <c r="O19" s="132"/>
      <c r="P19" s="22"/>
    </row>
    <row r="20" spans="1:16" s="34" customFormat="1" ht="35.25" customHeight="1" x14ac:dyDescent="0.3">
      <c r="A20" s="4"/>
      <c r="B20" s="40">
        <v>14</v>
      </c>
      <c r="C20" s="707" t="str">
        <f>IF(DATA!E18="","",DATA!E18)</f>
        <v/>
      </c>
      <c r="D20" s="108" t="str">
        <f>IF(DATA!C18="","",DATA!C18)</f>
        <v/>
      </c>
      <c r="E20" s="30"/>
      <c r="F20" s="30"/>
      <c r="G20" s="30"/>
      <c r="H20" s="30"/>
      <c r="I20" s="30"/>
      <c r="J20" s="30"/>
      <c r="K20" s="577"/>
      <c r="L20" s="111"/>
      <c r="M20" s="660" t="str">
        <f>IF('GREEN SHEET'!AQ20="","",'GREEN SHEET'!AQ20)</f>
        <v/>
      </c>
      <c r="N20" s="133" t="str">
        <f>IF('GREEN SHEET'!AS20="","",'GREEN SHEET'!AS20)</f>
        <v/>
      </c>
      <c r="O20" s="132"/>
      <c r="P20" s="22"/>
    </row>
    <row r="21" spans="1:16" s="34" customFormat="1" ht="35.25" customHeight="1" x14ac:dyDescent="0.3">
      <c r="A21" s="4"/>
      <c r="B21" s="47">
        <v>15</v>
      </c>
      <c r="C21" s="708" t="str">
        <f>IF(DATA!E19="","",DATA!E19)</f>
        <v/>
      </c>
      <c r="D21" s="131" t="str">
        <f>IF(DATA!C19="","",DATA!C19)</f>
        <v/>
      </c>
      <c r="E21" s="393"/>
      <c r="F21" s="393"/>
      <c r="G21" s="393"/>
      <c r="H21" s="30"/>
      <c r="I21" s="30"/>
      <c r="J21" s="30"/>
      <c r="K21" s="577"/>
      <c r="L21" s="589"/>
      <c r="M21" s="660" t="str">
        <f>IF('GREEN SHEET'!AQ21="","",'GREEN SHEET'!AQ21)</f>
        <v/>
      </c>
      <c r="N21" s="133" t="str">
        <f>IF('GREEN SHEET'!AS21="","",'GREEN SHEET'!AS21)</f>
        <v/>
      </c>
      <c r="O21" s="134"/>
      <c r="P21" s="22"/>
    </row>
    <row r="22" spans="1:16" s="34" customFormat="1" ht="35.25" customHeight="1" x14ac:dyDescent="0.3">
      <c r="A22" s="4"/>
      <c r="B22" s="40">
        <v>16</v>
      </c>
      <c r="C22" s="707" t="str">
        <f>IF(DATA!E20="","",DATA!E20)</f>
        <v/>
      </c>
      <c r="D22" s="108" t="str">
        <f>IF(DATA!C20="","",DATA!C20)</f>
        <v/>
      </c>
      <c r="E22" s="30"/>
      <c r="F22" s="30"/>
      <c r="G22" s="30"/>
      <c r="H22" s="30"/>
      <c r="I22" s="30"/>
      <c r="J22" s="30"/>
      <c r="K22" s="577"/>
      <c r="L22" s="111"/>
      <c r="M22" s="660" t="str">
        <f>IF('GREEN SHEET'!AQ22="","",'GREEN SHEET'!AQ22)</f>
        <v/>
      </c>
      <c r="N22" s="133" t="str">
        <f>IF('GREEN SHEET'!AS22="","",'GREEN SHEET'!AS22)</f>
        <v/>
      </c>
      <c r="O22" s="132"/>
      <c r="P22" s="22"/>
    </row>
    <row r="23" spans="1:16" s="34" customFormat="1" ht="35.25" customHeight="1" x14ac:dyDescent="0.3">
      <c r="A23" s="4"/>
      <c r="B23" s="47">
        <v>17</v>
      </c>
      <c r="C23" s="708" t="str">
        <f>IF(DATA!E21="","",DATA!E21)</f>
        <v/>
      </c>
      <c r="D23" s="131" t="str">
        <f>IF(DATA!C21="","",DATA!C21)</f>
        <v/>
      </c>
      <c r="E23" s="393"/>
      <c r="F23" s="393"/>
      <c r="G23" s="393"/>
      <c r="H23" s="30"/>
      <c r="I23" s="30"/>
      <c r="J23" s="30"/>
      <c r="K23" s="577"/>
      <c r="L23" s="589"/>
      <c r="M23" s="660" t="str">
        <f>IF('GREEN SHEET'!AQ23="","",'GREEN SHEET'!AQ23)</f>
        <v/>
      </c>
      <c r="N23" s="133" t="str">
        <f>IF('GREEN SHEET'!AS23="","",'GREEN SHEET'!AS23)</f>
        <v/>
      </c>
      <c r="O23" s="134"/>
      <c r="P23" s="22"/>
    </row>
    <row r="24" spans="1:16" s="34" customFormat="1" ht="35.25" customHeight="1" x14ac:dyDescent="0.3">
      <c r="A24" s="4"/>
      <c r="B24" s="40">
        <v>18</v>
      </c>
      <c r="C24" s="707" t="str">
        <f>IF(DATA!E22="","",DATA!E22)</f>
        <v/>
      </c>
      <c r="D24" s="108" t="str">
        <f>IF(DATA!C22="","",DATA!C22)</f>
        <v/>
      </c>
      <c r="E24" s="30"/>
      <c r="F24" s="30"/>
      <c r="G24" s="30"/>
      <c r="H24" s="30"/>
      <c r="I24" s="30"/>
      <c r="J24" s="30"/>
      <c r="K24" s="577"/>
      <c r="L24" s="111"/>
      <c r="M24" s="660" t="str">
        <f>IF('GREEN SHEET'!AQ24="","",'GREEN SHEET'!AQ24)</f>
        <v/>
      </c>
      <c r="N24" s="133" t="str">
        <f>IF('GREEN SHEET'!AS24="","",'GREEN SHEET'!AS24)</f>
        <v/>
      </c>
      <c r="O24" s="132"/>
      <c r="P24" s="22"/>
    </row>
    <row r="25" spans="1:16" s="34" customFormat="1" ht="35.25" customHeight="1" x14ac:dyDescent="0.3">
      <c r="A25" s="4"/>
      <c r="B25" s="40">
        <v>19</v>
      </c>
      <c r="C25" s="707" t="str">
        <f>IF(DATA!E23="","",DATA!E23)</f>
        <v/>
      </c>
      <c r="D25" s="108" t="str">
        <f>IF(DATA!C23="","",DATA!C23)</f>
        <v/>
      </c>
      <c r="E25" s="30"/>
      <c r="F25" s="30"/>
      <c r="G25" s="30"/>
      <c r="H25" s="30"/>
      <c r="I25" s="30"/>
      <c r="J25" s="30"/>
      <c r="K25" s="577"/>
      <c r="L25" s="111"/>
      <c r="M25" s="660" t="str">
        <f>IF('GREEN SHEET'!AQ25="","",'GREEN SHEET'!AQ25)</f>
        <v/>
      </c>
      <c r="N25" s="133" t="str">
        <f>IF('GREEN SHEET'!AS25="","",'GREEN SHEET'!AS25)</f>
        <v/>
      </c>
      <c r="O25" s="132"/>
      <c r="P25" s="22"/>
    </row>
    <row r="26" spans="1:16" s="34" customFormat="1" ht="35.25" customHeight="1" x14ac:dyDescent="0.3">
      <c r="A26" s="4"/>
      <c r="B26" s="40">
        <v>20</v>
      </c>
      <c r="C26" s="707" t="str">
        <f>IF(DATA!E24="","",DATA!E24)</f>
        <v/>
      </c>
      <c r="D26" s="108" t="str">
        <f>IF(DATA!C24="","",DATA!C24)</f>
        <v/>
      </c>
      <c r="E26" s="30"/>
      <c r="F26" s="30"/>
      <c r="G26" s="30"/>
      <c r="H26" s="30"/>
      <c r="I26" s="30"/>
      <c r="J26" s="30"/>
      <c r="K26" s="577"/>
      <c r="L26" s="111"/>
      <c r="M26" s="660" t="str">
        <f>IF('GREEN SHEET'!AQ26="","",'GREEN SHEET'!AQ26)</f>
        <v/>
      </c>
      <c r="N26" s="133" t="str">
        <f>IF('GREEN SHEET'!AS26="","",'GREEN SHEET'!AS26)</f>
        <v/>
      </c>
      <c r="O26" s="132"/>
      <c r="P26" s="22"/>
    </row>
    <row r="27" spans="1:16" s="34" customFormat="1" ht="35.25" customHeight="1" x14ac:dyDescent="0.3">
      <c r="A27" s="4"/>
      <c r="B27" s="40">
        <v>21</v>
      </c>
      <c r="C27" s="707" t="str">
        <f>IF(DATA!E25="","",DATA!E25)</f>
        <v/>
      </c>
      <c r="D27" s="108" t="str">
        <f>IF(DATA!C25="","",DATA!C25)</f>
        <v/>
      </c>
      <c r="E27" s="30"/>
      <c r="F27" s="30"/>
      <c r="G27" s="30"/>
      <c r="H27" s="30"/>
      <c r="I27" s="30"/>
      <c r="J27" s="30"/>
      <c r="K27" s="577"/>
      <c r="L27" s="111"/>
      <c r="M27" s="660" t="str">
        <f>IF('GREEN SHEET'!AQ27="","",'GREEN SHEET'!AQ27)</f>
        <v/>
      </c>
      <c r="N27" s="133" t="str">
        <f>IF('GREEN SHEET'!AS27="","",'GREEN SHEET'!AS27)</f>
        <v/>
      </c>
      <c r="O27" s="132"/>
      <c r="P27" s="22"/>
    </row>
    <row r="28" spans="1:16" s="34" customFormat="1" ht="35.25" customHeight="1" x14ac:dyDescent="0.3">
      <c r="A28" s="4"/>
      <c r="B28" s="40">
        <v>22</v>
      </c>
      <c r="C28" s="707" t="str">
        <f>IF(DATA!E26="","",DATA!E26)</f>
        <v/>
      </c>
      <c r="D28" s="108" t="str">
        <f>IF(DATA!C26="","",DATA!C26)</f>
        <v/>
      </c>
      <c r="E28" s="30"/>
      <c r="F28" s="30"/>
      <c r="G28" s="30"/>
      <c r="H28" s="30"/>
      <c r="I28" s="30"/>
      <c r="J28" s="30"/>
      <c r="K28" s="577"/>
      <c r="L28" s="111"/>
      <c r="M28" s="660" t="str">
        <f>IF('GREEN SHEET'!AQ28="","",'GREEN SHEET'!AQ28)</f>
        <v/>
      </c>
      <c r="N28" s="133" t="str">
        <f>IF('GREEN SHEET'!AS28="","",'GREEN SHEET'!AS28)</f>
        <v/>
      </c>
      <c r="O28" s="132"/>
      <c r="P28" s="22"/>
    </row>
    <row r="29" spans="1:16" s="34" customFormat="1" ht="35.25" customHeight="1" x14ac:dyDescent="0.3">
      <c r="A29" s="4"/>
      <c r="B29" s="40">
        <v>23</v>
      </c>
      <c r="C29" s="707" t="str">
        <f>IF(DATA!E27="","",DATA!E27)</f>
        <v/>
      </c>
      <c r="D29" s="108" t="str">
        <f>IF(DATA!C27="","",DATA!C27)</f>
        <v/>
      </c>
      <c r="E29" s="30"/>
      <c r="F29" s="30"/>
      <c r="G29" s="30"/>
      <c r="H29" s="30"/>
      <c r="I29" s="30"/>
      <c r="J29" s="30"/>
      <c r="K29" s="577"/>
      <c r="L29" s="111"/>
      <c r="M29" s="660" t="str">
        <f>IF('GREEN SHEET'!AQ29="","",'GREEN SHEET'!AQ29)</f>
        <v/>
      </c>
      <c r="N29" s="133" t="str">
        <f>IF('GREEN SHEET'!AS29="","",'GREEN SHEET'!AS29)</f>
        <v/>
      </c>
      <c r="O29" s="132"/>
      <c r="P29" s="22"/>
    </row>
    <row r="30" spans="1:16" s="34" customFormat="1" ht="35.25" customHeight="1" x14ac:dyDescent="0.3">
      <c r="A30" s="4"/>
      <c r="B30" s="40">
        <v>24</v>
      </c>
      <c r="C30" s="707" t="str">
        <f>IF(DATA!E28="","",DATA!E28)</f>
        <v/>
      </c>
      <c r="D30" s="108" t="str">
        <f>IF(DATA!C28="","",DATA!C28)</f>
        <v/>
      </c>
      <c r="E30" s="30"/>
      <c r="F30" s="30"/>
      <c r="G30" s="30"/>
      <c r="H30" s="30"/>
      <c r="I30" s="30"/>
      <c r="J30" s="30"/>
      <c r="K30" s="577"/>
      <c r="L30" s="111"/>
      <c r="M30" s="660" t="str">
        <f>IF('GREEN SHEET'!AQ30="","",'GREEN SHEET'!AQ30)</f>
        <v/>
      </c>
      <c r="N30" s="133" t="str">
        <f>IF('GREEN SHEET'!AS30="","",'GREEN SHEET'!AS30)</f>
        <v/>
      </c>
      <c r="O30" s="132"/>
      <c r="P30" s="22"/>
    </row>
    <row r="31" spans="1:16" s="34" customFormat="1" ht="35.25" customHeight="1" x14ac:dyDescent="0.3">
      <c r="A31" s="4"/>
      <c r="B31" s="40">
        <v>25</v>
      </c>
      <c r="C31" s="707" t="str">
        <f>IF(DATA!E29="","",DATA!E29)</f>
        <v/>
      </c>
      <c r="D31" s="108" t="str">
        <f>IF(DATA!C29="","",DATA!C29)</f>
        <v/>
      </c>
      <c r="E31" s="30"/>
      <c r="F31" s="30"/>
      <c r="G31" s="30"/>
      <c r="H31" s="30"/>
      <c r="I31" s="30"/>
      <c r="J31" s="30"/>
      <c r="K31" s="577"/>
      <c r="L31" s="111"/>
      <c r="M31" s="660" t="str">
        <f>IF('GREEN SHEET'!AQ31="","",'GREEN SHEET'!AQ31)</f>
        <v/>
      </c>
      <c r="N31" s="133" t="str">
        <f>IF('GREEN SHEET'!AS31="","",'GREEN SHEET'!AS31)</f>
        <v/>
      </c>
      <c r="O31" s="132"/>
      <c r="P31" s="22"/>
    </row>
    <row r="32" spans="1:16" s="34" customFormat="1" ht="35.25" customHeight="1" x14ac:dyDescent="0.3">
      <c r="A32" s="4"/>
      <c r="B32" s="40">
        <v>26</v>
      </c>
      <c r="C32" s="707" t="str">
        <f>IF(DATA!E30="","",DATA!E30)</f>
        <v/>
      </c>
      <c r="D32" s="108" t="str">
        <f>IF(DATA!C30="","",DATA!C30)</f>
        <v/>
      </c>
      <c r="E32" s="30"/>
      <c r="F32" s="30"/>
      <c r="G32" s="30"/>
      <c r="H32" s="30"/>
      <c r="I32" s="30"/>
      <c r="J32" s="30"/>
      <c r="K32" s="577"/>
      <c r="L32" s="111"/>
      <c r="M32" s="660" t="str">
        <f>IF('GREEN SHEET'!AQ32="","",'GREEN SHEET'!AQ32)</f>
        <v/>
      </c>
      <c r="N32" s="133" t="str">
        <f>IF('GREEN SHEET'!AS32="","",'GREEN SHEET'!AS32)</f>
        <v/>
      </c>
      <c r="O32" s="132"/>
      <c r="P32" s="22"/>
    </row>
    <row r="33" spans="1:16" s="34" customFormat="1" ht="35.25" customHeight="1" x14ac:dyDescent="0.3">
      <c r="A33" s="4"/>
      <c r="B33" s="40">
        <v>27</v>
      </c>
      <c r="C33" s="707" t="str">
        <f>IF(DATA!E31="","",DATA!E31)</f>
        <v/>
      </c>
      <c r="D33" s="108" t="str">
        <f>IF(DATA!C31="","",DATA!C31)</f>
        <v/>
      </c>
      <c r="E33" s="30"/>
      <c r="F33" s="30"/>
      <c r="G33" s="30"/>
      <c r="H33" s="30"/>
      <c r="I33" s="30"/>
      <c r="J33" s="30"/>
      <c r="K33" s="577"/>
      <c r="L33" s="111"/>
      <c r="M33" s="660" t="str">
        <f>IF('GREEN SHEET'!AQ33="","",'GREEN SHEET'!AQ33)</f>
        <v/>
      </c>
      <c r="N33" s="133" t="str">
        <f>IF('GREEN SHEET'!AS33="","",'GREEN SHEET'!AS33)</f>
        <v/>
      </c>
      <c r="O33" s="132"/>
      <c r="P33" s="22"/>
    </row>
    <row r="34" spans="1:16" s="34" customFormat="1" ht="35.25" customHeight="1" x14ac:dyDescent="0.3">
      <c r="A34" s="4"/>
      <c r="B34" s="40">
        <v>28</v>
      </c>
      <c r="C34" s="707" t="str">
        <f>IF(DATA!E32="","",DATA!E32)</f>
        <v/>
      </c>
      <c r="D34" s="108" t="str">
        <f>IF(DATA!C32="","",DATA!C32)</f>
        <v/>
      </c>
      <c r="E34" s="30"/>
      <c r="F34" s="30"/>
      <c r="G34" s="30"/>
      <c r="H34" s="30"/>
      <c r="I34" s="30"/>
      <c r="J34" s="30"/>
      <c r="K34" s="577"/>
      <c r="L34" s="111"/>
      <c r="M34" s="660" t="str">
        <f>IF('GREEN SHEET'!AQ34="","",'GREEN SHEET'!AQ34)</f>
        <v/>
      </c>
      <c r="N34" s="133" t="str">
        <f>IF('GREEN SHEET'!AS34="","",'GREEN SHEET'!AS34)</f>
        <v/>
      </c>
      <c r="O34" s="132"/>
      <c r="P34" s="22"/>
    </row>
    <row r="35" spans="1:16" s="34" customFormat="1" ht="35.25" customHeight="1" x14ac:dyDescent="0.3">
      <c r="A35" s="4"/>
      <c r="B35" s="40">
        <v>29</v>
      </c>
      <c r="C35" s="707" t="str">
        <f>IF(DATA!E33="","",DATA!E33)</f>
        <v/>
      </c>
      <c r="D35" s="108" t="str">
        <f>IF(DATA!C33="","",DATA!C33)</f>
        <v/>
      </c>
      <c r="E35" s="30"/>
      <c r="F35" s="30"/>
      <c r="G35" s="30"/>
      <c r="H35" s="30"/>
      <c r="I35" s="30"/>
      <c r="J35" s="30"/>
      <c r="K35" s="577"/>
      <c r="L35" s="111"/>
      <c r="M35" s="660" t="str">
        <f>IF('GREEN SHEET'!AQ35="","",'GREEN SHEET'!AQ35)</f>
        <v/>
      </c>
      <c r="N35" s="133" t="str">
        <f>IF('GREEN SHEET'!AS35="","",'GREEN SHEET'!AS35)</f>
        <v/>
      </c>
      <c r="O35" s="132"/>
      <c r="P35" s="22"/>
    </row>
    <row r="36" spans="1:16" s="34" customFormat="1" ht="35.25" customHeight="1" x14ac:dyDescent="0.3">
      <c r="A36" s="4"/>
      <c r="B36" s="40">
        <v>30</v>
      </c>
      <c r="C36" s="707" t="str">
        <f>IF(DATA!E34="","",DATA!E34)</f>
        <v/>
      </c>
      <c r="D36" s="108" t="str">
        <f>IF(DATA!C34="","",DATA!C34)</f>
        <v/>
      </c>
      <c r="E36" s="30"/>
      <c r="F36" s="30"/>
      <c r="G36" s="30"/>
      <c r="H36" s="30"/>
      <c r="I36" s="30"/>
      <c r="J36" s="30"/>
      <c r="K36" s="577"/>
      <c r="L36" s="111"/>
      <c r="M36" s="660" t="str">
        <f>IF('GREEN SHEET'!AQ36="","",'GREEN SHEET'!AQ36)</f>
        <v/>
      </c>
      <c r="N36" s="133" t="str">
        <f>IF('GREEN SHEET'!AS36="","",'GREEN SHEET'!AS36)</f>
        <v/>
      </c>
      <c r="O36" s="132"/>
      <c r="P36" s="22"/>
    </row>
    <row r="37" spans="1:16" s="34" customFormat="1" ht="35.25" customHeight="1" x14ac:dyDescent="0.3">
      <c r="A37" s="4"/>
      <c r="B37" s="40">
        <v>31</v>
      </c>
      <c r="C37" s="707" t="str">
        <f>IF(DATA!E35="","",DATA!E35)</f>
        <v/>
      </c>
      <c r="D37" s="108" t="str">
        <f>IF(DATA!C35="","",DATA!C35)</f>
        <v/>
      </c>
      <c r="E37" s="30"/>
      <c r="F37" s="30"/>
      <c r="G37" s="30"/>
      <c r="H37" s="30"/>
      <c r="I37" s="30"/>
      <c r="J37" s="30"/>
      <c r="K37" s="577"/>
      <c r="L37" s="111"/>
      <c r="M37" s="660" t="str">
        <f>IF('GREEN SHEET'!AQ37="","",'GREEN SHEET'!AQ37)</f>
        <v/>
      </c>
      <c r="N37" s="133" t="str">
        <f>IF('GREEN SHEET'!AS37="","",'GREEN SHEET'!AS37)</f>
        <v/>
      </c>
      <c r="O37" s="132"/>
      <c r="P37" s="22"/>
    </row>
    <row r="38" spans="1:16" s="34" customFormat="1" ht="35.25" customHeight="1" x14ac:dyDescent="0.3">
      <c r="A38" s="4"/>
      <c r="B38" s="40">
        <v>32</v>
      </c>
      <c r="C38" s="707" t="str">
        <f>IF(DATA!E36="","",DATA!E36)</f>
        <v/>
      </c>
      <c r="D38" s="108" t="str">
        <f>IF(DATA!C36="","",DATA!C36)</f>
        <v/>
      </c>
      <c r="E38" s="30"/>
      <c r="F38" s="30"/>
      <c r="G38" s="30"/>
      <c r="H38" s="30"/>
      <c r="I38" s="30"/>
      <c r="J38" s="30"/>
      <c r="K38" s="577"/>
      <c r="L38" s="111"/>
      <c r="M38" s="660" t="str">
        <f>IF('GREEN SHEET'!AQ38="","",'GREEN SHEET'!AQ38)</f>
        <v/>
      </c>
      <c r="N38" s="133" t="str">
        <f>IF('GREEN SHEET'!AS38="","",'GREEN SHEET'!AS38)</f>
        <v/>
      </c>
      <c r="O38" s="132"/>
      <c r="P38" s="22"/>
    </row>
    <row r="39" spans="1:16" s="34" customFormat="1" ht="35.25" customHeight="1" x14ac:dyDescent="0.3">
      <c r="A39" s="4"/>
      <c r="B39" s="40">
        <v>33</v>
      </c>
      <c r="C39" s="707" t="str">
        <f>IF(DATA!E37="","",DATA!E37)</f>
        <v/>
      </c>
      <c r="D39" s="108" t="str">
        <f>IF(DATA!C37="","",DATA!C37)</f>
        <v/>
      </c>
      <c r="E39" s="30"/>
      <c r="F39" s="30"/>
      <c r="G39" s="30"/>
      <c r="H39" s="30"/>
      <c r="I39" s="30"/>
      <c r="J39" s="30"/>
      <c r="K39" s="577"/>
      <c r="L39" s="111"/>
      <c r="M39" s="660" t="str">
        <f>IF('GREEN SHEET'!AQ39="","",'GREEN SHEET'!AQ39)</f>
        <v/>
      </c>
      <c r="N39" s="133" t="str">
        <f>IF('GREEN SHEET'!AS39="","",'GREEN SHEET'!AS39)</f>
        <v/>
      </c>
      <c r="O39" s="132"/>
      <c r="P39" s="22"/>
    </row>
    <row r="40" spans="1:16" s="34" customFormat="1" ht="22.8" x14ac:dyDescent="0.3">
      <c r="A40" s="4"/>
      <c r="B40" s="40">
        <v>34</v>
      </c>
      <c r="C40" s="707" t="str">
        <f>IF(DATA!E38="","",DATA!E38)</f>
        <v/>
      </c>
      <c r="D40" s="108" t="str">
        <f>IF(DATA!C38="","",DATA!C38)</f>
        <v/>
      </c>
      <c r="E40" s="30"/>
      <c r="F40" s="30"/>
      <c r="G40" s="30"/>
      <c r="H40" s="30"/>
      <c r="I40" s="30"/>
      <c r="J40" s="30"/>
      <c r="K40" s="577"/>
      <c r="L40" s="111"/>
      <c r="M40" s="660" t="str">
        <f>IF('GREEN SHEET'!AQ40="","",'GREEN SHEET'!AQ40)</f>
        <v/>
      </c>
      <c r="N40" s="133" t="str">
        <f>IF('GREEN SHEET'!AS40="","",'GREEN SHEET'!AS40)</f>
        <v/>
      </c>
      <c r="O40" s="132"/>
      <c r="P40" s="22"/>
    </row>
    <row r="41" spans="1:16" s="34" customFormat="1" ht="22.8" x14ac:dyDescent="0.3">
      <c r="A41" s="4"/>
      <c r="B41" s="40">
        <v>35</v>
      </c>
      <c r="C41" s="707" t="str">
        <f>IF(DATA!E39="","",DATA!E39)</f>
        <v/>
      </c>
      <c r="D41" s="108" t="str">
        <f>IF(DATA!C39="","",DATA!C39)</f>
        <v/>
      </c>
      <c r="E41" s="132"/>
      <c r="F41" s="132"/>
      <c r="G41" s="132"/>
      <c r="H41" s="132"/>
      <c r="I41" s="132"/>
      <c r="J41" s="132"/>
      <c r="K41" s="585"/>
      <c r="L41" s="111"/>
      <c r="M41" s="660" t="str">
        <f>IF('GREEN SHEET'!AQ41="","",'GREEN SHEET'!AQ41)</f>
        <v/>
      </c>
      <c r="N41" s="133" t="str">
        <f>IF('GREEN SHEET'!AS41="","",'GREEN SHEET'!AS41)</f>
        <v/>
      </c>
      <c r="O41" s="132"/>
      <c r="P41" s="22"/>
    </row>
    <row r="42" spans="1:16" s="34" customFormat="1" ht="22.8" x14ac:dyDescent="0.3">
      <c r="A42" s="4"/>
      <c r="B42" s="40">
        <v>36</v>
      </c>
      <c r="C42" s="707" t="str">
        <f>IF(DATA!E40="","",DATA!E40)</f>
        <v/>
      </c>
      <c r="D42" s="108" t="str">
        <f>IF(DATA!C40="","",DATA!C40)</f>
        <v/>
      </c>
      <c r="E42" s="132"/>
      <c r="F42" s="132"/>
      <c r="G42" s="132"/>
      <c r="H42" s="132"/>
      <c r="I42" s="132"/>
      <c r="J42" s="132"/>
      <c r="K42" s="585"/>
      <c r="L42" s="111"/>
      <c r="M42" s="660" t="str">
        <f>IF('GREEN SHEET'!AQ42="","",'GREEN SHEET'!AQ42)</f>
        <v/>
      </c>
      <c r="N42" s="133" t="str">
        <f>IF('GREEN SHEET'!AS42="","",'GREEN SHEET'!AS42)</f>
        <v/>
      </c>
      <c r="O42" s="132"/>
      <c r="P42" s="22"/>
    </row>
    <row r="43" spans="1:16" s="34" customFormat="1" ht="22.8" x14ac:dyDescent="0.3">
      <c r="A43" s="4"/>
      <c r="B43" s="28">
        <v>37</v>
      </c>
      <c r="C43" s="707" t="str">
        <f>IF(DATA!E41="","",DATA!E41)</f>
        <v/>
      </c>
      <c r="D43" s="108" t="str">
        <f>IF(DATA!C41="","",DATA!C41)</f>
        <v/>
      </c>
      <c r="E43" s="132"/>
      <c r="F43" s="132"/>
      <c r="G43" s="132"/>
      <c r="H43" s="132"/>
      <c r="I43" s="132"/>
      <c r="J43" s="132"/>
      <c r="K43" s="585"/>
      <c r="L43" s="111"/>
      <c r="M43" s="660" t="str">
        <f>IF('GREEN SHEET'!AQ43="","",'GREEN SHEET'!AQ43)</f>
        <v/>
      </c>
      <c r="N43" s="133" t="str">
        <f>IF('GREEN SHEET'!AS43="","",'GREEN SHEET'!AS43)</f>
        <v/>
      </c>
      <c r="O43" s="132"/>
      <c r="P43" s="22"/>
    </row>
    <row r="44" spans="1:16" s="34" customFormat="1" ht="22.8" x14ac:dyDescent="0.3">
      <c r="A44" s="4"/>
      <c r="B44" s="28">
        <v>38</v>
      </c>
      <c r="C44" s="707" t="str">
        <f>IF(DATA!E42="","",DATA!E42)</f>
        <v/>
      </c>
      <c r="D44" s="108" t="str">
        <f>IF(DATA!C42="","",DATA!C42)</f>
        <v/>
      </c>
      <c r="E44" s="132"/>
      <c r="F44" s="132"/>
      <c r="G44" s="132"/>
      <c r="H44" s="132"/>
      <c r="I44" s="132"/>
      <c r="J44" s="132"/>
      <c r="K44" s="585"/>
      <c r="L44" s="111"/>
      <c r="M44" s="660" t="str">
        <f>IF('GREEN SHEET'!AQ44="","",'GREEN SHEET'!AQ44)</f>
        <v/>
      </c>
      <c r="N44" s="133" t="str">
        <f>IF('GREEN SHEET'!AS44="","",'GREEN SHEET'!AS44)</f>
        <v/>
      </c>
      <c r="O44" s="132"/>
      <c r="P44" s="22"/>
    </row>
    <row r="45" spans="1:16" s="34" customFormat="1" ht="22.8" x14ac:dyDescent="0.3">
      <c r="A45" s="4"/>
      <c r="B45" s="28">
        <v>39</v>
      </c>
      <c r="C45" s="707" t="str">
        <f>IF(DATA!E43="","",DATA!E43)</f>
        <v/>
      </c>
      <c r="D45" s="108" t="str">
        <f>IF(DATA!C43="","",DATA!C43)</f>
        <v/>
      </c>
      <c r="E45" s="132"/>
      <c r="F45" s="132"/>
      <c r="G45" s="132"/>
      <c r="H45" s="132"/>
      <c r="I45" s="132"/>
      <c r="J45" s="132"/>
      <c r="K45" s="585"/>
      <c r="L45" s="111"/>
      <c r="M45" s="660" t="str">
        <f>IF('GREEN SHEET'!AQ45="","",'GREEN SHEET'!AQ45)</f>
        <v/>
      </c>
      <c r="N45" s="133" t="str">
        <f>IF('GREEN SHEET'!AS45="","",'GREEN SHEET'!AS45)</f>
        <v/>
      </c>
      <c r="O45" s="132"/>
      <c r="P45" s="22"/>
    </row>
    <row r="46" spans="1:16" s="34" customFormat="1" ht="22.8" x14ac:dyDescent="0.3">
      <c r="A46" s="4"/>
      <c r="B46" s="28">
        <v>40</v>
      </c>
      <c r="C46" s="707" t="str">
        <f>IF(DATA!E44="","",DATA!E44)</f>
        <v/>
      </c>
      <c r="D46" s="108" t="str">
        <f>IF(DATA!C44="","",DATA!C44)</f>
        <v/>
      </c>
      <c r="E46" s="132"/>
      <c r="F46" s="132"/>
      <c r="G46" s="132"/>
      <c r="H46" s="132"/>
      <c r="I46" s="132"/>
      <c r="J46" s="132"/>
      <c r="K46" s="585"/>
      <c r="L46" s="111"/>
      <c r="M46" s="660" t="str">
        <f>IF('GREEN SHEET'!AQ46="","",'GREEN SHEET'!AQ46)</f>
        <v/>
      </c>
      <c r="N46" s="133" t="str">
        <f>IF('GREEN SHEET'!AS46="","",'GREEN SHEET'!AS46)</f>
        <v/>
      </c>
      <c r="O46" s="132"/>
      <c r="P46" s="22"/>
    </row>
    <row r="47" spans="1:16" s="34" customFormat="1" ht="22.8" x14ac:dyDescent="0.3">
      <c r="A47" s="4"/>
      <c r="B47" s="28">
        <v>41</v>
      </c>
      <c r="C47" s="707" t="str">
        <f>IF(DATA!E45="","",DATA!E45)</f>
        <v/>
      </c>
      <c r="D47" s="108" t="str">
        <f>IF(DATA!C45="","",DATA!C45)</f>
        <v/>
      </c>
      <c r="E47" s="132"/>
      <c r="F47" s="132"/>
      <c r="G47" s="132"/>
      <c r="H47" s="132"/>
      <c r="I47" s="132"/>
      <c r="J47" s="132"/>
      <c r="K47" s="585"/>
      <c r="L47" s="111"/>
      <c r="M47" s="660" t="str">
        <f>IF('GREEN SHEET'!AQ47="","",'GREEN SHEET'!AQ47)</f>
        <v/>
      </c>
      <c r="N47" s="133" t="str">
        <f>IF('GREEN SHEET'!AS47="","",'GREEN SHEET'!AS47)</f>
        <v/>
      </c>
      <c r="O47" s="132"/>
      <c r="P47" s="22"/>
    </row>
    <row r="48" spans="1:16" s="34" customFormat="1" ht="22.8" x14ac:dyDescent="0.3">
      <c r="A48" s="4"/>
      <c r="B48" s="28">
        <v>42</v>
      </c>
      <c r="C48" s="707" t="str">
        <f>IF(DATA!E46="","",DATA!E46)</f>
        <v/>
      </c>
      <c r="D48" s="108" t="str">
        <f>IF(DATA!C46="","",DATA!C46)</f>
        <v/>
      </c>
      <c r="E48" s="132"/>
      <c r="F48" s="132"/>
      <c r="G48" s="132"/>
      <c r="H48" s="132"/>
      <c r="I48" s="132"/>
      <c r="J48" s="132"/>
      <c r="K48" s="585"/>
      <c r="L48" s="111"/>
      <c r="M48" s="660" t="str">
        <f>IF('GREEN SHEET'!AQ48="","",'GREEN SHEET'!AQ48)</f>
        <v/>
      </c>
      <c r="N48" s="133" t="str">
        <f>IF('GREEN SHEET'!AS48="","",'GREEN SHEET'!AS48)</f>
        <v/>
      </c>
      <c r="O48" s="132"/>
      <c r="P48" s="22"/>
    </row>
    <row r="49" spans="1:16" s="34" customFormat="1" ht="22.8" x14ac:dyDescent="0.3">
      <c r="A49" s="4"/>
      <c r="B49" s="28">
        <v>43</v>
      </c>
      <c r="C49" s="707" t="str">
        <f>IF(DATA!E47="","",DATA!E47)</f>
        <v/>
      </c>
      <c r="D49" s="108" t="str">
        <f>IF(DATA!C47="","",DATA!C47)</f>
        <v/>
      </c>
      <c r="E49" s="132"/>
      <c r="F49" s="132"/>
      <c r="G49" s="132"/>
      <c r="H49" s="132"/>
      <c r="I49" s="132"/>
      <c r="J49" s="132"/>
      <c r="K49" s="585"/>
      <c r="L49" s="111"/>
      <c r="M49" s="660" t="str">
        <f>IF('GREEN SHEET'!AQ49="","",'GREEN SHEET'!AQ49)</f>
        <v/>
      </c>
      <c r="N49" s="133" t="str">
        <f>IF('GREEN SHEET'!AS49="","",'GREEN SHEET'!AS49)</f>
        <v/>
      </c>
      <c r="O49" s="132"/>
      <c r="P49" s="22"/>
    </row>
    <row r="50" spans="1:16" s="34" customFormat="1" ht="22.8" x14ac:dyDescent="0.3">
      <c r="A50" s="4"/>
      <c r="B50" s="28">
        <v>44</v>
      </c>
      <c r="C50" s="707" t="str">
        <f>IF(DATA!E48="","",DATA!E48)</f>
        <v/>
      </c>
      <c r="D50" s="108" t="str">
        <f>IF(DATA!C48="","",DATA!C48)</f>
        <v/>
      </c>
      <c r="E50" s="132"/>
      <c r="F50" s="132"/>
      <c r="G50" s="132"/>
      <c r="H50" s="132"/>
      <c r="I50" s="132"/>
      <c r="J50" s="132"/>
      <c r="K50" s="585"/>
      <c r="L50" s="111"/>
      <c r="M50" s="660" t="str">
        <f>IF('GREEN SHEET'!AQ50="","",'GREEN SHEET'!AQ50)</f>
        <v/>
      </c>
      <c r="N50" s="133" t="str">
        <f>IF('GREEN SHEET'!AS50="","",'GREEN SHEET'!AS50)</f>
        <v/>
      </c>
      <c r="O50" s="132"/>
      <c r="P50" s="22"/>
    </row>
    <row r="51" spans="1:16" s="34" customFormat="1" ht="23.4" thickBot="1" x14ac:dyDescent="0.35">
      <c r="A51" s="4"/>
      <c r="B51" s="374">
        <v>45</v>
      </c>
      <c r="C51" s="709" t="str">
        <f>IF(DATA!E49="","",DATA!E49)</f>
        <v/>
      </c>
      <c r="D51" s="377" t="str">
        <f>IF(DATA!C49="","",DATA!C49)</f>
        <v/>
      </c>
      <c r="E51" s="378"/>
      <c r="F51" s="378"/>
      <c r="G51" s="378"/>
      <c r="H51" s="378"/>
      <c r="I51" s="378"/>
      <c r="J51" s="378"/>
      <c r="K51" s="586"/>
      <c r="L51" s="111"/>
      <c r="M51" s="660" t="str">
        <f>IF('GREEN SHEET'!AQ51="","",'GREEN SHEET'!AQ51)</f>
        <v/>
      </c>
      <c r="N51" s="133" t="str">
        <f>IF('GREEN SHEET'!AS51="","",'GREEN SHEET'!AS51)</f>
        <v/>
      </c>
      <c r="O51" s="132"/>
      <c r="P51" s="22"/>
    </row>
    <row r="52" spans="1:16" s="34" customFormat="1" ht="56.4" customHeight="1" thickBot="1" x14ac:dyDescent="0.45">
      <c r="A52" s="4"/>
      <c r="B52" s="822" t="s">
        <v>267</v>
      </c>
      <c r="C52" s="823"/>
      <c r="D52" s="824"/>
      <c r="E52" s="856"/>
      <c r="F52" s="857"/>
      <c r="G52" s="857"/>
      <c r="H52" s="857"/>
      <c r="I52" s="857"/>
      <c r="J52" s="857"/>
      <c r="K52" s="857"/>
      <c r="L52" s="111"/>
      <c r="M52" s="851"/>
      <c r="N52" s="851"/>
      <c r="O52" s="851"/>
      <c r="P52" s="22"/>
    </row>
    <row r="53" spans="1:16" s="34" customFormat="1" ht="24" customHeight="1" x14ac:dyDescent="0.3">
      <c r="A53" s="4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49"/>
      <c r="M53" s="22"/>
      <c r="N53" s="22"/>
      <c r="O53" s="22"/>
      <c r="P53" s="22"/>
    </row>
    <row r="54" spans="1:16" ht="14.4" hidden="1" x14ac:dyDescent="0.3"/>
  </sheetData>
  <sheetProtection algorithmName="SHA-512" hashValue="/72ujn7pVARn8npNm6kixjZxlyw8S+S/WROZAgfUnCw1TiVCLzShmGevat96URV+4xwCNdQ4kJ7zolz52X5nzQ==" saltValue="GAEiyW1thPMFrrtY3MBoSw==" spinCount="100000" sheet="1" objects="1" scenarios="1" selectLockedCells="1"/>
  <mergeCells count="7">
    <mergeCell ref="M52:O52"/>
    <mergeCell ref="B6:D6"/>
    <mergeCell ref="B2:K2"/>
    <mergeCell ref="B3:K3"/>
    <mergeCell ref="G4:K4"/>
    <mergeCell ref="B52:D52"/>
    <mergeCell ref="E52:K52"/>
  </mergeCells>
  <hyperlinks>
    <hyperlink ref="A1" location="DASHBOARD!A1" display="D"/>
  </hyperlinks>
  <pageMargins left="0.34" right="0.21" top="0.42" bottom="0.17" header="0.31496062992126" footer="0.31496062992126"/>
  <pageSetup paperSize="9" scale="44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P55"/>
  <sheetViews>
    <sheetView zoomScale="90" zoomScaleNormal="90" workbookViewId="0">
      <selection activeCell="I9" sqref="I9"/>
    </sheetView>
  </sheetViews>
  <sheetFormatPr defaultColWidth="0" defaultRowHeight="15" customHeight="1" zeroHeight="1" x14ac:dyDescent="0.3"/>
  <cols>
    <col min="1" max="1" width="5.109375" style="3" customWidth="1"/>
    <col min="2" max="2" width="15.6640625" style="34" customWidth="1"/>
    <col min="3" max="3" width="45.44140625" style="34" customWidth="1"/>
    <col min="4" max="4" width="15.6640625" style="34" customWidth="1"/>
    <col min="5" max="5" width="16.33203125" style="35" customWidth="1"/>
    <col min="6" max="6" width="12.6640625" style="35" customWidth="1"/>
    <col min="7" max="7" width="15" style="35" customWidth="1"/>
    <col min="8" max="8" width="13" style="35" customWidth="1"/>
    <col min="9" max="9" width="12.6640625" style="35" customWidth="1"/>
    <col min="10" max="10" width="14.6640625" style="35" customWidth="1"/>
    <col min="11" max="11" width="3.5546875" style="42" customWidth="1"/>
    <col min="12" max="12" width="13" style="35" customWidth="1"/>
    <col min="13" max="13" width="12.88671875" style="35" customWidth="1"/>
    <col min="14" max="14" width="5.44140625" style="2" customWidth="1"/>
    <col min="15" max="16" width="0" style="1" hidden="1" customWidth="1"/>
    <col min="17" max="16384" width="9.109375" style="1" hidden="1"/>
  </cols>
  <sheetData>
    <row r="1" spans="1:14" s="3" customFormat="1" ht="21" x14ac:dyDescent="0.3">
      <c r="A1" s="5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4"/>
    </row>
    <row r="2" spans="1:14" s="3" customFormat="1" ht="22.8" x14ac:dyDescent="0.3">
      <c r="A2" s="4"/>
      <c r="B2" s="858" t="str">
        <f>"SWAMI VIVEKANAND GOVT. MODEL SCHOOL,"&amp;DASHBOARD!B3</f>
        <v xml:space="preserve">SWAMI VIVEKANAND GOVT. MODEL SCHOOL,AMET, BLOCK-AMET, RAJSAMAND                                                                </v>
      </c>
      <c r="C2" s="858"/>
      <c r="D2" s="858"/>
      <c r="E2" s="858"/>
      <c r="F2" s="858"/>
      <c r="G2" s="858"/>
      <c r="H2" s="858"/>
      <c r="I2" s="858"/>
      <c r="J2" s="858"/>
      <c r="K2" s="294"/>
      <c r="L2" s="572"/>
      <c r="M2" s="572"/>
      <c r="N2" s="4"/>
    </row>
    <row r="3" spans="1:14" s="3" customFormat="1" ht="22.8" x14ac:dyDescent="0.3">
      <c r="A3" s="4"/>
      <c r="B3" s="820" t="str">
        <f>IF(DASHBOARD!B4="","",DASHBOARD!B4)</f>
        <v>SESSION    -  2025-26</v>
      </c>
      <c r="C3" s="820"/>
      <c r="D3" s="820"/>
      <c r="E3" s="820"/>
      <c r="F3" s="820"/>
      <c r="G3" s="820"/>
      <c r="H3" s="820"/>
      <c r="I3" s="820"/>
      <c r="J3" s="820"/>
      <c r="K3" s="294"/>
      <c r="L3" s="572"/>
      <c r="M3" s="572"/>
      <c r="N3" s="4"/>
    </row>
    <row r="4" spans="1:14" s="13" customFormat="1" ht="24" thickBot="1" x14ac:dyDescent="0.5">
      <c r="A4" s="12"/>
      <c r="B4" s="23"/>
      <c r="C4" s="24" t="s">
        <v>63</v>
      </c>
      <c r="D4" s="23" t="str">
        <f>DASHBOARD!B8&amp;DASHBOARD!C8</f>
        <v>XI A</v>
      </c>
      <c r="E4" s="23"/>
      <c r="F4" s="23"/>
      <c r="G4" s="23"/>
      <c r="H4" s="831" t="s">
        <v>104</v>
      </c>
      <c r="I4" s="831"/>
      <c r="J4" s="831"/>
      <c r="K4" s="223"/>
      <c r="L4" s="43"/>
      <c r="M4" s="43"/>
      <c r="N4" s="12"/>
    </row>
    <row r="5" spans="1:14" s="3" customFormat="1" ht="31.8" thickBot="1" x14ac:dyDescent="0.35">
      <c r="A5" s="4"/>
      <c r="B5" s="680" t="s">
        <v>65</v>
      </c>
      <c r="C5" s="681" t="s">
        <v>64</v>
      </c>
      <c r="D5" s="681" t="s">
        <v>3</v>
      </c>
      <c r="E5" s="682" t="s">
        <v>98</v>
      </c>
      <c r="F5" s="834" t="s">
        <v>99</v>
      </c>
      <c r="G5" s="835"/>
      <c r="H5" s="682" t="s">
        <v>100</v>
      </c>
      <c r="I5" s="836" t="s">
        <v>18</v>
      </c>
      <c r="J5" s="850"/>
      <c r="K5" s="581"/>
      <c r="L5" s="859" t="s">
        <v>41</v>
      </c>
      <c r="M5" s="862" t="s">
        <v>122</v>
      </c>
      <c r="N5" s="4"/>
    </row>
    <row r="6" spans="1:14" s="3" customFormat="1" ht="18" thickBot="1" x14ac:dyDescent="0.35">
      <c r="A6" s="4"/>
      <c r="B6" s="686"/>
      <c r="C6" s="687"/>
      <c r="D6" s="687"/>
      <c r="E6" s="688"/>
      <c r="F6" s="688" t="s">
        <v>101</v>
      </c>
      <c r="G6" s="688" t="s">
        <v>102</v>
      </c>
      <c r="H6" s="689"/>
      <c r="I6" s="688" t="s">
        <v>101</v>
      </c>
      <c r="J6" s="690" t="s">
        <v>102</v>
      </c>
      <c r="K6" s="581"/>
      <c r="L6" s="859"/>
      <c r="M6" s="863"/>
      <c r="N6" s="4"/>
    </row>
    <row r="7" spans="1:14" s="3" customFormat="1" ht="32.25" customHeight="1" thickBot="1" x14ac:dyDescent="0.35">
      <c r="A7" s="4"/>
      <c r="B7" s="832" t="s">
        <v>19</v>
      </c>
      <c r="C7" s="833"/>
      <c r="D7" s="833"/>
      <c r="E7" s="691">
        <v>10</v>
      </c>
      <c r="F7" s="691">
        <v>70</v>
      </c>
      <c r="G7" s="691">
        <v>30</v>
      </c>
      <c r="H7" s="691">
        <v>10</v>
      </c>
      <c r="I7" s="691">
        <v>70</v>
      </c>
      <c r="J7" s="692">
        <v>30</v>
      </c>
      <c r="K7" s="582"/>
      <c r="L7" s="713">
        <f>IF('GREEN SHEET'!CV6="","",'GREEN SHEET'!CV6)</f>
        <v>76</v>
      </c>
      <c r="M7" s="714">
        <v>100</v>
      </c>
      <c r="N7" s="4"/>
    </row>
    <row r="8" spans="1:14" s="3" customFormat="1" ht="32.25" customHeight="1" x14ac:dyDescent="0.3">
      <c r="A8" s="4"/>
      <c r="B8" s="671">
        <v>1</v>
      </c>
      <c r="C8" s="672" t="str">
        <f>IF(DATA!E5="","",DATA!E5)</f>
        <v>Devendra Sharma</v>
      </c>
      <c r="D8" s="672">
        <f>IF(DATA!C5="","",DATA!C5)</f>
        <v>1101</v>
      </c>
      <c r="E8" s="710">
        <v>10</v>
      </c>
      <c r="F8" s="710">
        <v>65</v>
      </c>
      <c r="G8" s="710">
        <v>25</v>
      </c>
      <c r="H8" s="710">
        <v>9</v>
      </c>
      <c r="I8" s="710">
        <v>0</v>
      </c>
      <c r="J8" s="711">
        <v>23</v>
      </c>
      <c r="K8" s="583"/>
      <c r="L8" s="712">
        <f>IF('GREEN SHEET'!CV7="","",'GREEN SHEET'!CV7)</f>
        <v>39</v>
      </c>
      <c r="M8" s="673"/>
      <c r="N8" s="4"/>
    </row>
    <row r="9" spans="1:14" s="3" customFormat="1" ht="32.25" customHeight="1" x14ac:dyDescent="0.3">
      <c r="A9" s="4"/>
      <c r="B9" s="28">
        <v>2</v>
      </c>
      <c r="C9" s="29" t="str">
        <f>IF(DATA!E6="","",DATA!E6)</f>
        <v>DHARA SALVI</v>
      </c>
      <c r="D9" s="29">
        <f>IF(DATA!C6="","",DATA!C6)</f>
        <v>1102</v>
      </c>
      <c r="E9" s="31"/>
      <c r="F9" s="31"/>
      <c r="G9" s="31"/>
      <c r="H9" s="31"/>
      <c r="I9" s="31"/>
      <c r="J9" s="578"/>
      <c r="K9" s="584"/>
      <c r="L9" s="580" t="str">
        <f>IF('GREEN SHEET'!CV8="","",'GREEN SHEET'!CV8)</f>
        <v/>
      </c>
      <c r="M9" s="31"/>
      <c r="N9" s="4"/>
    </row>
    <row r="10" spans="1:14" s="3" customFormat="1" ht="32.25" customHeight="1" x14ac:dyDescent="0.3">
      <c r="A10" s="4"/>
      <c r="B10" s="28">
        <v>3</v>
      </c>
      <c r="C10" s="29" t="str">
        <f>IF(DATA!E7="","",DATA!E7)</f>
        <v>HARSHIKA RAO</v>
      </c>
      <c r="D10" s="29">
        <f>IF(DATA!C7="","",DATA!C7)</f>
        <v>1103</v>
      </c>
      <c r="E10" s="31"/>
      <c r="F10" s="31"/>
      <c r="G10" s="31"/>
      <c r="H10" s="31"/>
      <c r="I10" s="31"/>
      <c r="J10" s="578"/>
      <c r="K10" s="584"/>
      <c r="L10" s="580" t="str">
        <f>IF('GREEN SHEET'!CV9="","",'GREEN SHEET'!CV9)</f>
        <v/>
      </c>
      <c r="M10" s="31"/>
      <c r="N10" s="4"/>
    </row>
    <row r="11" spans="1:14" s="3" customFormat="1" ht="32.25" customHeight="1" x14ac:dyDescent="0.3">
      <c r="A11" s="4"/>
      <c r="B11" s="28">
        <v>4</v>
      </c>
      <c r="C11" s="29" t="str">
        <f>IF(DATA!E8="","",DATA!E8)</f>
        <v/>
      </c>
      <c r="D11" s="29" t="str">
        <f>IF(DATA!C8="","",DATA!C8)</f>
        <v/>
      </c>
      <c r="E11" s="31"/>
      <c r="F11" s="31"/>
      <c r="G11" s="31"/>
      <c r="H11" s="31"/>
      <c r="I11" s="31"/>
      <c r="J11" s="578"/>
      <c r="K11" s="584"/>
      <c r="L11" s="580" t="str">
        <f>IF('GREEN SHEET'!CV10="","",'GREEN SHEET'!CV10)</f>
        <v/>
      </c>
      <c r="M11" s="31"/>
      <c r="N11" s="4"/>
    </row>
    <row r="12" spans="1:14" s="3" customFormat="1" ht="32.25" customHeight="1" x14ac:dyDescent="0.3">
      <c r="A12" s="4"/>
      <c r="B12" s="28">
        <v>5</v>
      </c>
      <c r="C12" s="29" t="str">
        <f>IF(DATA!E9="","",DATA!E9)</f>
        <v/>
      </c>
      <c r="D12" s="29" t="str">
        <f>IF(DATA!C9="","",DATA!C9)</f>
        <v/>
      </c>
      <c r="E12" s="31"/>
      <c r="F12" s="31"/>
      <c r="G12" s="31"/>
      <c r="H12" s="31"/>
      <c r="I12" s="31"/>
      <c r="J12" s="578"/>
      <c r="K12" s="584"/>
      <c r="L12" s="580" t="str">
        <f>IF('GREEN SHEET'!CV11="","",'GREEN SHEET'!CV11)</f>
        <v/>
      </c>
      <c r="M12" s="31"/>
      <c r="N12" s="4"/>
    </row>
    <row r="13" spans="1:14" s="3" customFormat="1" ht="32.25" customHeight="1" x14ac:dyDescent="0.3">
      <c r="A13" s="4"/>
      <c r="B13" s="28">
        <v>6</v>
      </c>
      <c r="C13" s="29" t="str">
        <f>IF(DATA!E10="","",DATA!E10)</f>
        <v/>
      </c>
      <c r="D13" s="29" t="str">
        <f>IF(DATA!C10="","",DATA!C10)</f>
        <v/>
      </c>
      <c r="E13" s="31"/>
      <c r="F13" s="31"/>
      <c r="G13" s="31"/>
      <c r="H13" s="31"/>
      <c r="I13" s="31"/>
      <c r="J13" s="578"/>
      <c r="K13" s="584"/>
      <c r="L13" s="580" t="str">
        <f>IF('GREEN SHEET'!CV12="","",'GREEN SHEET'!CV12)</f>
        <v/>
      </c>
      <c r="M13" s="31"/>
      <c r="N13" s="4"/>
    </row>
    <row r="14" spans="1:14" s="3" customFormat="1" ht="32.25" customHeight="1" x14ac:dyDescent="0.3">
      <c r="A14" s="4"/>
      <c r="B14" s="28">
        <v>7</v>
      </c>
      <c r="C14" s="29" t="str">
        <f>IF(DATA!E11="","",DATA!E11)</f>
        <v/>
      </c>
      <c r="D14" s="29" t="str">
        <f>IF(DATA!C11="","",DATA!C11)</f>
        <v/>
      </c>
      <c r="E14" s="31"/>
      <c r="F14" s="31"/>
      <c r="G14" s="31"/>
      <c r="H14" s="31"/>
      <c r="I14" s="31"/>
      <c r="J14" s="578"/>
      <c r="K14" s="584"/>
      <c r="L14" s="580" t="str">
        <f>IF('GREEN SHEET'!CV13="","",'GREEN SHEET'!CV13)</f>
        <v/>
      </c>
      <c r="M14" s="31"/>
      <c r="N14" s="4"/>
    </row>
    <row r="15" spans="1:14" s="3" customFormat="1" ht="32.25" customHeight="1" x14ac:dyDescent="0.3">
      <c r="A15" s="4"/>
      <c r="B15" s="28">
        <v>8</v>
      </c>
      <c r="C15" s="29" t="str">
        <f>IF(DATA!E12="","",DATA!E12)</f>
        <v/>
      </c>
      <c r="D15" s="29" t="str">
        <f>IF(DATA!C12="","",DATA!C12)</f>
        <v/>
      </c>
      <c r="E15" s="31"/>
      <c r="F15" s="31"/>
      <c r="G15" s="31"/>
      <c r="H15" s="31"/>
      <c r="I15" s="31"/>
      <c r="J15" s="578"/>
      <c r="K15" s="584"/>
      <c r="L15" s="580" t="str">
        <f>IF('GREEN SHEET'!CV14="","",'GREEN SHEET'!CV14)</f>
        <v/>
      </c>
      <c r="M15" s="31"/>
      <c r="N15" s="4"/>
    </row>
    <row r="16" spans="1:14" s="3" customFormat="1" ht="32.25" customHeight="1" x14ac:dyDescent="0.3">
      <c r="A16" s="4"/>
      <c r="B16" s="28">
        <v>9</v>
      </c>
      <c r="C16" s="29" t="str">
        <f>IF(DATA!E13="","",DATA!E13)</f>
        <v/>
      </c>
      <c r="D16" s="29" t="str">
        <f>IF(DATA!C13="","",DATA!C13)</f>
        <v/>
      </c>
      <c r="E16" s="31"/>
      <c r="F16" s="31"/>
      <c r="G16" s="31"/>
      <c r="H16" s="31"/>
      <c r="I16" s="31"/>
      <c r="J16" s="578"/>
      <c r="K16" s="584"/>
      <c r="L16" s="580" t="str">
        <f>IF('GREEN SHEET'!CV15="","",'GREEN SHEET'!CV15)</f>
        <v/>
      </c>
      <c r="M16" s="31"/>
      <c r="N16" s="4"/>
    </row>
    <row r="17" spans="1:14" s="3" customFormat="1" ht="32.25" customHeight="1" x14ac:dyDescent="0.3">
      <c r="A17" s="4"/>
      <c r="B17" s="28">
        <v>10</v>
      </c>
      <c r="C17" s="29" t="str">
        <f>IF(DATA!E14="","",DATA!E14)</f>
        <v/>
      </c>
      <c r="D17" s="29" t="str">
        <f>IF(DATA!C14="","",DATA!C14)</f>
        <v/>
      </c>
      <c r="E17" s="31"/>
      <c r="F17" s="31"/>
      <c r="G17" s="31"/>
      <c r="H17" s="31"/>
      <c r="I17" s="31"/>
      <c r="J17" s="578"/>
      <c r="K17" s="584"/>
      <c r="L17" s="580" t="str">
        <f>IF('GREEN SHEET'!CV16="","",'GREEN SHEET'!CV16)</f>
        <v/>
      </c>
      <c r="M17" s="31"/>
      <c r="N17" s="4"/>
    </row>
    <row r="18" spans="1:14" s="3" customFormat="1" ht="32.25" customHeight="1" x14ac:dyDescent="0.3">
      <c r="A18" s="4"/>
      <c r="B18" s="28">
        <v>11</v>
      </c>
      <c r="C18" s="29" t="str">
        <f>IF(DATA!E15="","",DATA!E15)</f>
        <v/>
      </c>
      <c r="D18" s="29" t="str">
        <f>IF(DATA!C15="","",DATA!C15)</f>
        <v/>
      </c>
      <c r="E18" s="31"/>
      <c r="F18" s="31"/>
      <c r="G18" s="31"/>
      <c r="H18" s="31"/>
      <c r="I18" s="31"/>
      <c r="J18" s="578"/>
      <c r="K18" s="584"/>
      <c r="L18" s="580" t="str">
        <f>IF('GREEN SHEET'!CV17="","",'GREEN SHEET'!CV17)</f>
        <v/>
      </c>
      <c r="M18" s="31"/>
      <c r="N18" s="4"/>
    </row>
    <row r="19" spans="1:14" s="3" customFormat="1" ht="32.25" customHeight="1" x14ac:dyDescent="0.3">
      <c r="A19" s="4"/>
      <c r="B19" s="28">
        <v>12</v>
      </c>
      <c r="C19" s="29" t="str">
        <f>IF(DATA!E16="","",DATA!E16)</f>
        <v/>
      </c>
      <c r="D19" s="29" t="str">
        <f>IF(DATA!C16="","",DATA!C16)</f>
        <v/>
      </c>
      <c r="E19" s="31"/>
      <c r="F19" s="31"/>
      <c r="G19" s="31"/>
      <c r="H19" s="31"/>
      <c r="I19" s="31"/>
      <c r="J19" s="578"/>
      <c r="K19" s="584"/>
      <c r="L19" s="580" t="str">
        <f>IF('GREEN SHEET'!CV18="","",'GREEN SHEET'!CV18)</f>
        <v/>
      </c>
      <c r="M19" s="31"/>
      <c r="N19" s="4"/>
    </row>
    <row r="20" spans="1:14" s="3" customFormat="1" ht="32.25" customHeight="1" x14ac:dyDescent="0.3">
      <c r="A20" s="4"/>
      <c r="B20" s="28">
        <v>13</v>
      </c>
      <c r="C20" s="29" t="str">
        <f>IF(DATA!E17="","",DATA!E17)</f>
        <v/>
      </c>
      <c r="D20" s="29" t="str">
        <f>IF(DATA!C17="","",DATA!C17)</f>
        <v/>
      </c>
      <c r="E20" s="31"/>
      <c r="F20" s="31"/>
      <c r="G20" s="31"/>
      <c r="H20" s="31"/>
      <c r="I20" s="31"/>
      <c r="J20" s="578"/>
      <c r="K20" s="584"/>
      <c r="L20" s="580" t="str">
        <f>IF('GREEN SHEET'!CV19="","",'GREEN SHEET'!CV19)</f>
        <v/>
      </c>
      <c r="M20" s="31"/>
      <c r="N20" s="4"/>
    </row>
    <row r="21" spans="1:14" s="3" customFormat="1" ht="32.25" customHeight="1" x14ac:dyDescent="0.3">
      <c r="A21" s="4"/>
      <c r="B21" s="28">
        <v>14</v>
      </c>
      <c r="C21" s="29" t="str">
        <f>IF(DATA!E18="","",DATA!E18)</f>
        <v/>
      </c>
      <c r="D21" s="29" t="str">
        <f>IF(DATA!C18="","",DATA!C18)</f>
        <v/>
      </c>
      <c r="E21" s="31"/>
      <c r="F21" s="31"/>
      <c r="G21" s="31"/>
      <c r="H21" s="31"/>
      <c r="I21" s="31"/>
      <c r="J21" s="578"/>
      <c r="K21" s="584"/>
      <c r="L21" s="580" t="str">
        <f>IF('GREEN SHEET'!CV20="","",'GREEN SHEET'!CV20)</f>
        <v/>
      </c>
      <c r="M21" s="31"/>
      <c r="N21" s="4"/>
    </row>
    <row r="22" spans="1:14" s="3" customFormat="1" ht="32.25" customHeight="1" x14ac:dyDescent="0.3">
      <c r="A22" s="4"/>
      <c r="B22" s="28">
        <v>15</v>
      </c>
      <c r="C22" s="29" t="str">
        <f>IF(DATA!E19="","",DATA!E19)</f>
        <v/>
      </c>
      <c r="D22" s="29" t="str">
        <f>IF(DATA!C19="","",DATA!C19)</f>
        <v/>
      </c>
      <c r="E22" s="31"/>
      <c r="F22" s="31"/>
      <c r="G22" s="31"/>
      <c r="H22" s="31"/>
      <c r="I22" s="31"/>
      <c r="J22" s="578"/>
      <c r="K22" s="584"/>
      <c r="L22" s="580" t="str">
        <f>IF('GREEN SHEET'!CV21="","",'GREEN SHEET'!CV21)</f>
        <v/>
      </c>
      <c r="M22" s="31"/>
      <c r="N22" s="4"/>
    </row>
    <row r="23" spans="1:14" s="3" customFormat="1" ht="32.25" customHeight="1" x14ac:dyDescent="0.3">
      <c r="A23" s="4"/>
      <c r="B23" s="28">
        <v>16</v>
      </c>
      <c r="C23" s="29" t="str">
        <f>IF(DATA!E20="","",DATA!E20)</f>
        <v/>
      </c>
      <c r="D23" s="29" t="str">
        <f>IF(DATA!C20="","",DATA!C20)</f>
        <v/>
      </c>
      <c r="E23" s="31"/>
      <c r="F23" s="31"/>
      <c r="G23" s="31"/>
      <c r="H23" s="31"/>
      <c r="I23" s="31"/>
      <c r="J23" s="578"/>
      <c r="K23" s="584"/>
      <c r="L23" s="580" t="str">
        <f>IF('GREEN SHEET'!CV22="","",'GREEN SHEET'!CV22)</f>
        <v/>
      </c>
      <c r="M23" s="31"/>
      <c r="N23" s="4"/>
    </row>
    <row r="24" spans="1:14" s="3" customFormat="1" ht="32.25" customHeight="1" x14ac:dyDescent="0.3">
      <c r="A24" s="4"/>
      <c r="B24" s="28">
        <v>17</v>
      </c>
      <c r="C24" s="29" t="str">
        <f>IF(DATA!E21="","",DATA!E21)</f>
        <v/>
      </c>
      <c r="D24" s="29" t="str">
        <f>IF(DATA!C21="","",DATA!C21)</f>
        <v/>
      </c>
      <c r="E24" s="31"/>
      <c r="F24" s="31"/>
      <c r="G24" s="31"/>
      <c r="H24" s="31"/>
      <c r="I24" s="31"/>
      <c r="J24" s="578"/>
      <c r="K24" s="584"/>
      <c r="L24" s="580" t="str">
        <f>IF('GREEN SHEET'!CV23="","",'GREEN SHEET'!CV23)</f>
        <v/>
      </c>
      <c r="M24" s="31"/>
      <c r="N24" s="4"/>
    </row>
    <row r="25" spans="1:14" s="3" customFormat="1" ht="32.25" customHeight="1" x14ac:dyDescent="0.3">
      <c r="A25" s="4"/>
      <c r="B25" s="28">
        <v>18</v>
      </c>
      <c r="C25" s="29" t="str">
        <f>IF(DATA!E22="","",DATA!E22)</f>
        <v/>
      </c>
      <c r="D25" s="29" t="str">
        <f>IF(DATA!C22="","",DATA!C22)</f>
        <v/>
      </c>
      <c r="E25" s="31"/>
      <c r="F25" s="31"/>
      <c r="G25" s="31"/>
      <c r="H25" s="31"/>
      <c r="I25" s="31"/>
      <c r="J25" s="578"/>
      <c r="K25" s="584"/>
      <c r="L25" s="580" t="str">
        <f>IF('GREEN SHEET'!CV24="","",'GREEN SHEET'!CV24)</f>
        <v/>
      </c>
      <c r="M25" s="31"/>
      <c r="N25" s="4"/>
    </row>
    <row r="26" spans="1:14" s="3" customFormat="1" ht="32.25" customHeight="1" x14ac:dyDescent="0.3">
      <c r="A26" s="4"/>
      <c r="B26" s="28">
        <v>19</v>
      </c>
      <c r="C26" s="29" t="str">
        <f>IF(DATA!E23="","",DATA!E23)</f>
        <v/>
      </c>
      <c r="D26" s="29" t="str">
        <f>IF(DATA!C23="","",DATA!C23)</f>
        <v/>
      </c>
      <c r="E26" s="31"/>
      <c r="F26" s="31"/>
      <c r="G26" s="31"/>
      <c r="H26" s="31"/>
      <c r="I26" s="31"/>
      <c r="J26" s="578"/>
      <c r="K26" s="584"/>
      <c r="L26" s="580" t="str">
        <f>IF('GREEN SHEET'!CV25="","",'GREEN SHEET'!CV25)</f>
        <v/>
      </c>
      <c r="M26" s="31"/>
      <c r="N26" s="4"/>
    </row>
    <row r="27" spans="1:14" s="3" customFormat="1" ht="32.25" customHeight="1" x14ac:dyDescent="0.3">
      <c r="A27" s="4"/>
      <c r="B27" s="28">
        <v>20</v>
      </c>
      <c r="C27" s="29" t="str">
        <f>IF(DATA!E24="","",DATA!E24)</f>
        <v/>
      </c>
      <c r="D27" s="29" t="str">
        <f>IF(DATA!C24="","",DATA!C24)</f>
        <v/>
      </c>
      <c r="E27" s="31"/>
      <c r="F27" s="31"/>
      <c r="G27" s="31"/>
      <c r="H27" s="31"/>
      <c r="I27" s="31"/>
      <c r="J27" s="578"/>
      <c r="K27" s="584"/>
      <c r="L27" s="580" t="str">
        <f>IF('GREEN SHEET'!CV26="","",'GREEN SHEET'!CV26)</f>
        <v/>
      </c>
      <c r="M27" s="31"/>
      <c r="N27" s="4"/>
    </row>
    <row r="28" spans="1:14" s="3" customFormat="1" ht="32.25" customHeight="1" x14ac:dyDescent="0.3">
      <c r="A28" s="4"/>
      <c r="B28" s="28">
        <v>21</v>
      </c>
      <c r="C28" s="29" t="str">
        <f>IF(DATA!E25="","",DATA!E25)</f>
        <v/>
      </c>
      <c r="D28" s="29" t="str">
        <f>IF(DATA!C25="","",DATA!C25)</f>
        <v/>
      </c>
      <c r="E28" s="31"/>
      <c r="F28" s="31"/>
      <c r="G28" s="31"/>
      <c r="H28" s="31"/>
      <c r="I28" s="31"/>
      <c r="J28" s="578"/>
      <c r="K28" s="584"/>
      <c r="L28" s="580" t="str">
        <f>IF('GREEN SHEET'!CV27="","",'GREEN SHEET'!CV27)</f>
        <v/>
      </c>
      <c r="M28" s="31"/>
      <c r="N28" s="4"/>
    </row>
    <row r="29" spans="1:14" s="3" customFormat="1" ht="32.25" customHeight="1" x14ac:dyDescent="0.3">
      <c r="A29" s="4"/>
      <c r="B29" s="28">
        <v>22</v>
      </c>
      <c r="C29" s="29" t="str">
        <f>IF(DATA!E26="","",DATA!E26)</f>
        <v/>
      </c>
      <c r="D29" s="29" t="str">
        <f>IF(DATA!C26="","",DATA!C26)</f>
        <v/>
      </c>
      <c r="E29" s="31"/>
      <c r="F29" s="31"/>
      <c r="G29" s="31"/>
      <c r="H29" s="31"/>
      <c r="I29" s="31"/>
      <c r="J29" s="578"/>
      <c r="K29" s="584"/>
      <c r="L29" s="580" t="str">
        <f>IF('GREEN SHEET'!CV28="","",'GREEN SHEET'!CV28)</f>
        <v/>
      </c>
      <c r="M29" s="31"/>
      <c r="N29" s="4"/>
    </row>
    <row r="30" spans="1:14" s="3" customFormat="1" ht="32.25" customHeight="1" x14ac:dyDescent="0.3">
      <c r="A30" s="4"/>
      <c r="B30" s="28">
        <v>23</v>
      </c>
      <c r="C30" s="29" t="str">
        <f>IF(DATA!E27="","",DATA!E27)</f>
        <v/>
      </c>
      <c r="D30" s="29" t="str">
        <f>IF(DATA!C27="","",DATA!C27)</f>
        <v/>
      </c>
      <c r="E30" s="31"/>
      <c r="F30" s="31"/>
      <c r="G30" s="31"/>
      <c r="H30" s="31"/>
      <c r="I30" s="31"/>
      <c r="J30" s="578"/>
      <c r="K30" s="584"/>
      <c r="L30" s="580" t="str">
        <f>IF('GREEN SHEET'!CV29="","",'GREEN SHEET'!CV29)</f>
        <v/>
      </c>
      <c r="M30" s="31"/>
      <c r="N30" s="4"/>
    </row>
    <row r="31" spans="1:14" s="3" customFormat="1" ht="32.25" customHeight="1" x14ac:dyDescent="0.3">
      <c r="A31" s="4"/>
      <c r="B31" s="28">
        <v>24</v>
      </c>
      <c r="C31" s="29" t="str">
        <f>IF(DATA!E28="","",DATA!E28)</f>
        <v/>
      </c>
      <c r="D31" s="29" t="str">
        <f>IF(DATA!C28="","",DATA!C28)</f>
        <v/>
      </c>
      <c r="E31" s="31"/>
      <c r="F31" s="31"/>
      <c r="G31" s="31"/>
      <c r="H31" s="31"/>
      <c r="I31" s="31"/>
      <c r="J31" s="578"/>
      <c r="K31" s="584"/>
      <c r="L31" s="580" t="str">
        <f>IF('GREEN SHEET'!CV30="","",'GREEN SHEET'!CV30)</f>
        <v/>
      </c>
      <c r="M31" s="31"/>
      <c r="N31" s="4"/>
    </row>
    <row r="32" spans="1:14" s="3" customFormat="1" ht="32.25" customHeight="1" x14ac:dyDescent="0.3">
      <c r="A32" s="4"/>
      <c r="B32" s="28">
        <v>25</v>
      </c>
      <c r="C32" s="29" t="str">
        <f>IF(DATA!E29="","",DATA!E29)</f>
        <v/>
      </c>
      <c r="D32" s="29" t="str">
        <f>IF(DATA!C29="","",DATA!C29)</f>
        <v/>
      </c>
      <c r="E32" s="31"/>
      <c r="F32" s="31"/>
      <c r="G32" s="31"/>
      <c r="H32" s="31"/>
      <c r="I32" s="31"/>
      <c r="J32" s="578"/>
      <c r="K32" s="584"/>
      <c r="L32" s="580" t="str">
        <f>IF('GREEN SHEET'!CV31="","",'GREEN SHEET'!CV31)</f>
        <v/>
      </c>
      <c r="M32" s="31"/>
      <c r="N32" s="4"/>
    </row>
    <row r="33" spans="1:14" s="3" customFormat="1" ht="32.25" customHeight="1" x14ac:dyDescent="0.3">
      <c r="A33" s="4"/>
      <c r="B33" s="28">
        <v>26</v>
      </c>
      <c r="C33" s="29" t="str">
        <f>IF(DATA!E30="","",DATA!E30)</f>
        <v/>
      </c>
      <c r="D33" s="29" t="str">
        <f>IF(DATA!C30="","",DATA!C30)</f>
        <v/>
      </c>
      <c r="E33" s="31"/>
      <c r="F33" s="31"/>
      <c r="G33" s="31"/>
      <c r="H33" s="31"/>
      <c r="I33" s="31"/>
      <c r="J33" s="578"/>
      <c r="K33" s="584"/>
      <c r="L33" s="580" t="str">
        <f>IF('GREEN SHEET'!CV32="","",'GREEN SHEET'!CV32)</f>
        <v/>
      </c>
      <c r="M33" s="31"/>
      <c r="N33" s="4"/>
    </row>
    <row r="34" spans="1:14" s="3" customFormat="1" ht="32.25" customHeight="1" x14ac:dyDescent="0.3">
      <c r="A34" s="4"/>
      <c r="B34" s="28">
        <v>27</v>
      </c>
      <c r="C34" s="29" t="str">
        <f>IF(DATA!E31="","",DATA!E31)</f>
        <v/>
      </c>
      <c r="D34" s="29" t="str">
        <f>IF(DATA!C31="","",DATA!C31)</f>
        <v/>
      </c>
      <c r="E34" s="31"/>
      <c r="F34" s="31"/>
      <c r="G34" s="31"/>
      <c r="H34" s="31"/>
      <c r="I34" s="31"/>
      <c r="J34" s="578"/>
      <c r="K34" s="584"/>
      <c r="L34" s="580" t="str">
        <f>IF('GREEN SHEET'!CV33="","",'GREEN SHEET'!CV33)</f>
        <v/>
      </c>
      <c r="M34" s="31"/>
      <c r="N34" s="4"/>
    </row>
    <row r="35" spans="1:14" s="3" customFormat="1" ht="32.25" customHeight="1" x14ac:dyDescent="0.3">
      <c r="A35" s="4"/>
      <c r="B35" s="28">
        <v>28</v>
      </c>
      <c r="C35" s="29" t="str">
        <f>IF(DATA!E32="","",DATA!E32)</f>
        <v/>
      </c>
      <c r="D35" s="29" t="str">
        <f>IF(DATA!C32="","",DATA!C32)</f>
        <v/>
      </c>
      <c r="E35" s="31"/>
      <c r="F35" s="31"/>
      <c r="G35" s="31"/>
      <c r="H35" s="31"/>
      <c r="I35" s="31"/>
      <c r="J35" s="578"/>
      <c r="K35" s="584"/>
      <c r="L35" s="580" t="str">
        <f>IF('GREEN SHEET'!CV34="","",'GREEN SHEET'!CV34)</f>
        <v/>
      </c>
      <c r="M35" s="31"/>
      <c r="N35" s="4"/>
    </row>
    <row r="36" spans="1:14" s="3" customFormat="1" ht="32.25" customHeight="1" x14ac:dyDescent="0.3">
      <c r="A36" s="4"/>
      <c r="B36" s="28">
        <v>29</v>
      </c>
      <c r="C36" s="29" t="str">
        <f>IF(DATA!E33="","",DATA!E33)</f>
        <v/>
      </c>
      <c r="D36" s="29" t="str">
        <f>IF(DATA!C33="","",DATA!C33)</f>
        <v/>
      </c>
      <c r="E36" s="31"/>
      <c r="F36" s="31"/>
      <c r="G36" s="31"/>
      <c r="H36" s="31"/>
      <c r="I36" s="31"/>
      <c r="J36" s="578"/>
      <c r="K36" s="584"/>
      <c r="L36" s="580" t="str">
        <f>IF('GREEN SHEET'!CV35="","",'GREEN SHEET'!CV35)</f>
        <v/>
      </c>
      <c r="M36" s="31"/>
      <c r="N36" s="4"/>
    </row>
    <row r="37" spans="1:14" s="3" customFormat="1" ht="32.25" customHeight="1" x14ac:dyDescent="0.3">
      <c r="A37" s="4"/>
      <c r="B37" s="28">
        <v>30</v>
      </c>
      <c r="C37" s="29" t="str">
        <f>IF(DATA!E34="","",DATA!E34)</f>
        <v/>
      </c>
      <c r="D37" s="29" t="str">
        <f>IF(DATA!C34="","",DATA!C34)</f>
        <v/>
      </c>
      <c r="E37" s="31"/>
      <c r="F37" s="31"/>
      <c r="G37" s="31"/>
      <c r="H37" s="31"/>
      <c r="I37" s="31"/>
      <c r="J37" s="578"/>
      <c r="K37" s="584"/>
      <c r="L37" s="580" t="str">
        <f>IF('GREEN SHEET'!CV36="","",'GREEN SHEET'!CV36)</f>
        <v/>
      </c>
      <c r="M37" s="31"/>
      <c r="N37" s="4"/>
    </row>
    <row r="38" spans="1:14" s="3" customFormat="1" ht="32.25" customHeight="1" x14ac:dyDescent="0.3">
      <c r="A38" s="4"/>
      <c r="B38" s="28">
        <v>31</v>
      </c>
      <c r="C38" s="29" t="str">
        <f>IF(DATA!E35="","",DATA!E35)</f>
        <v/>
      </c>
      <c r="D38" s="29" t="str">
        <f>IF(DATA!C35="","",DATA!C35)</f>
        <v/>
      </c>
      <c r="E38" s="31"/>
      <c r="F38" s="31"/>
      <c r="G38" s="31"/>
      <c r="H38" s="31"/>
      <c r="I38" s="31"/>
      <c r="J38" s="578"/>
      <c r="K38" s="584"/>
      <c r="L38" s="580" t="str">
        <f>IF('GREEN SHEET'!CV37="","",'GREEN SHEET'!CV37)</f>
        <v/>
      </c>
      <c r="M38" s="31"/>
      <c r="N38" s="4"/>
    </row>
    <row r="39" spans="1:14" s="3" customFormat="1" ht="32.25" customHeight="1" x14ac:dyDescent="0.3">
      <c r="A39" s="4"/>
      <c r="B39" s="28">
        <v>32</v>
      </c>
      <c r="C39" s="29" t="str">
        <f>IF(DATA!E36="","",DATA!E36)</f>
        <v/>
      </c>
      <c r="D39" s="29" t="str">
        <f>IF(DATA!C36="","",DATA!C36)</f>
        <v/>
      </c>
      <c r="E39" s="31"/>
      <c r="F39" s="31"/>
      <c r="G39" s="31"/>
      <c r="H39" s="31"/>
      <c r="I39" s="31"/>
      <c r="J39" s="578"/>
      <c r="K39" s="584"/>
      <c r="L39" s="580" t="str">
        <f>IF('GREEN SHEET'!CV38="","",'GREEN SHEET'!CV38)</f>
        <v/>
      </c>
      <c r="M39" s="31"/>
      <c r="N39" s="4"/>
    </row>
    <row r="40" spans="1:14" s="3" customFormat="1" ht="32.25" customHeight="1" x14ac:dyDescent="0.3">
      <c r="A40" s="4"/>
      <c r="B40" s="28">
        <v>33</v>
      </c>
      <c r="C40" s="29" t="str">
        <f>IF(DATA!E37="","",DATA!E37)</f>
        <v/>
      </c>
      <c r="D40" s="29" t="str">
        <f>IF(DATA!C37="","",DATA!C37)</f>
        <v/>
      </c>
      <c r="E40" s="31"/>
      <c r="F40" s="31"/>
      <c r="G40" s="31"/>
      <c r="H40" s="31"/>
      <c r="I40" s="31"/>
      <c r="J40" s="578"/>
      <c r="K40" s="584"/>
      <c r="L40" s="580" t="str">
        <f>IF('GREEN SHEET'!CV39="","",'GREEN SHEET'!CV39)</f>
        <v/>
      </c>
      <c r="M40" s="31"/>
      <c r="N40" s="4"/>
    </row>
    <row r="41" spans="1:14" s="3" customFormat="1" ht="20.399999999999999" x14ac:dyDescent="0.3">
      <c r="A41" s="4"/>
      <c r="B41" s="28">
        <v>34</v>
      </c>
      <c r="C41" s="29" t="str">
        <f>IF(DATA!E38="","",DATA!E38)</f>
        <v/>
      </c>
      <c r="D41" s="29" t="str">
        <f>IF(DATA!C38="","",DATA!C38)</f>
        <v/>
      </c>
      <c r="E41" s="31"/>
      <c r="F41" s="31"/>
      <c r="G41" s="31"/>
      <c r="H41" s="31"/>
      <c r="I41" s="31"/>
      <c r="J41" s="578"/>
      <c r="K41" s="584"/>
      <c r="L41" s="580" t="str">
        <f>IF('GREEN SHEET'!CV40="","",'GREEN SHEET'!CV40)</f>
        <v/>
      </c>
      <c r="M41" s="31"/>
      <c r="N41" s="4"/>
    </row>
    <row r="42" spans="1:14" s="3" customFormat="1" ht="20.399999999999999" x14ac:dyDescent="0.3">
      <c r="A42" s="4"/>
      <c r="B42" s="28">
        <v>35</v>
      </c>
      <c r="C42" s="29" t="str">
        <f>IF(DATA!E39="","",DATA!E39)</f>
        <v/>
      </c>
      <c r="D42" s="29" t="str">
        <f>IF(DATA!C39="","",DATA!C39)</f>
        <v/>
      </c>
      <c r="E42" s="31"/>
      <c r="F42" s="31"/>
      <c r="G42" s="31"/>
      <c r="H42" s="31"/>
      <c r="I42" s="31"/>
      <c r="J42" s="578"/>
      <c r="K42" s="584"/>
      <c r="L42" s="580" t="str">
        <f>IF('GREEN SHEET'!CV41="","",'GREEN SHEET'!CV41)</f>
        <v/>
      </c>
      <c r="M42" s="31"/>
      <c r="N42" s="4"/>
    </row>
    <row r="43" spans="1:14" s="3" customFormat="1" ht="20.399999999999999" x14ac:dyDescent="0.3">
      <c r="A43" s="4"/>
      <c r="B43" s="28">
        <v>36</v>
      </c>
      <c r="C43" s="29" t="str">
        <f>IF(DATA!E40="","",DATA!E40)</f>
        <v/>
      </c>
      <c r="D43" s="29" t="str">
        <f>IF(DATA!C40="","",DATA!C40)</f>
        <v/>
      </c>
      <c r="E43" s="31"/>
      <c r="F43" s="31"/>
      <c r="G43" s="31"/>
      <c r="H43" s="31"/>
      <c r="I43" s="31"/>
      <c r="J43" s="578"/>
      <c r="K43" s="584"/>
      <c r="L43" s="580" t="str">
        <f>IF('GREEN SHEET'!CV42="","",'GREEN SHEET'!CV42)</f>
        <v/>
      </c>
      <c r="M43" s="31"/>
      <c r="N43" s="4"/>
    </row>
    <row r="44" spans="1:14" s="3" customFormat="1" ht="20.399999999999999" x14ac:dyDescent="0.3">
      <c r="A44" s="4"/>
      <c r="B44" s="28">
        <v>37</v>
      </c>
      <c r="C44" s="29" t="str">
        <f>IF(DATA!E41="","",DATA!E41)</f>
        <v/>
      </c>
      <c r="D44" s="29" t="str">
        <f>IF(DATA!C41="","",DATA!C41)</f>
        <v/>
      </c>
      <c r="E44" s="31"/>
      <c r="F44" s="31"/>
      <c r="G44" s="31"/>
      <c r="H44" s="31"/>
      <c r="I44" s="31"/>
      <c r="J44" s="578"/>
      <c r="K44" s="584"/>
      <c r="L44" s="580" t="str">
        <f>IF('GREEN SHEET'!CV43="","",'GREEN SHEET'!CV43)</f>
        <v/>
      </c>
      <c r="M44" s="31"/>
      <c r="N44" s="4"/>
    </row>
    <row r="45" spans="1:14" s="3" customFormat="1" ht="20.399999999999999" x14ac:dyDescent="0.3">
      <c r="A45" s="4"/>
      <c r="B45" s="28">
        <v>38</v>
      </c>
      <c r="C45" s="29" t="str">
        <f>IF(DATA!E42="","",DATA!E42)</f>
        <v/>
      </c>
      <c r="D45" s="29" t="str">
        <f>IF(DATA!C42="","",DATA!C42)</f>
        <v/>
      </c>
      <c r="E45" s="31"/>
      <c r="F45" s="31"/>
      <c r="G45" s="31"/>
      <c r="H45" s="31"/>
      <c r="I45" s="31"/>
      <c r="J45" s="578"/>
      <c r="K45" s="584"/>
      <c r="L45" s="580" t="str">
        <f>IF('GREEN SHEET'!CV44="","",'GREEN SHEET'!CV44)</f>
        <v/>
      </c>
      <c r="M45" s="31"/>
      <c r="N45" s="4"/>
    </row>
    <row r="46" spans="1:14" s="3" customFormat="1" ht="20.399999999999999" x14ac:dyDescent="0.3">
      <c r="A46" s="4"/>
      <c r="B46" s="28">
        <v>39</v>
      </c>
      <c r="C46" s="29" t="str">
        <f>IF(DATA!E43="","",DATA!E43)</f>
        <v/>
      </c>
      <c r="D46" s="29" t="str">
        <f>IF(DATA!C43="","",DATA!C43)</f>
        <v/>
      </c>
      <c r="E46" s="31"/>
      <c r="F46" s="31"/>
      <c r="G46" s="31"/>
      <c r="H46" s="31"/>
      <c r="I46" s="31"/>
      <c r="J46" s="578"/>
      <c r="K46" s="584"/>
      <c r="L46" s="580" t="str">
        <f>IF('GREEN SHEET'!CV45="","",'GREEN SHEET'!CV45)</f>
        <v/>
      </c>
      <c r="M46" s="31"/>
      <c r="N46" s="4"/>
    </row>
    <row r="47" spans="1:14" s="3" customFormat="1" ht="20.399999999999999" x14ac:dyDescent="0.3">
      <c r="A47" s="4"/>
      <c r="B47" s="28">
        <v>40</v>
      </c>
      <c r="C47" s="29" t="str">
        <f>IF(DATA!E44="","",DATA!E44)</f>
        <v/>
      </c>
      <c r="D47" s="29" t="str">
        <f>IF(DATA!C44="","",DATA!C44)</f>
        <v/>
      </c>
      <c r="E47" s="31"/>
      <c r="F47" s="31"/>
      <c r="G47" s="31"/>
      <c r="H47" s="31"/>
      <c r="I47" s="31"/>
      <c r="J47" s="578"/>
      <c r="K47" s="584"/>
      <c r="L47" s="580" t="str">
        <f>IF('GREEN SHEET'!CV46="","",'GREEN SHEET'!CV46)</f>
        <v/>
      </c>
      <c r="M47" s="31"/>
      <c r="N47" s="4"/>
    </row>
    <row r="48" spans="1:14" s="3" customFormat="1" ht="20.399999999999999" x14ac:dyDescent="0.3">
      <c r="A48" s="4"/>
      <c r="B48" s="28">
        <v>41</v>
      </c>
      <c r="C48" s="29" t="str">
        <f>IF(DATA!E45="","",DATA!E45)</f>
        <v/>
      </c>
      <c r="D48" s="29" t="str">
        <f>IF(DATA!C45="","",DATA!C45)</f>
        <v/>
      </c>
      <c r="E48" s="31"/>
      <c r="F48" s="31"/>
      <c r="G48" s="31"/>
      <c r="H48" s="31"/>
      <c r="I48" s="31"/>
      <c r="J48" s="578"/>
      <c r="K48" s="584"/>
      <c r="L48" s="580" t="str">
        <f>IF('GREEN SHEET'!CV47="","",'GREEN SHEET'!CV47)</f>
        <v/>
      </c>
      <c r="M48" s="31"/>
      <c r="N48" s="4"/>
    </row>
    <row r="49" spans="1:14" s="3" customFormat="1" ht="20.399999999999999" x14ac:dyDescent="0.3">
      <c r="A49" s="4"/>
      <c r="B49" s="28">
        <v>42</v>
      </c>
      <c r="C49" s="29" t="str">
        <f>IF(DATA!E46="","",DATA!E46)</f>
        <v/>
      </c>
      <c r="D49" s="29" t="str">
        <f>IF(DATA!C46="","",DATA!C46)</f>
        <v/>
      </c>
      <c r="E49" s="31"/>
      <c r="F49" s="31"/>
      <c r="G49" s="31"/>
      <c r="H49" s="31"/>
      <c r="I49" s="31"/>
      <c r="J49" s="578"/>
      <c r="K49" s="584"/>
      <c r="L49" s="580" t="str">
        <f>IF('GREEN SHEET'!CV48="","",'GREEN SHEET'!CV48)</f>
        <v/>
      </c>
      <c r="M49" s="31"/>
      <c r="N49" s="4"/>
    </row>
    <row r="50" spans="1:14" s="3" customFormat="1" ht="20.399999999999999" x14ac:dyDescent="0.3">
      <c r="A50" s="4"/>
      <c r="B50" s="28">
        <v>43</v>
      </c>
      <c r="C50" s="29" t="str">
        <f>IF(DATA!E47="","",DATA!E47)</f>
        <v/>
      </c>
      <c r="D50" s="29" t="str">
        <f>IF(DATA!C47="","",DATA!C47)</f>
        <v/>
      </c>
      <c r="E50" s="31"/>
      <c r="F50" s="31"/>
      <c r="G50" s="31"/>
      <c r="H50" s="31"/>
      <c r="I50" s="31"/>
      <c r="J50" s="578"/>
      <c r="K50" s="584"/>
      <c r="L50" s="580" t="str">
        <f>IF('GREEN SHEET'!CV49="","",'GREEN SHEET'!CV49)</f>
        <v/>
      </c>
      <c r="M50" s="31"/>
      <c r="N50" s="4"/>
    </row>
    <row r="51" spans="1:14" s="3" customFormat="1" ht="20.399999999999999" x14ac:dyDescent="0.3">
      <c r="A51" s="4"/>
      <c r="B51" s="28">
        <v>44</v>
      </c>
      <c r="C51" s="29" t="str">
        <f>IF(DATA!E48="","",DATA!E48)</f>
        <v/>
      </c>
      <c r="D51" s="29" t="str">
        <f>IF(DATA!C48="","",DATA!C48)</f>
        <v/>
      </c>
      <c r="E51" s="31"/>
      <c r="F51" s="31"/>
      <c r="G51" s="31"/>
      <c r="H51" s="31"/>
      <c r="I51" s="31"/>
      <c r="J51" s="578"/>
      <c r="K51" s="584"/>
      <c r="L51" s="580" t="str">
        <f>IF('GREEN SHEET'!CV50="","",'GREEN SHEET'!CV50)</f>
        <v/>
      </c>
      <c r="M51" s="31"/>
      <c r="N51" s="4"/>
    </row>
    <row r="52" spans="1:14" s="3" customFormat="1" ht="21" thickBot="1" x14ac:dyDescent="0.35">
      <c r="A52" s="4"/>
      <c r="B52" s="374">
        <v>45</v>
      </c>
      <c r="C52" s="375" t="str">
        <f>IF(DATA!E49="","",DATA!E49)</f>
        <v/>
      </c>
      <c r="D52" s="375" t="str">
        <f>IF(DATA!C49="","",DATA!C49)</f>
        <v/>
      </c>
      <c r="E52" s="210"/>
      <c r="F52" s="210"/>
      <c r="G52" s="210"/>
      <c r="H52" s="210"/>
      <c r="I52" s="210"/>
      <c r="J52" s="579"/>
      <c r="K52" s="584"/>
      <c r="L52" s="580" t="str">
        <f>IF('GREEN SHEET'!CV51="","",'GREEN SHEET'!CV51)</f>
        <v/>
      </c>
      <c r="M52" s="31"/>
      <c r="N52" s="4"/>
    </row>
    <row r="53" spans="1:14" s="3" customFormat="1" ht="45" customHeight="1" thickBot="1" x14ac:dyDescent="0.35">
      <c r="A53" s="4"/>
      <c r="B53" s="848" t="s">
        <v>267</v>
      </c>
      <c r="C53" s="849"/>
      <c r="D53" s="860"/>
      <c r="E53" s="861"/>
      <c r="F53" s="861"/>
      <c r="G53" s="861"/>
      <c r="H53" s="861"/>
      <c r="I53" s="861"/>
      <c r="J53" s="861"/>
      <c r="K53" s="584"/>
      <c r="L53" s="846"/>
      <c r="M53" s="846"/>
      <c r="N53" s="4"/>
    </row>
    <row r="54" spans="1:14" s="3" customFormat="1" ht="14.4" x14ac:dyDescent="0.3">
      <c r="A54" s="4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4"/>
    </row>
    <row r="55" spans="1:14" ht="14.4" hidden="1" x14ac:dyDescent="0.3"/>
  </sheetData>
  <sheetProtection algorithmName="SHA-512" hashValue="9OLO8pP3KWYBeew+T9kPmdErM7VFGe3tSthLyMKaVL6BBd1ab8eFD7W6Ayer4wZDsQ+iUcgzBoQRaHAvCaveaA==" saltValue="LwMghOLbs8KUo8O9CumyvA==" spinCount="100000" sheet="1" objects="1" scenarios="1" selectLockedCells="1"/>
  <mergeCells count="11">
    <mergeCell ref="B53:C53"/>
    <mergeCell ref="B2:J2"/>
    <mergeCell ref="B3:J3"/>
    <mergeCell ref="B7:D7"/>
    <mergeCell ref="L5:L6"/>
    <mergeCell ref="H4:J4"/>
    <mergeCell ref="F5:G5"/>
    <mergeCell ref="I5:J5"/>
    <mergeCell ref="D53:J53"/>
    <mergeCell ref="L53:M53"/>
    <mergeCell ref="M5:M6"/>
  </mergeCells>
  <hyperlinks>
    <hyperlink ref="A1" location="DASHBOARD!A1" display="D"/>
  </hyperlinks>
  <pageMargins left="0.56999999999999995" right="0.22" top="0.14000000000000001" bottom="0.26" header="0.13" footer="0.21"/>
  <pageSetup scale="47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P55"/>
  <sheetViews>
    <sheetView workbookViewId="0">
      <selection activeCell="J9" sqref="J9"/>
    </sheetView>
  </sheetViews>
  <sheetFormatPr defaultColWidth="0" defaultRowHeight="15" customHeight="1" zeroHeight="1" x14ac:dyDescent="0.3"/>
  <cols>
    <col min="1" max="1" width="5.109375" style="3" customWidth="1"/>
    <col min="2" max="2" width="6.44140625" style="34" bestFit="1" customWidth="1"/>
    <col min="3" max="3" width="41.5546875" style="34" bestFit="1" customWidth="1"/>
    <col min="4" max="4" width="9" style="34" bestFit="1" customWidth="1"/>
    <col min="5" max="5" width="15" style="35" customWidth="1"/>
    <col min="6" max="7" width="14.6640625" style="35" customWidth="1"/>
    <col min="8" max="8" width="13.5546875" style="35" customWidth="1"/>
    <col min="9" max="9" width="13.6640625" style="35" customWidth="1"/>
    <col min="10" max="10" width="14.33203125" style="35" customWidth="1"/>
    <col min="11" max="11" width="4" style="42" customWidth="1"/>
    <col min="12" max="12" width="14.33203125" style="35" customWidth="1"/>
    <col min="13" max="13" width="13" style="35" customWidth="1"/>
    <col min="14" max="14" width="5.44140625" style="2" customWidth="1"/>
    <col min="15" max="16" width="0" style="1" hidden="1" customWidth="1"/>
    <col min="17" max="16384" width="9.109375" style="1" hidden="1"/>
  </cols>
  <sheetData>
    <row r="1" spans="1:14" s="3" customFormat="1" ht="21" x14ac:dyDescent="0.3">
      <c r="A1" s="5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4"/>
    </row>
    <row r="2" spans="1:14" s="3" customFormat="1" ht="22.8" x14ac:dyDescent="0.3">
      <c r="A2" s="4"/>
      <c r="B2" s="858" t="str">
        <f>"SWAMI VIVEKANAND GOVT. MODEL SCHOOL,"&amp;DASHBOARD!B3</f>
        <v xml:space="preserve">SWAMI VIVEKANAND GOVT. MODEL SCHOOL,AMET, BLOCK-AMET, RAJSAMAND                                                                </v>
      </c>
      <c r="C2" s="858"/>
      <c r="D2" s="858"/>
      <c r="E2" s="858"/>
      <c r="F2" s="858"/>
      <c r="G2" s="858"/>
      <c r="H2" s="858"/>
      <c r="I2" s="858"/>
      <c r="J2" s="858"/>
      <c r="K2" s="294"/>
      <c r="L2" s="572"/>
      <c r="M2" s="572"/>
      <c r="N2" s="4"/>
    </row>
    <row r="3" spans="1:14" s="3" customFormat="1" ht="22.8" x14ac:dyDescent="0.3">
      <c r="A3" s="4"/>
      <c r="B3" s="820" t="str">
        <f>IF(DASHBOARD!B4="","",DASHBOARD!B4)</f>
        <v>SESSION    -  2025-26</v>
      </c>
      <c r="C3" s="820"/>
      <c r="D3" s="820"/>
      <c r="E3" s="820"/>
      <c r="F3" s="820"/>
      <c r="G3" s="820"/>
      <c r="H3" s="820"/>
      <c r="I3" s="820"/>
      <c r="J3" s="820"/>
      <c r="K3" s="294"/>
      <c r="L3" s="572"/>
      <c r="M3" s="572"/>
      <c r="N3" s="4"/>
    </row>
    <row r="4" spans="1:14" s="13" customFormat="1" ht="24" thickBot="1" x14ac:dyDescent="0.5">
      <c r="A4" s="12"/>
      <c r="B4" s="23"/>
      <c r="C4" s="24" t="s">
        <v>63</v>
      </c>
      <c r="D4" s="23" t="str">
        <f>DASHBOARD!B8&amp;DASHBOARD!C8</f>
        <v>XI A</v>
      </c>
      <c r="E4" s="23"/>
      <c r="F4" s="819" t="s">
        <v>105</v>
      </c>
      <c r="G4" s="819"/>
      <c r="H4" s="819"/>
      <c r="I4" s="819"/>
      <c r="J4" s="819"/>
      <c r="K4" s="23"/>
      <c r="L4" s="23"/>
      <c r="M4" s="23"/>
      <c r="N4" s="12"/>
    </row>
    <row r="5" spans="1:14" s="3" customFormat="1" ht="35.4" thickBot="1" x14ac:dyDescent="0.35">
      <c r="A5" s="4"/>
      <c r="B5" s="680" t="s">
        <v>65</v>
      </c>
      <c r="C5" s="681" t="s">
        <v>64</v>
      </c>
      <c r="D5" s="681" t="s">
        <v>3</v>
      </c>
      <c r="E5" s="682" t="s">
        <v>98</v>
      </c>
      <c r="F5" s="834" t="s">
        <v>99</v>
      </c>
      <c r="G5" s="835"/>
      <c r="H5" s="682" t="s">
        <v>100</v>
      </c>
      <c r="I5" s="836" t="s">
        <v>18</v>
      </c>
      <c r="J5" s="850"/>
      <c r="K5" s="581"/>
      <c r="L5" s="859" t="s">
        <v>41</v>
      </c>
      <c r="M5" s="26" t="s">
        <v>122</v>
      </c>
      <c r="N5" s="4"/>
    </row>
    <row r="6" spans="1:14" s="3" customFormat="1" ht="18" thickBot="1" x14ac:dyDescent="0.35">
      <c r="A6" s="4"/>
      <c r="B6" s="686"/>
      <c r="C6" s="687"/>
      <c r="D6" s="687"/>
      <c r="E6" s="688"/>
      <c r="F6" s="688" t="s">
        <v>101</v>
      </c>
      <c r="G6" s="688" t="s">
        <v>102</v>
      </c>
      <c r="H6" s="689"/>
      <c r="I6" s="688" t="s">
        <v>101</v>
      </c>
      <c r="J6" s="690" t="s">
        <v>102</v>
      </c>
      <c r="K6" s="581"/>
      <c r="L6" s="859"/>
      <c r="M6" s="682"/>
      <c r="N6" s="4"/>
    </row>
    <row r="7" spans="1:14" s="3" customFormat="1" ht="27" customHeight="1" thickBot="1" x14ac:dyDescent="0.35">
      <c r="A7" s="4"/>
      <c r="B7" s="832" t="s">
        <v>19</v>
      </c>
      <c r="C7" s="833"/>
      <c r="D7" s="833"/>
      <c r="E7" s="691">
        <v>10</v>
      </c>
      <c r="F7" s="691">
        <v>70</v>
      </c>
      <c r="G7" s="691">
        <v>30</v>
      </c>
      <c r="H7" s="691">
        <v>10</v>
      </c>
      <c r="I7" s="691">
        <v>70</v>
      </c>
      <c r="J7" s="692">
        <v>30</v>
      </c>
      <c r="K7" s="582"/>
      <c r="L7" s="713">
        <f>IF('GREEN SHEET'!DO6="","",'GREEN SHEET'!DO6)</f>
        <v>76</v>
      </c>
      <c r="M7" s="714">
        <v>100</v>
      </c>
      <c r="N7" s="4"/>
    </row>
    <row r="8" spans="1:14" s="3" customFormat="1" ht="27" customHeight="1" x14ac:dyDescent="0.3">
      <c r="A8" s="4"/>
      <c r="B8" s="671">
        <v>1</v>
      </c>
      <c r="C8" s="676" t="str">
        <f>IF(DATA!E5="","",DATA!E5)</f>
        <v>Devendra Sharma</v>
      </c>
      <c r="D8" s="672">
        <f>IF(DATA!C5="","",DATA!C5)</f>
        <v>1101</v>
      </c>
      <c r="E8" s="673">
        <v>7</v>
      </c>
      <c r="F8" s="673">
        <v>54</v>
      </c>
      <c r="G8" s="673">
        <v>30</v>
      </c>
      <c r="H8" s="673">
        <v>9</v>
      </c>
      <c r="I8" s="673">
        <v>60</v>
      </c>
      <c r="J8" s="715">
        <v>25</v>
      </c>
      <c r="K8" s="584"/>
      <c r="L8" s="712">
        <f>IF('GREEN SHEET'!DO7="","",'GREEN SHEET'!DO7)</f>
        <v>63</v>
      </c>
      <c r="M8" s="673"/>
      <c r="N8" s="4"/>
    </row>
    <row r="9" spans="1:14" s="3" customFormat="1" ht="27" customHeight="1" x14ac:dyDescent="0.3">
      <c r="A9" s="4"/>
      <c r="B9" s="28">
        <v>2</v>
      </c>
      <c r="C9" s="677" t="str">
        <f>IF(DATA!E6="","",DATA!E6)</f>
        <v>DHARA SALVI</v>
      </c>
      <c r="D9" s="29">
        <f>IF(DATA!C6="","",DATA!C6)</f>
        <v>1102</v>
      </c>
      <c r="E9" s="31">
        <v>4</v>
      </c>
      <c r="F9" s="31">
        <v>38</v>
      </c>
      <c r="G9" s="31">
        <v>24</v>
      </c>
      <c r="H9" s="31">
        <v>3</v>
      </c>
      <c r="I9" s="31">
        <v>41</v>
      </c>
      <c r="J9" s="578">
        <v>24</v>
      </c>
      <c r="K9" s="584"/>
      <c r="L9" s="580">
        <f>IF('GREEN SHEET'!DO8="","",'GREEN SHEET'!DO8)</f>
        <v>40</v>
      </c>
      <c r="M9" s="31"/>
      <c r="N9" s="4"/>
    </row>
    <row r="10" spans="1:14" s="3" customFormat="1" ht="27" customHeight="1" x14ac:dyDescent="0.3">
      <c r="A10" s="4"/>
      <c r="B10" s="28">
        <v>3</v>
      </c>
      <c r="C10" s="677" t="str">
        <f>IF(DATA!E7="","",DATA!E7)</f>
        <v>HARSHIKA RAO</v>
      </c>
      <c r="D10" s="29">
        <f>IF(DATA!C7="","",DATA!C7)</f>
        <v>1103</v>
      </c>
      <c r="E10" s="31">
        <v>6</v>
      </c>
      <c r="F10" s="31">
        <v>67</v>
      </c>
      <c r="G10" s="31">
        <v>28</v>
      </c>
      <c r="H10" s="31">
        <v>10</v>
      </c>
      <c r="I10" s="31">
        <v>68</v>
      </c>
      <c r="J10" s="578">
        <v>25</v>
      </c>
      <c r="K10" s="584"/>
      <c r="L10" s="580">
        <f>IF('GREEN SHEET'!DO9="","",'GREEN SHEET'!DO9)</f>
        <v>71</v>
      </c>
      <c r="M10" s="31"/>
      <c r="N10" s="4"/>
    </row>
    <row r="11" spans="1:14" s="3" customFormat="1" ht="27" customHeight="1" x14ac:dyDescent="0.3">
      <c r="A11" s="4"/>
      <c r="B11" s="28">
        <v>4</v>
      </c>
      <c r="C11" s="677" t="str">
        <f>IF(DATA!E8="","",DATA!E8)</f>
        <v/>
      </c>
      <c r="D11" s="29" t="str">
        <f>IF(DATA!C8="","",DATA!C8)</f>
        <v/>
      </c>
      <c r="E11" s="31"/>
      <c r="F11" s="31"/>
      <c r="G11" s="31"/>
      <c r="H11" s="31"/>
      <c r="I11" s="31"/>
      <c r="J11" s="578"/>
      <c r="K11" s="584"/>
      <c r="L11" s="580" t="str">
        <f>IF('GREEN SHEET'!DO10="","",'GREEN SHEET'!DO10)</f>
        <v/>
      </c>
      <c r="M11" s="31"/>
      <c r="N11" s="4"/>
    </row>
    <row r="12" spans="1:14" s="3" customFormat="1" ht="27" customHeight="1" x14ac:dyDescent="0.3">
      <c r="A12" s="4"/>
      <c r="B12" s="28">
        <v>5</v>
      </c>
      <c r="C12" s="677" t="str">
        <f>IF(DATA!E9="","",DATA!E9)</f>
        <v/>
      </c>
      <c r="D12" s="29" t="str">
        <f>IF(DATA!C9="","",DATA!C9)</f>
        <v/>
      </c>
      <c r="E12" s="31"/>
      <c r="F12" s="31"/>
      <c r="G12" s="31"/>
      <c r="H12" s="31"/>
      <c r="I12" s="31"/>
      <c r="J12" s="578"/>
      <c r="K12" s="584"/>
      <c r="L12" s="580" t="str">
        <f>IF('GREEN SHEET'!DO11="","",'GREEN SHEET'!DO11)</f>
        <v/>
      </c>
      <c r="M12" s="31"/>
      <c r="N12" s="4"/>
    </row>
    <row r="13" spans="1:14" s="3" customFormat="1" ht="27" customHeight="1" x14ac:dyDescent="0.3">
      <c r="A13" s="4"/>
      <c r="B13" s="28">
        <v>6</v>
      </c>
      <c r="C13" s="677" t="str">
        <f>IF(DATA!E10="","",DATA!E10)</f>
        <v/>
      </c>
      <c r="D13" s="29" t="str">
        <f>IF(DATA!C10="","",DATA!C10)</f>
        <v/>
      </c>
      <c r="E13" s="31"/>
      <c r="F13" s="31"/>
      <c r="G13" s="31"/>
      <c r="H13" s="31"/>
      <c r="I13" s="31"/>
      <c r="J13" s="578"/>
      <c r="K13" s="590"/>
      <c r="L13" s="580" t="str">
        <f>IF('GREEN SHEET'!DO12="","",'GREEN SHEET'!DO12)</f>
        <v/>
      </c>
      <c r="M13" s="31"/>
      <c r="N13" s="4"/>
    </row>
    <row r="14" spans="1:14" s="3" customFormat="1" ht="27" customHeight="1" x14ac:dyDescent="0.3">
      <c r="A14" s="4"/>
      <c r="B14" s="28">
        <v>7</v>
      </c>
      <c r="C14" s="677" t="str">
        <f>IF(DATA!E11="","",DATA!E11)</f>
        <v/>
      </c>
      <c r="D14" s="29" t="str">
        <f>IF(DATA!C11="","",DATA!C11)</f>
        <v/>
      </c>
      <c r="E14" s="31"/>
      <c r="F14" s="31"/>
      <c r="G14" s="31"/>
      <c r="H14" s="31"/>
      <c r="I14" s="31"/>
      <c r="J14" s="578"/>
      <c r="K14" s="584"/>
      <c r="L14" s="580" t="str">
        <f>IF('GREEN SHEET'!DO13="","",'GREEN SHEET'!DO13)</f>
        <v/>
      </c>
      <c r="M14" s="31"/>
      <c r="N14" s="4"/>
    </row>
    <row r="15" spans="1:14" s="3" customFormat="1" ht="27" customHeight="1" x14ac:dyDescent="0.3">
      <c r="A15" s="4"/>
      <c r="B15" s="28">
        <v>8</v>
      </c>
      <c r="C15" s="677" t="str">
        <f>IF(DATA!E12="","",DATA!E12)</f>
        <v/>
      </c>
      <c r="D15" s="29" t="str">
        <f>IF(DATA!C12="","",DATA!C12)</f>
        <v/>
      </c>
      <c r="E15" s="31"/>
      <c r="F15" s="31"/>
      <c r="G15" s="31"/>
      <c r="H15" s="31"/>
      <c r="I15" s="31"/>
      <c r="J15" s="578"/>
      <c r="K15" s="584"/>
      <c r="L15" s="580" t="str">
        <f>IF('GREEN SHEET'!DO14="","",'GREEN SHEET'!DO14)</f>
        <v/>
      </c>
      <c r="M15" s="31"/>
      <c r="N15" s="4"/>
    </row>
    <row r="16" spans="1:14" s="3" customFormat="1" ht="27" customHeight="1" x14ac:dyDescent="0.3">
      <c r="A16" s="4"/>
      <c r="B16" s="28">
        <v>9</v>
      </c>
      <c r="C16" s="677" t="str">
        <f>IF(DATA!E13="","",DATA!E13)</f>
        <v/>
      </c>
      <c r="D16" s="29" t="str">
        <f>IF(DATA!C13="","",DATA!C13)</f>
        <v/>
      </c>
      <c r="E16" s="31"/>
      <c r="F16" s="31"/>
      <c r="G16" s="31"/>
      <c r="H16" s="31"/>
      <c r="I16" s="31"/>
      <c r="J16" s="578"/>
      <c r="K16" s="584"/>
      <c r="L16" s="580" t="str">
        <f>IF('GREEN SHEET'!DO15="","",'GREEN SHEET'!DO15)</f>
        <v/>
      </c>
      <c r="M16" s="31"/>
      <c r="N16" s="4"/>
    </row>
    <row r="17" spans="1:14" s="3" customFormat="1" ht="27" customHeight="1" x14ac:dyDescent="0.3">
      <c r="A17" s="4"/>
      <c r="B17" s="28">
        <v>10</v>
      </c>
      <c r="C17" s="677" t="str">
        <f>IF(DATA!E14="","",DATA!E14)</f>
        <v/>
      </c>
      <c r="D17" s="29" t="str">
        <f>IF(DATA!C14="","",DATA!C14)</f>
        <v/>
      </c>
      <c r="E17" s="31"/>
      <c r="F17" s="31"/>
      <c r="G17" s="31"/>
      <c r="H17" s="31"/>
      <c r="I17" s="31"/>
      <c r="J17" s="578"/>
      <c r="K17" s="584"/>
      <c r="L17" s="580" t="str">
        <f>IF('GREEN SHEET'!DO16="","",'GREEN SHEET'!DO16)</f>
        <v/>
      </c>
      <c r="M17" s="31"/>
      <c r="N17" s="4"/>
    </row>
    <row r="18" spans="1:14" s="3" customFormat="1" ht="27" customHeight="1" x14ac:dyDescent="0.3">
      <c r="A18" s="4"/>
      <c r="B18" s="28">
        <v>11</v>
      </c>
      <c r="C18" s="677" t="str">
        <f>IF(DATA!E15="","",DATA!E15)</f>
        <v/>
      </c>
      <c r="D18" s="29" t="str">
        <f>IF(DATA!C15="","",DATA!C15)</f>
        <v/>
      </c>
      <c r="E18" s="31"/>
      <c r="F18" s="31"/>
      <c r="G18" s="31"/>
      <c r="H18" s="31"/>
      <c r="I18" s="31"/>
      <c r="J18" s="578"/>
      <c r="K18" s="584"/>
      <c r="L18" s="580" t="str">
        <f>IF('GREEN SHEET'!DO17="","",'GREEN SHEET'!DO17)</f>
        <v/>
      </c>
      <c r="M18" s="31"/>
      <c r="N18" s="4"/>
    </row>
    <row r="19" spans="1:14" s="3" customFormat="1" ht="27" customHeight="1" x14ac:dyDescent="0.3">
      <c r="A19" s="4"/>
      <c r="B19" s="28">
        <v>12</v>
      </c>
      <c r="C19" s="677" t="str">
        <f>IF(DATA!E16="","",DATA!E16)</f>
        <v/>
      </c>
      <c r="D19" s="29" t="str">
        <f>IF(DATA!C16="","",DATA!C16)</f>
        <v/>
      </c>
      <c r="E19" s="31"/>
      <c r="F19" s="31"/>
      <c r="G19" s="31"/>
      <c r="H19" s="31"/>
      <c r="I19" s="31"/>
      <c r="J19" s="578"/>
      <c r="K19" s="584"/>
      <c r="L19" s="580" t="str">
        <f>IF('GREEN SHEET'!DO18="","",'GREEN SHEET'!DO18)</f>
        <v/>
      </c>
      <c r="M19" s="31"/>
      <c r="N19" s="4"/>
    </row>
    <row r="20" spans="1:14" s="3" customFormat="1" ht="27" customHeight="1" x14ac:dyDescent="0.3">
      <c r="A20" s="4"/>
      <c r="B20" s="28">
        <v>13</v>
      </c>
      <c r="C20" s="677" t="str">
        <f>IF(DATA!E17="","",DATA!E17)</f>
        <v/>
      </c>
      <c r="D20" s="29" t="str">
        <f>IF(DATA!C17="","",DATA!C17)</f>
        <v/>
      </c>
      <c r="E20" s="31"/>
      <c r="F20" s="31"/>
      <c r="G20" s="31"/>
      <c r="H20" s="31"/>
      <c r="I20" s="31"/>
      <c r="J20" s="578"/>
      <c r="K20" s="584"/>
      <c r="L20" s="580" t="str">
        <f>IF('GREEN SHEET'!DO19="","",'GREEN SHEET'!DO19)</f>
        <v/>
      </c>
      <c r="M20" s="31"/>
      <c r="N20" s="4"/>
    </row>
    <row r="21" spans="1:14" s="3" customFormat="1" ht="27" customHeight="1" x14ac:dyDescent="0.3">
      <c r="A21" s="4"/>
      <c r="B21" s="28">
        <v>14</v>
      </c>
      <c r="C21" s="677" t="str">
        <f>IF(DATA!E18="","",DATA!E18)</f>
        <v/>
      </c>
      <c r="D21" s="29" t="str">
        <f>IF(DATA!C18="","",DATA!C18)</f>
        <v/>
      </c>
      <c r="E21" s="31"/>
      <c r="F21" s="31"/>
      <c r="G21" s="31"/>
      <c r="H21" s="31"/>
      <c r="I21" s="31"/>
      <c r="J21" s="578"/>
      <c r="K21" s="584"/>
      <c r="L21" s="580" t="str">
        <f>IF('GREEN SHEET'!DO20="","",'GREEN SHEET'!DO20)</f>
        <v/>
      </c>
      <c r="M21" s="31"/>
      <c r="N21" s="4"/>
    </row>
    <row r="22" spans="1:14" s="3" customFormat="1" ht="27" customHeight="1" x14ac:dyDescent="0.3">
      <c r="A22" s="4"/>
      <c r="B22" s="28">
        <v>15</v>
      </c>
      <c r="C22" s="677" t="str">
        <f>IF(DATA!E19="","",DATA!E19)</f>
        <v/>
      </c>
      <c r="D22" s="29" t="str">
        <f>IF(DATA!C19="","",DATA!C19)</f>
        <v/>
      </c>
      <c r="E22" s="31"/>
      <c r="F22" s="31"/>
      <c r="G22" s="31"/>
      <c r="H22" s="31"/>
      <c r="I22" s="31"/>
      <c r="J22" s="578"/>
      <c r="K22" s="584"/>
      <c r="L22" s="580" t="str">
        <f>IF('GREEN SHEET'!DO21="","",'GREEN SHEET'!DO21)</f>
        <v/>
      </c>
      <c r="M22" s="31"/>
      <c r="N22" s="4"/>
    </row>
    <row r="23" spans="1:14" s="3" customFormat="1" ht="27" customHeight="1" x14ac:dyDescent="0.3">
      <c r="A23" s="4"/>
      <c r="B23" s="28">
        <v>16</v>
      </c>
      <c r="C23" s="677" t="str">
        <f>IF(DATA!E20="","",DATA!E20)</f>
        <v/>
      </c>
      <c r="D23" s="29" t="str">
        <f>IF(DATA!C20="","",DATA!C20)</f>
        <v/>
      </c>
      <c r="E23" s="31"/>
      <c r="F23" s="31"/>
      <c r="G23" s="31"/>
      <c r="H23" s="31"/>
      <c r="I23" s="31"/>
      <c r="J23" s="578"/>
      <c r="K23" s="584"/>
      <c r="L23" s="580" t="str">
        <f>IF('GREEN SHEET'!DO22="","",'GREEN SHEET'!DO22)</f>
        <v/>
      </c>
      <c r="M23" s="31"/>
      <c r="N23" s="4"/>
    </row>
    <row r="24" spans="1:14" s="3" customFormat="1" ht="27" customHeight="1" x14ac:dyDescent="0.3">
      <c r="A24" s="4"/>
      <c r="B24" s="28">
        <v>17</v>
      </c>
      <c r="C24" s="677" t="str">
        <f>IF(DATA!E21="","",DATA!E21)</f>
        <v/>
      </c>
      <c r="D24" s="29" t="str">
        <f>IF(DATA!C21="","",DATA!C21)</f>
        <v/>
      </c>
      <c r="E24" s="31"/>
      <c r="F24" s="31"/>
      <c r="G24" s="31"/>
      <c r="H24" s="31"/>
      <c r="I24" s="31"/>
      <c r="J24" s="578"/>
      <c r="K24" s="584"/>
      <c r="L24" s="580" t="str">
        <f>IF('GREEN SHEET'!DO23="","",'GREEN SHEET'!DO23)</f>
        <v/>
      </c>
      <c r="M24" s="31"/>
      <c r="N24" s="4"/>
    </row>
    <row r="25" spans="1:14" s="3" customFormat="1" ht="27" customHeight="1" x14ac:dyDescent="0.3">
      <c r="A25" s="4"/>
      <c r="B25" s="28">
        <v>18</v>
      </c>
      <c r="C25" s="677" t="str">
        <f>IF(DATA!E22="","",DATA!E22)</f>
        <v/>
      </c>
      <c r="D25" s="29" t="str">
        <f>IF(DATA!C22="","",DATA!C22)</f>
        <v/>
      </c>
      <c r="E25" s="31"/>
      <c r="F25" s="31"/>
      <c r="G25" s="31"/>
      <c r="H25" s="31"/>
      <c r="I25" s="31"/>
      <c r="J25" s="578"/>
      <c r="K25" s="584"/>
      <c r="L25" s="580" t="str">
        <f>IF('GREEN SHEET'!DO24="","",'GREEN SHEET'!DO24)</f>
        <v/>
      </c>
      <c r="M25" s="31"/>
      <c r="N25" s="4"/>
    </row>
    <row r="26" spans="1:14" s="3" customFormat="1" ht="27" customHeight="1" x14ac:dyDescent="0.3">
      <c r="A26" s="4"/>
      <c r="B26" s="28">
        <v>19</v>
      </c>
      <c r="C26" s="677" t="str">
        <f>IF(DATA!E23="","",DATA!E23)</f>
        <v/>
      </c>
      <c r="D26" s="29" t="str">
        <f>IF(DATA!C23="","",DATA!C23)</f>
        <v/>
      </c>
      <c r="E26" s="31"/>
      <c r="F26" s="31"/>
      <c r="G26" s="31"/>
      <c r="H26" s="31"/>
      <c r="I26" s="31"/>
      <c r="J26" s="578"/>
      <c r="K26" s="584"/>
      <c r="L26" s="580" t="str">
        <f>IF('GREEN SHEET'!DO25="","",'GREEN SHEET'!DO25)</f>
        <v/>
      </c>
      <c r="M26" s="31"/>
      <c r="N26" s="4"/>
    </row>
    <row r="27" spans="1:14" s="3" customFormat="1" ht="27" customHeight="1" x14ac:dyDescent="0.3">
      <c r="A27" s="4"/>
      <c r="B27" s="28">
        <v>20</v>
      </c>
      <c r="C27" s="677" t="str">
        <f>IF(DATA!E24="","",DATA!E24)</f>
        <v/>
      </c>
      <c r="D27" s="29" t="str">
        <f>IF(DATA!C24="","",DATA!C24)</f>
        <v/>
      </c>
      <c r="E27" s="31"/>
      <c r="F27" s="31"/>
      <c r="G27" s="31"/>
      <c r="H27" s="31"/>
      <c r="I27" s="31"/>
      <c r="J27" s="578"/>
      <c r="K27" s="584"/>
      <c r="L27" s="580" t="str">
        <f>IF('GREEN SHEET'!DO26="","",'GREEN SHEET'!DO26)</f>
        <v/>
      </c>
      <c r="M27" s="31"/>
      <c r="N27" s="4"/>
    </row>
    <row r="28" spans="1:14" s="3" customFormat="1" ht="27" customHeight="1" x14ac:dyDescent="0.3">
      <c r="A28" s="4"/>
      <c r="B28" s="28">
        <v>21</v>
      </c>
      <c r="C28" s="677" t="str">
        <f>IF(DATA!E25="","",DATA!E25)</f>
        <v/>
      </c>
      <c r="D28" s="29" t="str">
        <f>IF(DATA!C25="","",DATA!C25)</f>
        <v/>
      </c>
      <c r="E28" s="31"/>
      <c r="F28" s="31"/>
      <c r="G28" s="31"/>
      <c r="H28" s="31"/>
      <c r="I28" s="31"/>
      <c r="J28" s="578"/>
      <c r="K28" s="584"/>
      <c r="L28" s="580" t="str">
        <f>IF('GREEN SHEET'!DO27="","",'GREEN SHEET'!DO27)</f>
        <v/>
      </c>
      <c r="M28" s="31"/>
      <c r="N28" s="4"/>
    </row>
    <row r="29" spans="1:14" s="3" customFormat="1" ht="27" customHeight="1" x14ac:dyDescent="0.3">
      <c r="A29" s="4"/>
      <c r="B29" s="28">
        <v>22</v>
      </c>
      <c r="C29" s="677" t="str">
        <f>IF(DATA!E26="","",DATA!E26)</f>
        <v/>
      </c>
      <c r="D29" s="29" t="str">
        <f>IF(DATA!C26="","",DATA!C26)</f>
        <v/>
      </c>
      <c r="E29" s="31"/>
      <c r="F29" s="31"/>
      <c r="G29" s="31"/>
      <c r="H29" s="31"/>
      <c r="I29" s="31"/>
      <c r="J29" s="578"/>
      <c r="K29" s="584"/>
      <c r="L29" s="580" t="str">
        <f>IF('GREEN SHEET'!DO28="","",'GREEN SHEET'!DO28)</f>
        <v/>
      </c>
      <c r="M29" s="31"/>
      <c r="N29" s="4"/>
    </row>
    <row r="30" spans="1:14" s="3" customFormat="1" ht="27" customHeight="1" x14ac:dyDescent="0.3">
      <c r="A30" s="4"/>
      <c r="B30" s="28">
        <v>23</v>
      </c>
      <c r="C30" s="677" t="str">
        <f>IF(DATA!E27="","",DATA!E27)</f>
        <v/>
      </c>
      <c r="D30" s="29" t="str">
        <f>IF(DATA!C27="","",DATA!C27)</f>
        <v/>
      </c>
      <c r="E30" s="31"/>
      <c r="F30" s="31"/>
      <c r="G30" s="31"/>
      <c r="H30" s="31"/>
      <c r="I30" s="31"/>
      <c r="J30" s="578"/>
      <c r="K30" s="584"/>
      <c r="L30" s="580" t="str">
        <f>IF('GREEN SHEET'!DO29="","",'GREEN SHEET'!DO29)</f>
        <v/>
      </c>
      <c r="M30" s="31"/>
      <c r="N30" s="4"/>
    </row>
    <row r="31" spans="1:14" s="3" customFormat="1" ht="27" customHeight="1" x14ac:dyDescent="0.3">
      <c r="A31" s="4"/>
      <c r="B31" s="28">
        <v>24</v>
      </c>
      <c r="C31" s="677" t="str">
        <f>IF(DATA!E28="","",DATA!E28)</f>
        <v/>
      </c>
      <c r="D31" s="29" t="str">
        <f>IF(DATA!C28="","",DATA!C28)</f>
        <v/>
      </c>
      <c r="E31" s="31"/>
      <c r="F31" s="31"/>
      <c r="G31" s="31"/>
      <c r="H31" s="31"/>
      <c r="I31" s="31"/>
      <c r="J31" s="578"/>
      <c r="K31" s="584"/>
      <c r="L31" s="580" t="str">
        <f>IF('GREEN SHEET'!DO30="","",'GREEN SHEET'!DO30)</f>
        <v/>
      </c>
      <c r="M31" s="31"/>
      <c r="N31" s="4"/>
    </row>
    <row r="32" spans="1:14" s="3" customFormat="1" ht="27" customHeight="1" x14ac:dyDescent="0.3">
      <c r="A32" s="4"/>
      <c r="B32" s="28">
        <v>25</v>
      </c>
      <c r="C32" s="677" t="str">
        <f>IF(DATA!E29="","",DATA!E29)</f>
        <v/>
      </c>
      <c r="D32" s="29" t="str">
        <f>IF(DATA!C29="","",DATA!C29)</f>
        <v/>
      </c>
      <c r="E32" s="31"/>
      <c r="F32" s="31"/>
      <c r="G32" s="31"/>
      <c r="H32" s="31"/>
      <c r="I32" s="31"/>
      <c r="J32" s="578"/>
      <c r="K32" s="584"/>
      <c r="L32" s="580" t="str">
        <f>IF('GREEN SHEET'!DO31="","",'GREEN SHEET'!DO31)</f>
        <v/>
      </c>
      <c r="M32" s="31"/>
      <c r="N32" s="4"/>
    </row>
    <row r="33" spans="1:14" s="3" customFormat="1" ht="27" customHeight="1" x14ac:dyDescent="0.3">
      <c r="A33" s="4"/>
      <c r="B33" s="28">
        <v>26</v>
      </c>
      <c r="C33" s="677" t="str">
        <f>IF(DATA!E30="","",DATA!E30)</f>
        <v/>
      </c>
      <c r="D33" s="29" t="str">
        <f>IF(DATA!C30="","",DATA!C30)</f>
        <v/>
      </c>
      <c r="E33" s="31"/>
      <c r="F33" s="31"/>
      <c r="G33" s="31"/>
      <c r="H33" s="31"/>
      <c r="I33" s="31"/>
      <c r="J33" s="578"/>
      <c r="K33" s="584"/>
      <c r="L33" s="580" t="str">
        <f>IF('GREEN SHEET'!DO32="","",'GREEN SHEET'!DO32)</f>
        <v/>
      </c>
      <c r="M33" s="31"/>
      <c r="N33" s="4"/>
    </row>
    <row r="34" spans="1:14" s="3" customFormat="1" ht="27" customHeight="1" x14ac:dyDescent="0.3">
      <c r="A34" s="4"/>
      <c r="B34" s="28">
        <v>27</v>
      </c>
      <c r="C34" s="677" t="str">
        <f>IF(DATA!E31="","",DATA!E31)</f>
        <v/>
      </c>
      <c r="D34" s="29" t="str">
        <f>IF(DATA!C31="","",DATA!C31)</f>
        <v/>
      </c>
      <c r="E34" s="31"/>
      <c r="F34" s="31"/>
      <c r="G34" s="31"/>
      <c r="H34" s="31"/>
      <c r="I34" s="31"/>
      <c r="J34" s="578"/>
      <c r="K34" s="584"/>
      <c r="L34" s="580" t="str">
        <f>IF('GREEN SHEET'!DO33="","",'GREEN SHEET'!DO33)</f>
        <v/>
      </c>
      <c r="M34" s="31"/>
      <c r="N34" s="4"/>
    </row>
    <row r="35" spans="1:14" s="3" customFormat="1" ht="27" customHeight="1" x14ac:dyDescent="0.3">
      <c r="A35" s="4"/>
      <c r="B35" s="28">
        <v>28</v>
      </c>
      <c r="C35" s="677" t="str">
        <f>IF(DATA!E32="","",DATA!E32)</f>
        <v/>
      </c>
      <c r="D35" s="29" t="str">
        <f>IF(DATA!C32="","",DATA!C32)</f>
        <v/>
      </c>
      <c r="E35" s="31"/>
      <c r="F35" s="31"/>
      <c r="G35" s="31"/>
      <c r="H35" s="31"/>
      <c r="I35" s="31"/>
      <c r="J35" s="578"/>
      <c r="K35" s="584"/>
      <c r="L35" s="580" t="str">
        <f>IF('GREEN SHEET'!DO34="","",'GREEN SHEET'!DO34)</f>
        <v/>
      </c>
      <c r="M35" s="31"/>
      <c r="N35" s="4"/>
    </row>
    <row r="36" spans="1:14" s="3" customFormat="1" ht="27" customHeight="1" x14ac:dyDescent="0.3">
      <c r="A36" s="4"/>
      <c r="B36" s="28">
        <v>29</v>
      </c>
      <c r="C36" s="677" t="str">
        <f>IF(DATA!E33="","",DATA!E33)</f>
        <v/>
      </c>
      <c r="D36" s="29" t="str">
        <f>IF(DATA!C33="","",DATA!C33)</f>
        <v/>
      </c>
      <c r="E36" s="31"/>
      <c r="F36" s="31"/>
      <c r="G36" s="31"/>
      <c r="H36" s="31"/>
      <c r="I36" s="31"/>
      <c r="J36" s="578"/>
      <c r="K36" s="584"/>
      <c r="L36" s="580" t="str">
        <f>IF('GREEN SHEET'!DO35="","",'GREEN SHEET'!DO35)</f>
        <v/>
      </c>
      <c r="M36" s="31"/>
      <c r="N36" s="4"/>
    </row>
    <row r="37" spans="1:14" s="3" customFormat="1" ht="27" customHeight="1" x14ac:dyDescent="0.3">
      <c r="A37" s="4"/>
      <c r="B37" s="28">
        <v>30</v>
      </c>
      <c r="C37" s="677" t="str">
        <f>IF(DATA!E34="","",DATA!E34)</f>
        <v/>
      </c>
      <c r="D37" s="29" t="str">
        <f>IF(DATA!C34="","",DATA!C34)</f>
        <v/>
      </c>
      <c r="E37" s="31"/>
      <c r="F37" s="31"/>
      <c r="G37" s="31"/>
      <c r="H37" s="31"/>
      <c r="I37" s="31"/>
      <c r="J37" s="578"/>
      <c r="K37" s="584"/>
      <c r="L37" s="580" t="str">
        <f>IF('GREEN SHEET'!DO36="","",'GREEN SHEET'!DO36)</f>
        <v/>
      </c>
      <c r="M37" s="31"/>
      <c r="N37" s="4"/>
    </row>
    <row r="38" spans="1:14" s="3" customFormat="1" ht="27" customHeight="1" x14ac:dyDescent="0.3">
      <c r="A38" s="4"/>
      <c r="B38" s="28">
        <v>31</v>
      </c>
      <c r="C38" s="677" t="str">
        <f>IF(DATA!E35="","",DATA!E35)</f>
        <v/>
      </c>
      <c r="D38" s="29" t="str">
        <f>IF(DATA!C35="","",DATA!C35)</f>
        <v/>
      </c>
      <c r="E38" s="31"/>
      <c r="F38" s="31"/>
      <c r="G38" s="31"/>
      <c r="H38" s="31"/>
      <c r="I38" s="31"/>
      <c r="J38" s="578"/>
      <c r="K38" s="584"/>
      <c r="L38" s="580" t="str">
        <f>IF('GREEN SHEET'!DO37="","",'GREEN SHEET'!DO37)</f>
        <v/>
      </c>
      <c r="M38" s="31"/>
      <c r="N38" s="4"/>
    </row>
    <row r="39" spans="1:14" s="3" customFormat="1" ht="27" customHeight="1" x14ac:dyDescent="0.3">
      <c r="A39" s="4"/>
      <c r="B39" s="28">
        <v>32</v>
      </c>
      <c r="C39" s="677" t="str">
        <f>IF(DATA!E36="","",DATA!E36)</f>
        <v/>
      </c>
      <c r="D39" s="29" t="str">
        <f>IF(DATA!C36="","",DATA!C36)</f>
        <v/>
      </c>
      <c r="E39" s="31"/>
      <c r="F39" s="31"/>
      <c r="G39" s="31"/>
      <c r="H39" s="31"/>
      <c r="I39" s="31"/>
      <c r="J39" s="578"/>
      <c r="K39" s="584"/>
      <c r="L39" s="580" t="str">
        <f>IF('GREEN SHEET'!DO38="","",'GREEN SHEET'!DO38)</f>
        <v/>
      </c>
      <c r="M39" s="31"/>
      <c r="N39" s="4"/>
    </row>
    <row r="40" spans="1:14" s="3" customFormat="1" ht="27" customHeight="1" x14ac:dyDescent="0.3">
      <c r="A40" s="4"/>
      <c r="B40" s="28">
        <v>33</v>
      </c>
      <c r="C40" s="677" t="str">
        <f>IF(DATA!E37="","",DATA!E37)</f>
        <v/>
      </c>
      <c r="D40" s="29" t="str">
        <f>IF(DATA!C37="","",DATA!C37)</f>
        <v/>
      </c>
      <c r="E40" s="31"/>
      <c r="F40" s="31"/>
      <c r="G40" s="31"/>
      <c r="H40" s="31"/>
      <c r="I40" s="31"/>
      <c r="J40" s="578"/>
      <c r="K40" s="584"/>
      <c r="L40" s="580" t="str">
        <f>IF('GREEN SHEET'!DO39="","",'GREEN SHEET'!DO39)</f>
        <v/>
      </c>
      <c r="M40" s="31"/>
      <c r="N40" s="4"/>
    </row>
    <row r="41" spans="1:14" s="3" customFormat="1" ht="20.399999999999999" x14ac:dyDescent="0.3">
      <c r="A41" s="4"/>
      <c r="B41" s="28">
        <v>34</v>
      </c>
      <c r="C41" s="677" t="str">
        <f>IF(DATA!E38="","",DATA!E38)</f>
        <v/>
      </c>
      <c r="D41" s="29" t="str">
        <f>IF(DATA!C38="","",DATA!C38)</f>
        <v/>
      </c>
      <c r="E41" s="31"/>
      <c r="F41" s="31"/>
      <c r="G41" s="31"/>
      <c r="H41" s="31"/>
      <c r="I41" s="31"/>
      <c r="J41" s="578"/>
      <c r="K41" s="584"/>
      <c r="L41" s="580" t="str">
        <f>IF('GREEN SHEET'!DO40="","",'GREEN SHEET'!DO40)</f>
        <v/>
      </c>
      <c r="M41" s="31"/>
      <c r="N41" s="4"/>
    </row>
    <row r="42" spans="1:14" s="3" customFormat="1" ht="20.399999999999999" x14ac:dyDescent="0.3">
      <c r="A42" s="4"/>
      <c r="B42" s="28">
        <v>35</v>
      </c>
      <c r="C42" s="677" t="str">
        <f>IF(DATA!E39="","",DATA!E39)</f>
        <v/>
      </c>
      <c r="D42" s="29" t="str">
        <f>IF(DATA!C39="","",DATA!C39)</f>
        <v/>
      </c>
      <c r="E42" s="31"/>
      <c r="F42" s="31"/>
      <c r="G42" s="31"/>
      <c r="H42" s="31"/>
      <c r="I42" s="31"/>
      <c r="J42" s="578"/>
      <c r="K42" s="584"/>
      <c r="L42" s="580" t="str">
        <f>IF('GREEN SHEET'!DO41="","",'GREEN SHEET'!DO41)</f>
        <v/>
      </c>
      <c r="M42" s="31"/>
      <c r="N42" s="4"/>
    </row>
    <row r="43" spans="1:14" s="3" customFormat="1" ht="20.399999999999999" x14ac:dyDescent="0.3">
      <c r="A43" s="4"/>
      <c r="B43" s="28">
        <v>36</v>
      </c>
      <c r="C43" s="677" t="str">
        <f>IF(DATA!E40="","",DATA!E40)</f>
        <v/>
      </c>
      <c r="D43" s="29" t="str">
        <f>IF(DATA!C40="","",DATA!C40)</f>
        <v/>
      </c>
      <c r="E43" s="31"/>
      <c r="F43" s="31"/>
      <c r="G43" s="31"/>
      <c r="H43" s="31"/>
      <c r="I43" s="31"/>
      <c r="J43" s="578"/>
      <c r="K43" s="584"/>
      <c r="L43" s="580" t="str">
        <f>IF('GREEN SHEET'!DO42="","",'GREEN SHEET'!DO42)</f>
        <v/>
      </c>
      <c r="M43" s="31"/>
      <c r="N43" s="4"/>
    </row>
    <row r="44" spans="1:14" s="3" customFormat="1" ht="20.399999999999999" x14ac:dyDescent="0.3">
      <c r="A44" s="4"/>
      <c r="B44" s="28">
        <v>37</v>
      </c>
      <c r="C44" s="677" t="str">
        <f>IF(DATA!E41="","",DATA!E41)</f>
        <v/>
      </c>
      <c r="D44" s="29" t="str">
        <f>IF(DATA!C41="","",DATA!C41)</f>
        <v/>
      </c>
      <c r="E44" s="31"/>
      <c r="F44" s="31"/>
      <c r="G44" s="31"/>
      <c r="H44" s="31"/>
      <c r="I44" s="31"/>
      <c r="J44" s="578"/>
      <c r="K44" s="584"/>
      <c r="L44" s="580" t="str">
        <f>IF('GREEN SHEET'!DO43="","",'GREEN SHEET'!DO43)</f>
        <v/>
      </c>
      <c r="M44" s="31"/>
      <c r="N44" s="4"/>
    </row>
    <row r="45" spans="1:14" s="3" customFormat="1" ht="20.399999999999999" x14ac:dyDescent="0.3">
      <c r="A45" s="4"/>
      <c r="B45" s="28">
        <v>38</v>
      </c>
      <c r="C45" s="677" t="str">
        <f>IF(DATA!E42="","",DATA!E42)</f>
        <v/>
      </c>
      <c r="D45" s="29" t="str">
        <f>IF(DATA!C42="","",DATA!C42)</f>
        <v/>
      </c>
      <c r="E45" s="31"/>
      <c r="F45" s="31"/>
      <c r="G45" s="31"/>
      <c r="H45" s="31"/>
      <c r="I45" s="31"/>
      <c r="J45" s="578"/>
      <c r="K45" s="584"/>
      <c r="L45" s="580" t="str">
        <f>IF('GREEN SHEET'!DO44="","",'GREEN SHEET'!DO44)</f>
        <v/>
      </c>
      <c r="M45" s="31"/>
      <c r="N45" s="4"/>
    </row>
    <row r="46" spans="1:14" s="3" customFormat="1" ht="20.399999999999999" x14ac:dyDescent="0.3">
      <c r="A46" s="4"/>
      <c r="B46" s="28">
        <v>39</v>
      </c>
      <c r="C46" s="677" t="str">
        <f>IF(DATA!E43="","",DATA!E43)</f>
        <v/>
      </c>
      <c r="D46" s="29" t="str">
        <f>IF(DATA!C43="","",DATA!C43)</f>
        <v/>
      </c>
      <c r="E46" s="31"/>
      <c r="F46" s="31"/>
      <c r="G46" s="31"/>
      <c r="H46" s="31"/>
      <c r="I46" s="31"/>
      <c r="J46" s="578"/>
      <c r="K46" s="584"/>
      <c r="L46" s="580" t="str">
        <f>IF('GREEN SHEET'!DO45="","",'GREEN SHEET'!DO45)</f>
        <v/>
      </c>
      <c r="M46" s="31"/>
      <c r="N46" s="4"/>
    </row>
    <row r="47" spans="1:14" s="3" customFormat="1" ht="20.399999999999999" x14ac:dyDescent="0.3">
      <c r="A47" s="4"/>
      <c r="B47" s="28">
        <v>40</v>
      </c>
      <c r="C47" s="677" t="str">
        <f>IF(DATA!E44="","",DATA!E44)</f>
        <v/>
      </c>
      <c r="D47" s="29" t="str">
        <f>IF(DATA!C44="","",DATA!C44)</f>
        <v/>
      </c>
      <c r="E47" s="31"/>
      <c r="F47" s="31"/>
      <c r="G47" s="31"/>
      <c r="H47" s="31"/>
      <c r="I47" s="31"/>
      <c r="J47" s="578"/>
      <c r="K47" s="584"/>
      <c r="L47" s="580" t="str">
        <f>IF('GREEN SHEET'!DO46="","",'GREEN SHEET'!DO46)</f>
        <v/>
      </c>
      <c r="M47" s="31"/>
      <c r="N47" s="4"/>
    </row>
    <row r="48" spans="1:14" s="3" customFormat="1" ht="20.399999999999999" x14ac:dyDescent="0.3">
      <c r="A48" s="4"/>
      <c r="B48" s="28">
        <v>41</v>
      </c>
      <c r="C48" s="677" t="str">
        <f>IF(DATA!E45="","",DATA!E45)</f>
        <v/>
      </c>
      <c r="D48" s="29" t="str">
        <f>IF(DATA!C45="","",DATA!C45)</f>
        <v/>
      </c>
      <c r="E48" s="31"/>
      <c r="F48" s="31"/>
      <c r="G48" s="31"/>
      <c r="H48" s="31"/>
      <c r="I48" s="31"/>
      <c r="J48" s="578"/>
      <c r="K48" s="584"/>
      <c r="L48" s="580" t="str">
        <f>IF('GREEN SHEET'!DO47="","",'GREEN SHEET'!DO47)</f>
        <v/>
      </c>
      <c r="M48" s="31"/>
      <c r="N48" s="4"/>
    </row>
    <row r="49" spans="1:14" s="3" customFormat="1" ht="20.399999999999999" x14ac:dyDescent="0.3">
      <c r="A49" s="4"/>
      <c r="B49" s="28">
        <v>42</v>
      </c>
      <c r="C49" s="677" t="str">
        <f>IF(DATA!E46="","",DATA!E46)</f>
        <v/>
      </c>
      <c r="D49" s="29" t="str">
        <f>IF(DATA!C46="","",DATA!C46)</f>
        <v/>
      </c>
      <c r="E49" s="31"/>
      <c r="F49" s="31"/>
      <c r="G49" s="31"/>
      <c r="H49" s="31"/>
      <c r="I49" s="31"/>
      <c r="J49" s="578"/>
      <c r="K49" s="584"/>
      <c r="L49" s="580" t="str">
        <f>IF('GREEN SHEET'!DO48="","",'GREEN SHEET'!DO48)</f>
        <v/>
      </c>
      <c r="M49" s="31"/>
      <c r="N49" s="4"/>
    </row>
    <row r="50" spans="1:14" s="3" customFormat="1" ht="20.399999999999999" x14ac:dyDescent="0.3">
      <c r="A50" s="4"/>
      <c r="B50" s="28">
        <v>43</v>
      </c>
      <c r="C50" s="677" t="str">
        <f>IF(DATA!E47="","",DATA!E47)</f>
        <v/>
      </c>
      <c r="D50" s="29" t="str">
        <f>IF(DATA!C47="","",DATA!C47)</f>
        <v/>
      </c>
      <c r="E50" s="31"/>
      <c r="F50" s="31"/>
      <c r="G50" s="31"/>
      <c r="H50" s="31"/>
      <c r="I50" s="31"/>
      <c r="J50" s="578"/>
      <c r="K50" s="584"/>
      <c r="L50" s="580" t="str">
        <f>IF('GREEN SHEET'!DO49="","",'GREEN SHEET'!DO49)</f>
        <v/>
      </c>
      <c r="M50" s="31"/>
      <c r="N50" s="4"/>
    </row>
    <row r="51" spans="1:14" s="3" customFormat="1" ht="20.399999999999999" x14ac:dyDescent="0.3">
      <c r="A51" s="4"/>
      <c r="B51" s="28">
        <v>44</v>
      </c>
      <c r="C51" s="677" t="str">
        <f>IF(DATA!E48="","",DATA!E48)</f>
        <v/>
      </c>
      <c r="D51" s="29" t="str">
        <f>IF(DATA!C48="","",DATA!C48)</f>
        <v/>
      </c>
      <c r="E51" s="31"/>
      <c r="F51" s="31"/>
      <c r="G51" s="31"/>
      <c r="H51" s="31"/>
      <c r="I51" s="31"/>
      <c r="J51" s="578"/>
      <c r="K51" s="584"/>
      <c r="L51" s="580" t="str">
        <f>IF('GREEN SHEET'!DO50="","",'GREEN SHEET'!DO50)</f>
        <v/>
      </c>
      <c r="M51" s="31"/>
      <c r="N51" s="4"/>
    </row>
    <row r="52" spans="1:14" s="3" customFormat="1" ht="21" thickBot="1" x14ac:dyDescent="0.35">
      <c r="A52" s="4"/>
      <c r="B52" s="374">
        <v>45</v>
      </c>
      <c r="C52" s="679" t="str">
        <f>IF(DATA!E49="","",DATA!E49)</f>
        <v/>
      </c>
      <c r="D52" s="375" t="str">
        <f>IF(DATA!C49="","",DATA!C49)</f>
        <v/>
      </c>
      <c r="E52" s="210"/>
      <c r="F52" s="210"/>
      <c r="G52" s="210"/>
      <c r="H52" s="210"/>
      <c r="I52" s="210"/>
      <c r="J52" s="579"/>
      <c r="K52" s="584"/>
      <c r="L52" s="580" t="str">
        <f>IF('GREEN SHEET'!DO51="","",'GREEN SHEET'!DO51)</f>
        <v/>
      </c>
      <c r="M52" s="31"/>
      <c r="N52" s="4"/>
    </row>
    <row r="53" spans="1:14" s="3" customFormat="1" ht="50.4" customHeight="1" thickBot="1" x14ac:dyDescent="0.35">
      <c r="A53" s="4"/>
      <c r="B53" s="848" t="s">
        <v>267</v>
      </c>
      <c r="C53" s="849"/>
      <c r="D53" s="849"/>
      <c r="E53" s="825"/>
      <c r="F53" s="826"/>
      <c r="G53" s="826"/>
      <c r="H53" s="826"/>
      <c r="I53" s="826"/>
      <c r="J53" s="826"/>
      <c r="K53" s="584"/>
      <c r="L53" s="846"/>
      <c r="M53" s="846"/>
      <c r="N53" s="4"/>
    </row>
    <row r="54" spans="1:14" s="3" customFormat="1" ht="14.4" x14ac:dyDescent="0.3">
      <c r="A54" s="4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4"/>
    </row>
    <row r="55" spans="1:14" ht="14.4" hidden="1" x14ac:dyDescent="0.3"/>
  </sheetData>
  <sheetProtection algorithmName="SHA-512" hashValue="D/fghVgh2X+EjHlbAAtjdXO3JBNgWQilgWJaKlNoNBk+0+Lo/Y25rpiRwhbWFHE5WjBiRQsKrfseEGIxs+9ApA==" saltValue="v19v6Voj5d4pIMOvUMggDA==" spinCount="100000" sheet="1" objects="1" scenarios="1" selectLockedCells="1"/>
  <mergeCells count="10">
    <mergeCell ref="L5:L6"/>
    <mergeCell ref="B2:J2"/>
    <mergeCell ref="B3:J3"/>
    <mergeCell ref="F4:J4"/>
    <mergeCell ref="B53:D53"/>
    <mergeCell ref="F5:G5"/>
    <mergeCell ref="I5:J5"/>
    <mergeCell ref="B7:D7"/>
    <mergeCell ref="E53:J53"/>
    <mergeCell ref="L53:M53"/>
  </mergeCells>
  <pageMargins left="0.54" right="0.27" top="0.34" bottom="0.39" header="0.3" footer="0.3"/>
  <pageSetup scale="5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X55"/>
  <sheetViews>
    <sheetView zoomScale="90" zoomScaleNormal="90" workbookViewId="0">
      <selection activeCell="F8" sqref="F8:K8"/>
    </sheetView>
  </sheetViews>
  <sheetFormatPr defaultColWidth="0" defaultRowHeight="0" customHeight="1" zeroHeight="1" x14ac:dyDescent="0.3"/>
  <cols>
    <col min="1" max="1" width="5.109375" style="3" customWidth="1"/>
    <col min="2" max="2" width="6.44140625" style="34" bestFit="1" customWidth="1"/>
    <col min="3" max="3" width="41.5546875" style="34" bestFit="1" customWidth="1"/>
    <col min="4" max="4" width="11" style="34" customWidth="1"/>
    <col min="5" max="5" width="28.88671875" style="34" bestFit="1" customWidth="1"/>
    <col min="6" max="6" width="13.109375" style="35" customWidth="1"/>
    <col min="7" max="8" width="11.88671875" style="35" customWidth="1"/>
    <col min="9" max="9" width="13.6640625" style="35" customWidth="1"/>
    <col min="10" max="11" width="11.44140625" style="35" customWidth="1"/>
    <col min="12" max="19" width="8.44140625" style="35" customWidth="1"/>
    <col min="20" max="20" width="10.5546875" style="35" customWidth="1"/>
    <col min="21" max="21" width="10.33203125" style="35" customWidth="1"/>
    <col min="22" max="22" width="4" style="42" customWidth="1"/>
    <col min="23" max="24" width="0" style="1" hidden="1" customWidth="1"/>
    <col min="25" max="16384" width="9.109375" style="1" hidden="1"/>
  </cols>
  <sheetData>
    <row r="1" spans="1:22" s="3" customFormat="1" ht="21" x14ac:dyDescent="0.3">
      <c r="A1" s="5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 s="3" customFormat="1" ht="27.6" x14ac:dyDescent="0.3">
      <c r="A2" s="4"/>
      <c r="B2" s="821" t="str">
        <f>DASHBOARD!B2&amp;DASHBOARD!B3</f>
        <v xml:space="preserve">SWAMI VIVEKANAND GOVT. MODEL SCHOOL,  AMET, BLOCK-AMET, RAJSAMAND                                                                </v>
      </c>
      <c r="C2" s="821"/>
      <c r="D2" s="821"/>
      <c r="E2" s="821"/>
      <c r="F2" s="821"/>
      <c r="G2" s="821"/>
      <c r="H2" s="821"/>
      <c r="I2" s="821"/>
      <c r="J2" s="821"/>
      <c r="K2" s="821"/>
      <c r="L2" s="821"/>
      <c r="M2" s="821"/>
      <c r="N2" s="821"/>
      <c r="O2" s="821"/>
      <c r="P2" s="821"/>
      <c r="Q2" s="821"/>
      <c r="R2" s="821"/>
      <c r="S2" s="821"/>
      <c r="T2" s="821"/>
      <c r="U2" s="658"/>
      <c r="V2" s="22"/>
    </row>
    <row r="3" spans="1:22" s="3" customFormat="1" ht="27.6" x14ac:dyDescent="0.3">
      <c r="A3" s="4"/>
      <c r="B3" s="821" t="str">
        <f>IF(DASHBOARD!B4="","",DASHBOARD!B4)</f>
        <v>SESSION    -  2025-26</v>
      </c>
      <c r="C3" s="821"/>
      <c r="D3" s="821"/>
      <c r="E3" s="821"/>
      <c r="F3" s="821"/>
      <c r="G3" s="821"/>
      <c r="H3" s="821"/>
      <c r="I3" s="821"/>
      <c r="J3" s="821"/>
      <c r="K3" s="821"/>
      <c r="L3" s="821"/>
      <c r="M3" s="821"/>
      <c r="N3" s="821"/>
      <c r="O3" s="821"/>
      <c r="P3" s="821"/>
      <c r="Q3" s="821"/>
      <c r="R3" s="821"/>
      <c r="S3" s="821"/>
      <c r="T3" s="821"/>
      <c r="U3" s="658"/>
      <c r="V3" s="22"/>
    </row>
    <row r="4" spans="1:22" s="13" customFormat="1" ht="24" thickBot="1" x14ac:dyDescent="0.5">
      <c r="A4" s="12"/>
      <c r="B4" s="23"/>
      <c r="C4" s="24" t="s">
        <v>63</v>
      </c>
      <c r="D4" s="23" t="str">
        <f>DASHBOARD!B8&amp;DASHBOARD!C8</f>
        <v>XI A</v>
      </c>
      <c r="E4" s="23"/>
      <c r="F4" s="23"/>
      <c r="G4" s="23"/>
      <c r="H4" s="23"/>
      <c r="I4" s="868" t="s">
        <v>104</v>
      </c>
      <c r="J4" s="868"/>
      <c r="K4" s="868"/>
      <c r="L4" s="43"/>
      <c r="M4" s="43"/>
      <c r="N4" s="43"/>
      <c r="O4" s="43"/>
      <c r="P4" s="43"/>
      <c r="Q4" s="43"/>
      <c r="R4" s="43"/>
      <c r="S4" s="43"/>
      <c r="T4" s="43"/>
      <c r="U4" s="138"/>
      <c r="V4" s="39"/>
    </row>
    <row r="5" spans="1:22" s="3" customFormat="1" ht="35.4" thickBot="1" x14ac:dyDescent="0.35">
      <c r="A5" s="4"/>
      <c r="B5" s="680" t="s">
        <v>65</v>
      </c>
      <c r="C5" s="681" t="s">
        <v>64</v>
      </c>
      <c r="D5" s="681" t="s">
        <v>3</v>
      </c>
      <c r="E5" s="82" t="s">
        <v>153</v>
      </c>
      <c r="F5" s="682" t="s">
        <v>98</v>
      </c>
      <c r="G5" s="834" t="s">
        <v>214</v>
      </c>
      <c r="H5" s="835"/>
      <c r="I5" s="682" t="s">
        <v>100</v>
      </c>
      <c r="J5" s="836" t="s">
        <v>18</v>
      </c>
      <c r="K5" s="837"/>
      <c r="L5" s="716" t="s">
        <v>154</v>
      </c>
      <c r="M5" s="866" t="s">
        <v>99</v>
      </c>
      <c r="N5" s="867"/>
      <c r="O5" s="716" t="s">
        <v>288</v>
      </c>
      <c r="P5" s="866" t="s">
        <v>18</v>
      </c>
      <c r="Q5" s="867"/>
      <c r="R5" s="866" t="s">
        <v>41</v>
      </c>
      <c r="S5" s="867"/>
      <c r="T5" s="717" t="s">
        <v>133</v>
      </c>
      <c r="U5" s="717" t="s">
        <v>159</v>
      </c>
      <c r="V5" s="22"/>
    </row>
    <row r="6" spans="1:22" s="3" customFormat="1" ht="17.399999999999999" x14ac:dyDescent="0.3">
      <c r="A6" s="4"/>
      <c r="B6" s="686"/>
      <c r="C6" s="687"/>
      <c r="D6" s="687"/>
      <c r="E6" s="687"/>
      <c r="F6" s="688"/>
      <c r="G6" s="719" t="s">
        <v>101</v>
      </c>
      <c r="H6" s="719" t="s">
        <v>102</v>
      </c>
      <c r="I6" s="720"/>
      <c r="J6" s="719" t="s">
        <v>101</v>
      </c>
      <c r="K6" s="719" t="s">
        <v>102</v>
      </c>
      <c r="L6" s="721"/>
      <c r="M6" s="721" t="s">
        <v>110</v>
      </c>
      <c r="N6" s="721" t="s">
        <v>111</v>
      </c>
      <c r="O6" s="721"/>
      <c r="P6" s="721" t="s">
        <v>110</v>
      </c>
      <c r="Q6" s="721" t="s">
        <v>111</v>
      </c>
      <c r="R6" s="721" t="s">
        <v>110</v>
      </c>
      <c r="S6" s="721" t="s">
        <v>111</v>
      </c>
      <c r="T6" s="721"/>
      <c r="U6" s="722"/>
      <c r="V6" s="22"/>
    </row>
    <row r="7" spans="1:22" s="3" customFormat="1" ht="21" thickBot="1" x14ac:dyDescent="0.35">
      <c r="A7" s="4"/>
      <c r="B7" s="832" t="s">
        <v>215</v>
      </c>
      <c r="C7" s="833"/>
      <c r="D7" s="833"/>
      <c r="E7" s="723"/>
      <c r="F7" s="691">
        <v>30</v>
      </c>
      <c r="G7" s="691">
        <v>70</v>
      </c>
      <c r="H7" s="691">
        <v>30</v>
      </c>
      <c r="I7" s="691">
        <v>30</v>
      </c>
      <c r="J7" s="691">
        <v>70</v>
      </c>
      <c r="K7" s="691">
        <v>30</v>
      </c>
      <c r="L7" s="724">
        <f t="shared" ref="L7:L15" si="0">IF(F7="","",ROUNDUP((F7/$F$7)*10,0))</f>
        <v>10</v>
      </c>
      <c r="M7" s="724">
        <f t="shared" ref="M7:M15" si="1">IF(G7="","",ROUNDUP((G7/$G$7)*21,0))</f>
        <v>21</v>
      </c>
      <c r="N7" s="724">
        <f t="shared" ref="N7:N15" si="2">IF(H7="","",ROUNDUP((H7/$H$7)*9,0))</f>
        <v>9</v>
      </c>
      <c r="O7" s="724">
        <f t="shared" ref="O7:O15" si="3">IF(I7="","",ROUNDUP((I7/$I$7)*10,0))</f>
        <v>10</v>
      </c>
      <c r="P7" s="724">
        <f t="shared" ref="P7:P15" si="4">IF(J7="","",ROUNDUP((J7/$J$7)*35,0))</f>
        <v>35</v>
      </c>
      <c r="Q7" s="724">
        <f t="shared" ref="Q7:Q15" si="5">IF(K7="","",ROUNDUP((K7/$K$7)*15,0))</f>
        <v>15</v>
      </c>
      <c r="R7" s="724">
        <f>IF(AND(L7="",M7="",O7="",P7=""),"",ROUNDUP(SUM(L7,M7,O7,P7),0))</f>
        <v>76</v>
      </c>
      <c r="S7" s="724">
        <f>IF(AND(N7="",Q7=""),"",ROUNDUP(SUM(N7,Q7),0))</f>
        <v>24</v>
      </c>
      <c r="T7" s="724">
        <f>IF(AND(R7="",S7=""),"",SUM(R7:S7))</f>
        <v>100</v>
      </c>
      <c r="U7" s="725" t="str">
        <f>IF(T7="","",IF((T7)&lt;33,"E",IF(AND((T7)&gt;=33,(T7)&lt;41),"D",IF(AND((T7)&gt;=41,(T7)&lt;51),"C2",IF(AND((T7)&gt;=51,(T7)&lt;61),"C1",IF(AND((T7)&gt;=61,(T7)&lt;71),"B2",IF(AND((T7)&gt;=71,(T7)&lt;81),"B1",IF(AND((T7)&gt;=81,(T7)&lt;91),"A2",IF(AND((T7)&gt;=91,(T7)&lt;=100),"A1")))))))))</f>
        <v>A1</v>
      </c>
      <c r="V7" s="22"/>
    </row>
    <row r="8" spans="1:22" s="3" customFormat="1" ht="17.399999999999999" x14ac:dyDescent="0.3">
      <c r="A8" s="4"/>
      <c r="B8" s="671">
        <v>1</v>
      </c>
      <c r="C8" s="676" t="str">
        <f>IF(DATA!E5="","",DATA!E5)</f>
        <v>Devendra Sharma</v>
      </c>
      <c r="D8" s="672">
        <f>IF(DATA!C5="","",DATA!C5)</f>
        <v>1101</v>
      </c>
      <c r="E8" s="673"/>
      <c r="F8" s="710"/>
      <c r="G8" s="710"/>
      <c r="H8" s="710"/>
      <c r="I8" s="710"/>
      <c r="J8" s="710"/>
      <c r="K8" s="711"/>
      <c r="L8" s="718" t="str">
        <f t="shared" si="0"/>
        <v/>
      </c>
      <c r="M8" s="718" t="str">
        <f t="shared" si="1"/>
        <v/>
      </c>
      <c r="N8" s="718" t="str">
        <f t="shared" si="2"/>
        <v/>
      </c>
      <c r="O8" s="718" t="str">
        <f t="shared" si="3"/>
        <v/>
      </c>
      <c r="P8" s="718" t="str">
        <f t="shared" si="4"/>
        <v/>
      </c>
      <c r="Q8" s="718" t="str">
        <f t="shared" si="5"/>
        <v/>
      </c>
      <c r="R8" s="718" t="str">
        <f t="shared" ref="R8:R52" si="6">IF(AND(L8="",M8="",O8="",P8=""),"",ROUNDUP(SUM(L8,M8,O8,P8),0))</f>
        <v/>
      </c>
      <c r="S8" s="718" t="str">
        <f t="shared" ref="S8:S52" si="7">IF(AND(N8="",Q8=""),"",ROUNDUP(SUM(N8,Q8),0))</f>
        <v/>
      </c>
      <c r="T8" s="718" t="str">
        <f t="shared" ref="T8:T52" si="8">IF(AND(R8="",S8=""),"",SUM(R8:S8))</f>
        <v/>
      </c>
      <c r="U8" s="718" t="str">
        <f t="shared" ref="U8:U52" si="9">IF(T8="","",IF((T8)&lt;33,"E",IF(AND((T8)&gt;=33,(T8)&lt;41),"D",IF(AND((T8)&gt;=41,(T8)&lt;51),"C2",IF(AND((T8)&gt;=51,(T8)&lt;61),"C1",IF(AND((T8)&gt;=61,(T8)&lt;71),"B2",IF(AND((T8)&gt;=71,(T8)&lt;81),"B1",IF(AND((T8)&gt;=81,(T8)&lt;91),"A2",IF(AND((T8)&gt;=91,(T8)&lt;=100),"A1")))))))))</f>
        <v/>
      </c>
      <c r="V8" s="22"/>
    </row>
    <row r="9" spans="1:22" s="3" customFormat="1" ht="17.399999999999999" x14ac:dyDescent="0.3">
      <c r="A9" s="4"/>
      <c r="B9" s="28">
        <v>2</v>
      </c>
      <c r="C9" s="677" t="str">
        <f>IF(DATA!E6="","",DATA!E6)</f>
        <v>DHARA SALVI</v>
      </c>
      <c r="D9" s="29">
        <f>IF(DATA!C6="","",DATA!C6)</f>
        <v>1102</v>
      </c>
      <c r="E9" s="31"/>
      <c r="F9" s="31"/>
      <c r="G9" s="31"/>
      <c r="H9" s="31"/>
      <c r="I9" s="31"/>
      <c r="J9" s="31"/>
      <c r="K9" s="31"/>
      <c r="L9" s="48" t="str">
        <f t="shared" si="0"/>
        <v/>
      </c>
      <c r="M9" s="48" t="str">
        <f t="shared" si="1"/>
        <v/>
      </c>
      <c r="N9" s="48" t="str">
        <f t="shared" si="2"/>
        <v/>
      </c>
      <c r="O9" s="48" t="str">
        <f t="shared" si="3"/>
        <v/>
      </c>
      <c r="P9" s="48" t="str">
        <f t="shared" si="4"/>
        <v/>
      </c>
      <c r="Q9" s="48" t="str">
        <f t="shared" si="5"/>
        <v/>
      </c>
      <c r="R9" s="48" t="str">
        <f t="shared" si="6"/>
        <v/>
      </c>
      <c r="S9" s="48" t="str">
        <f t="shared" si="7"/>
        <v/>
      </c>
      <c r="T9" s="48" t="str">
        <f t="shared" si="8"/>
        <v/>
      </c>
      <c r="U9" s="48" t="str">
        <f t="shared" si="9"/>
        <v/>
      </c>
      <c r="V9" s="22"/>
    </row>
    <row r="10" spans="1:22" s="3" customFormat="1" ht="17.399999999999999" x14ac:dyDescent="0.3">
      <c r="A10" s="4"/>
      <c r="B10" s="28">
        <v>3</v>
      </c>
      <c r="C10" s="677" t="str">
        <f>IF(DATA!E7="","",DATA!E7)</f>
        <v>HARSHIKA RAO</v>
      </c>
      <c r="D10" s="29">
        <f>IF(DATA!C7="","",DATA!C7)</f>
        <v>1103</v>
      </c>
      <c r="E10" s="31"/>
      <c r="F10" s="31"/>
      <c r="G10" s="31"/>
      <c r="H10" s="31"/>
      <c r="I10" s="31"/>
      <c r="J10" s="31"/>
      <c r="K10" s="31"/>
      <c r="L10" s="48" t="str">
        <f t="shared" si="0"/>
        <v/>
      </c>
      <c r="M10" s="48" t="str">
        <f t="shared" si="1"/>
        <v/>
      </c>
      <c r="N10" s="48" t="str">
        <f t="shared" si="2"/>
        <v/>
      </c>
      <c r="O10" s="48" t="str">
        <f t="shared" si="3"/>
        <v/>
      </c>
      <c r="P10" s="48" t="str">
        <f t="shared" si="4"/>
        <v/>
      </c>
      <c r="Q10" s="48" t="str">
        <f t="shared" si="5"/>
        <v/>
      </c>
      <c r="R10" s="48" t="str">
        <f t="shared" si="6"/>
        <v/>
      </c>
      <c r="S10" s="48" t="str">
        <f t="shared" si="7"/>
        <v/>
      </c>
      <c r="T10" s="48" t="str">
        <f t="shared" si="8"/>
        <v/>
      </c>
      <c r="U10" s="48" t="str">
        <f t="shared" si="9"/>
        <v/>
      </c>
      <c r="V10" s="22"/>
    </row>
    <row r="11" spans="1:22" s="3" customFormat="1" ht="17.399999999999999" x14ac:dyDescent="0.3">
      <c r="A11" s="4"/>
      <c r="B11" s="28">
        <v>4</v>
      </c>
      <c r="C11" s="677" t="str">
        <f>IF(DATA!E8="","",DATA!E8)</f>
        <v/>
      </c>
      <c r="D11" s="29" t="str">
        <f>IF(DATA!C8="","",DATA!C8)</f>
        <v/>
      </c>
      <c r="E11" s="31"/>
      <c r="F11" s="31"/>
      <c r="G11" s="31"/>
      <c r="H11" s="31"/>
      <c r="I11" s="31"/>
      <c r="J11" s="31"/>
      <c r="K11" s="31"/>
      <c r="L11" s="48" t="str">
        <f t="shared" si="0"/>
        <v/>
      </c>
      <c r="M11" s="48" t="str">
        <f t="shared" si="1"/>
        <v/>
      </c>
      <c r="N11" s="48" t="str">
        <f t="shared" si="2"/>
        <v/>
      </c>
      <c r="O11" s="48" t="str">
        <f t="shared" si="3"/>
        <v/>
      </c>
      <c r="P11" s="48" t="str">
        <f t="shared" si="4"/>
        <v/>
      </c>
      <c r="Q11" s="48" t="str">
        <f t="shared" si="5"/>
        <v/>
      </c>
      <c r="R11" s="48" t="str">
        <f t="shared" si="6"/>
        <v/>
      </c>
      <c r="S11" s="48" t="str">
        <f t="shared" si="7"/>
        <v/>
      </c>
      <c r="T11" s="48" t="str">
        <f t="shared" si="8"/>
        <v/>
      </c>
      <c r="U11" s="48" t="str">
        <f t="shared" si="9"/>
        <v/>
      </c>
      <c r="V11" s="22"/>
    </row>
    <row r="12" spans="1:22" s="3" customFormat="1" ht="17.399999999999999" x14ac:dyDescent="0.3">
      <c r="A12" s="4"/>
      <c r="B12" s="28">
        <v>5</v>
      </c>
      <c r="C12" s="677" t="str">
        <f>IF(DATA!E9="","",DATA!E9)</f>
        <v/>
      </c>
      <c r="D12" s="29" t="str">
        <f>IF(DATA!C9="","",DATA!C9)</f>
        <v/>
      </c>
      <c r="E12" s="31"/>
      <c r="F12" s="31"/>
      <c r="G12" s="31"/>
      <c r="H12" s="31"/>
      <c r="I12" s="31"/>
      <c r="J12" s="31"/>
      <c r="K12" s="31"/>
      <c r="L12" s="48" t="str">
        <f t="shared" si="0"/>
        <v/>
      </c>
      <c r="M12" s="48" t="str">
        <f t="shared" si="1"/>
        <v/>
      </c>
      <c r="N12" s="48" t="str">
        <f t="shared" si="2"/>
        <v/>
      </c>
      <c r="O12" s="48" t="str">
        <f t="shared" si="3"/>
        <v/>
      </c>
      <c r="P12" s="48" t="str">
        <f t="shared" si="4"/>
        <v/>
      </c>
      <c r="Q12" s="48" t="str">
        <f t="shared" si="5"/>
        <v/>
      </c>
      <c r="R12" s="48" t="str">
        <f t="shared" si="6"/>
        <v/>
      </c>
      <c r="S12" s="48" t="str">
        <f t="shared" si="7"/>
        <v/>
      </c>
      <c r="T12" s="48" t="str">
        <f t="shared" si="8"/>
        <v/>
      </c>
      <c r="U12" s="48" t="str">
        <f t="shared" si="9"/>
        <v/>
      </c>
      <c r="V12" s="22"/>
    </row>
    <row r="13" spans="1:22" s="3" customFormat="1" ht="17.399999999999999" x14ac:dyDescent="0.3">
      <c r="A13" s="4"/>
      <c r="B13" s="28">
        <v>6</v>
      </c>
      <c r="C13" s="677" t="str">
        <f>IF(DATA!E10="","",DATA!E10)</f>
        <v/>
      </c>
      <c r="D13" s="29" t="str">
        <f>IF(DATA!C10="","",DATA!C10)</f>
        <v/>
      </c>
      <c r="E13" s="31"/>
      <c r="F13" s="31"/>
      <c r="G13" s="31"/>
      <c r="H13" s="31"/>
      <c r="I13" s="31"/>
      <c r="J13" s="31"/>
      <c r="K13" s="31"/>
      <c r="L13" s="48" t="str">
        <f t="shared" si="0"/>
        <v/>
      </c>
      <c r="M13" s="48" t="str">
        <f t="shared" si="1"/>
        <v/>
      </c>
      <c r="N13" s="48" t="str">
        <f t="shared" si="2"/>
        <v/>
      </c>
      <c r="O13" s="48" t="str">
        <f t="shared" si="3"/>
        <v/>
      </c>
      <c r="P13" s="48" t="str">
        <f t="shared" si="4"/>
        <v/>
      </c>
      <c r="Q13" s="48" t="str">
        <f t="shared" si="5"/>
        <v/>
      </c>
      <c r="R13" s="48" t="str">
        <f t="shared" si="6"/>
        <v/>
      </c>
      <c r="S13" s="48" t="str">
        <f t="shared" si="7"/>
        <v/>
      </c>
      <c r="T13" s="48" t="str">
        <f t="shared" si="8"/>
        <v/>
      </c>
      <c r="U13" s="48" t="str">
        <f t="shared" si="9"/>
        <v/>
      </c>
      <c r="V13" s="22"/>
    </row>
    <row r="14" spans="1:22" s="3" customFormat="1" ht="17.399999999999999" x14ac:dyDescent="0.3">
      <c r="A14" s="4"/>
      <c r="B14" s="28">
        <v>7</v>
      </c>
      <c r="C14" s="677" t="str">
        <f>IF(DATA!E11="","",DATA!E11)</f>
        <v/>
      </c>
      <c r="D14" s="29" t="str">
        <f>IF(DATA!C11="","",DATA!C11)</f>
        <v/>
      </c>
      <c r="E14" s="31"/>
      <c r="F14" s="31"/>
      <c r="G14" s="31"/>
      <c r="H14" s="31"/>
      <c r="I14" s="31"/>
      <c r="J14" s="31"/>
      <c r="K14" s="31"/>
      <c r="L14" s="48" t="str">
        <f t="shared" si="0"/>
        <v/>
      </c>
      <c r="M14" s="48" t="str">
        <f t="shared" si="1"/>
        <v/>
      </c>
      <c r="N14" s="48" t="str">
        <f t="shared" si="2"/>
        <v/>
      </c>
      <c r="O14" s="48" t="str">
        <f t="shared" si="3"/>
        <v/>
      </c>
      <c r="P14" s="48" t="str">
        <f t="shared" si="4"/>
        <v/>
      </c>
      <c r="Q14" s="48" t="str">
        <f t="shared" si="5"/>
        <v/>
      </c>
      <c r="R14" s="48" t="str">
        <f t="shared" si="6"/>
        <v/>
      </c>
      <c r="S14" s="48" t="str">
        <f t="shared" si="7"/>
        <v/>
      </c>
      <c r="T14" s="48" t="str">
        <f t="shared" si="8"/>
        <v/>
      </c>
      <c r="U14" s="48" t="str">
        <f t="shared" si="9"/>
        <v/>
      </c>
      <c r="V14" s="22"/>
    </row>
    <row r="15" spans="1:22" s="3" customFormat="1" ht="17.399999999999999" x14ac:dyDescent="0.3">
      <c r="A15" s="4"/>
      <c r="B15" s="28">
        <v>8</v>
      </c>
      <c r="C15" s="677" t="str">
        <f>IF(DATA!E12="","",DATA!E12)</f>
        <v/>
      </c>
      <c r="D15" s="29" t="str">
        <f>IF(DATA!C12="","",DATA!C12)</f>
        <v/>
      </c>
      <c r="E15" s="31"/>
      <c r="F15" s="31"/>
      <c r="G15" s="31"/>
      <c r="H15" s="31"/>
      <c r="I15" s="31"/>
      <c r="J15" s="31"/>
      <c r="K15" s="31"/>
      <c r="L15" s="48" t="str">
        <f t="shared" si="0"/>
        <v/>
      </c>
      <c r="M15" s="48" t="str">
        <f t="shared" si="1"/>
        <v/>
      </c>
      <c r="N15" s="48" t="str">
        <f t="shared" si="2"/>
        <v/>
      </c>
      <c r="O15" s="48" t="str">
        <f t="shared" si="3"/>
        <v/>
      </c>
      <c r="P15" s="48" t="str">
        <f t="shared" si="4"/>
        <v/>
      </c>
      <c r="Q15" s="48" t="str">
        <f t="shared" si="5"/>
        <v/>
      </c>
      <c r="R15" s="48" t="str">
        <f t="shared" si="6"/>
        <v/>
      </c>
      <c r="S15" s="48" t="str">
        <f t="shared" si="7"/>
        <v/>
      </c>
      <c r="T15" s="48" t="str">
        <f t="shared" si="8"/>
        <v/>
      </c>
      <c r="U15" s="48" t="str">
        <f t="shared" si="9"/>
        <v/>
      </c>
      <c r="V15" s="22"/>
    </row>
    <row r="16" spans="1:22" s="3" customFormat="1" ht="17.399999999999999" x14ac:dyDescent="0.3">
      <c r="A16" s="4"/>
      <c r="B16" s="28">
        <v>9</v>
      </c>
      <c r="C16" s="677" t="str">
        <f>IF(DATA!E13="","",DATA!E13)</f>
        <v/>
      </c>
      <c r="D16" s="29" t="str">
        <f>IF(DATA!C13="","",DATA!C13)</f>
        <v/>
      </c>
      <c r="E16" s="31"/>
      <c r="F16" s="31"/>
      <c r="G16" s="31"/>
      <c r="H16" s="31"/>
      <c r="I16" s="31"/>
      <c r="J16" s="31"/>
      <c r="K16" s="31"/>
      <c r="L16" s="48"/>
      <c r="M16" s="48"/>
      <c r="N16" s="48"/>
      <c r="O16" s="48"/>
      <c r="P16" s="48"/>
      <c r="Q16" s="48"/>
      <c r="R16" s="48"/>
      <c r="S16" s="48"/>
      <c r="T16" s="48"/>
      <c r="U16" s="48" t="str">
        <f t="shared" si="9"/>
        <v/>
      </c>
      <c r="V16" s="22"/>
    </row>
    <row r="17" spans="1:22" s="3" customFormat="1" ht="17.399999999999999" x14ac:dyDescent="0.3">
      <c r="A17" s="4"/>
      <c r="B17" s="28">
        <v>10</v>
      </c>
      <c r="C17" s="677" t="str">
        <f>IF(DATA!E14="","",DATA!E14)</f>
        <v/>
      </c>
      <c r="D17" s="29" t="str">
        <f>IF(DATA!C14="","",DATA!C14)</f>
        <v/>
      </c>
      <c r="E17" s="31"/>
      <c r="F17" s="31"/>
      <c r="G17" s="31"/>
      <c r="H17" s="31"/>
      <c r="I17" s="31"/>
      <c r="J17" s="31"/>
      <c r="K17" s="31"/>
      <c r="L17" s="48"/>
      <c r="M17" s="48"/>
      <c r="N17" s="48"/>
      <c r="O17" s="48"/>
      <c r="P17" s="48"/>
      <c r="Q17" s="48"/>
      <c r="R17" s="48"/>
      <c r="S17" s="48"/>
      <c r="T17" s="48"/>
      <c r="U17" s="48" t="str">
        <f t="shared" si="9"/>
        <v/>
      </c>
      <c r="V17" s="22"/>
    </row>
    <row r="18" spans="1:22" s="3" customFormat="1" ht="17.399999999999999" x14ac:dyDescent="0.3">
      <c r="A18" s="4"/>
      <c r="B18" s="28">
        <v>11</v>
      </c>
      <c r="C18" s="677" t="str">
        <f>IF(DATA!E15="","",DATA!E15)</f>
        <v/>
      </c>
      <c r="D18" s="29" t="str">
        <f>IF(DATA!C15="","",DATA!C15)</f>
        <v/>
      </c>
      <c r="E18" s="31"/>
      <c r="F18" s="31"/>
      <c r="G18" s="31"/>
      <c r="H18" s="31"/>
      <c r="I18" s="31"/>
      <c r="J18" s="31"/>
      <c r="K18" s="31"/>
      <c r="L18" s="48"/>
      <c r="M18" s="48"/>
      <c r="N18" s="48"/>
      <c r="O18" s="48"/>
      <c r="P18" s="48"/>
      <c r="Q18" s="48"/>
      <c r="R18" s="48"/>
      <c r="S18" s="48"/>
      <c r="T18" s="48"/>
      <c r="U18" s="48" t="str">
        <f t="shared" si="9"/>
        <v/>
      </c>
      <c r="V18" s="22"/>
    </row>
    <row r="19" spans="1:22" s="3" customFormat="1" ht="17.399999999999999" x14ac:dyDescent="0.3">
      <c r="A19" s="4"/>
      <c r="B19" s="28">
        <v>12</v>
      </c>
      <c r="C19" s="677" t="str">
        <f>IF(DATA!E16="","",DATA!E16)</f>
        <v/>
      </c>
      <c r="D19" s="29" t="str">
        <f>IF(DATA!C16="","",DATA!C16)</f>
        <v/>
      </c>
      <c r="E19" s="31"/>
      <c r="F19" s="31"/>
      <c r="G19" s="31"/>
      <c r="H19" s="31"/>
      <c r="I19" s="31"/>
      <c r="J19" s="31"/>
      <c r="K19" s="31"/>
      <c r="L19" s="48"/>
      <c r="M19" s="48"/>
      <c r="N19" s="48"/>
      <c r="O19" s="48"/>
      <c r="P19" s="48"/>
      <c r="Q19" s="48"/>
      <c r="R19" s="48"/>
      <c r="S19" s="48"/>
      <c r="T19" s="48"/>
      <c r="U19" s="48" t="str">
        <f t="shared" si="9"/>
        <v/>
      </c>
      <c r="V19" s="22"/>
    </row>
    <row r="20" spans="1:22" s="3" customFormat="1" ht="17.399999999999999" x14ac:dyDescent="0.3">
      <c r="A20" s="4"/>
      <c r="B20" s="28">
        <v>13</v>
      </c>
      <c r="C20" s="677" t="str">
        <f>IF(DATA!E17="","",DATA!E17)</f>
        <v/>
      </c>
      <c r="D20" s="29" t="str">
        <f>IF(DATA!C17="","",DATA!C17)</f>
        <v/>
      </c>
      <c r="E20" s="31"/>
      <c r="F20" s="31"/>
      <c r="G20" s="31"/>
      <c r="H20" s="31"/>
      <c r="I20" s="31"/>
      <c r="J20" s="31"/>
      <c r="K20" s="31"/>
      <c r="L20" s="48"/>
      <c r="M20" s="48"/>
      <c r="N20" s="48"/>
      <c r="O20" s="48"/>
      <c r="P20" s="48"/>
      <c r="Q20" s="48"/>
      <c r="R20" s="48"/>
      <c r="S20" s="48"/>
      <c r="T20" s="48"/>
      <c r="U20" s="48" t="str">
        <f t="shared" si="9"/>
        <v/>
      </c>
      <c r="V20" s="22"/>
    </row>
    <row r="21" spans="1:22" s="3" customFormat="1" ht="17.399999999999999" x14ac:dyDescent="0.3">
      <c r="A21" s="4"/>
      <c r="B21" s="28">
        <v>14</v>
      </c>
      <c r="C21" s="677" t="str">
        <f>IF(DATA!E18="","",DATA!E18)</f>
        <v/>
      </c>
      <c r="D21" s="29" t="str">
        <f>IF(DATA!C18="","",DATA!C18)</f>
        <v/>
      </c>
      <c r="E21" s="31"/>
      <c r="F21" s="31"/>
      <c r="G21" s="31"/>
      <c r="H21" s="31"/>
      <c r="I21" s="31"/>
      <c r="J21" s="31"/>
      <c r="K21" s="31"/>
      <c r="L21" s="48"/>
      <c r="M21" s="48"/>
      <c r="N21" s="48"/>
      <c r="O21" s="48"/>
      <c r="P21" s="48"/>
      <c r="Q21" s="48"/>
      <c r="R21" s="48"/>
      <c r="S21" s="48"/>
      <c r="T21" s="48"/>
      <c r="U21" s="48" t="str">
        <f t="shared" si="9"/>
        <v/>
      </c>
      <c r="V21" s="22"/>
    </row>
    <row r="22" spans="1:22" s="3" customFormat="1" ht="17.399999999999999" x14ac:dyDescent="0.3">
      <c r="A22" s="4"/>
      <c r="B22" s="28">
        <v>15</v>
      </c>
      <c r="C22" s="677" t="str">
        <f>IF(DATA!E19="","",DATA!E19)</f>
        <v/>
      </c>
      <c r="D22" s="29" t="str">
        <f>IF(DATA!C19="","",DATA!C19)</f>
        <v/>
      </c>
      <c r="E22" s="31"/>
      <c r="F22" s="31"/>
      <c r="G22" s="31"/>
      <c r="H22" s="31"/>
      <c r="I22" s="31"/>
      <c r="J22" s="31"/>
      <c r="K22" s="31"/>
      <c r="L22" s="48"/>
      <c r="M22" s="48"/>
      <c r="N22" s="48"/>
      <c r="O22" s="48"/>
      <c r="P22" s="48"/>
      <c r="Q22" s="48"/>
      <c r="R22" s="48"/>
      <c r="S22" s="48"/>
      <c r="T22" s="48"/>
      <c r="U22" s="48" t="str">
        <f t="shared" si="9"/>
        <v/>
      </c>
      <c r="V22" s="22"/>
    </row>
    <row r="23" spans="1:22" s="3" customFormat="1" ht="17.399999999999999" x14ac:dyDescent="0.3">
      <c r="A23" s="4"/>
      <c r="B23" s="28">
        <v>16</v>
      </c>
      <c r="C23" s="677" t="str">
        <f>IF(DATA!E20="","",DATA!E20)</f>
        <v/>
      </c>
      <c r="D23" s="29" t="str">
        <f>IF(DATA!C20="","",DATA!C20)</f>
        <v/>
      </c>
      <c r="E23" s="31"/>
      <c r="F23" s="31"/>
      <c r="G23" s="31"/>
      <c r="H23" s="31"/>
      <c r="I23" s="31"/>
      <c r="J23" s="31"/>
      <c r="K23" s="31"/>
      <c r="L23" s="48"/>
      <c r="M23" s="48"/>
      <c r="N23" s="48"/>
      <c r="O23" s="48"/>
      <c r="P23" s="48"/>
      <c r="Q23" s="48"/>
      <c r="R23" s="48"/>
      <c r="S23" s="48"/>
      <c r="T23" s="48"/>
      <c r="U23" s="48" t="str">
        <f t="shared" si="9"/>
        <v/>
      </c>
      <c r="V23" s="22"/>
    </row>
    <row r="24" spans="1:22" s="3" customFormat="1" ht="17.399999999999999" x14ac:dyDescent="0.3">
      <c r="A24" s="4"/>
      <c r="B24" s="28">
        <v>17</v>
      </c>
      <c r="C24" s="677" t="str">
        <f>IF(DATA!E21="","",DATA!E21)</f>
        <v/>
      </c>
      <c r="D24" s="29" t="str">
        <f>IF(DATA!C21="","",DATA!C21)</f>
        <v/>
      </c>
      <c r="E24" s="31"/>
      <c r="F24" s="31"/>
      <c r="G24" s="31"/>
      <c r="H24" s="31"/>
      <c r="I24" s="31"/>
      <c r="J24" s="31"/>
      <c r="K24" s="31"/>
      <c r="L24" s="48"/>
      <c r="M24" s="48"/>
      <c r="N24" s="48"/>
      <c r="O24" s="48"/>
      <c r="P24" s="48"/>
      <c r="Q24" s="48"/>
      <c r="R24" s="48"/>
      <c r="S24" s="48"/>
      <c r="T24" s="48"/>
      <c r="U24" s="48" t="str">
        <f t="shared" si="9"/>
        <v/>
      </c>
      <c r="V24" s="22"/>
    </row>
    <row r="25" spans="1:22" s="3" customFormat="1" ht="17.399999999999999" x14ac:dyDescent="0.3">
      <c r="A25" s="4"/>
      <c r="B25" s="28">
        <v>18</v>
      </c>
      <c r="C25" s="677" t="str">
        <f>IF(DATA!E22="","",DATA!E22)</f>
        <v/>
      </c>
      <c r="D25" s="29" t="str">
        <f>IF(DATA!C22="","",DATA!C22)</f>
        <v/>
      </c>
      <c r="E25" s="31"/>
      <c r="F25" s="31"/>
      <c r="G25" s="31"/>
      <c r="H25" s="31"/>
      <c r="I25" s="31"/>
      <c r="J25" s="31"/>
      <c r="K25" s="31"/>
      <c r="L25" s="48"/>
      <c r="M25" s="48"/>
      <c r="N25" s="48"/>
      <c r="O25" s="48"/>
      <c r="P25" s="48"/>
      <c r="Q25" s="48"/>
      <c r="R25" s="48"/>
      <c r="S25" s="48"/>
      <c r="T25" s="48"/>
      <c r="U25" s="48" t="str">
        <f t="shared" si="9"/>
        <v/>
      </c>
      <c r="V25" s="22"/>
    </row>
    <row r="26" spans="1:22" s="3" customFormat="1" ht="17.399999999999999" x14ac:dyDescent="0.3">
      <c r="A26" s="4"/>
      <c r="B26" s="28">
        <v>19</v>
      </c>
      <c r="C26" s="677" t="str">
        <f>IF(DATA!E23="","",DATA!E23)</f>
        <v/>
      </c>
      <c r="D26" s="29" t="str">
        <f>IF(DATA!C23="","",DATA!C23)</f>
        <v/>
      </c>
      <c r="E26" s="31"/>
      <c r="F26" s="31"/>
      <c r="G26" s="31"/>
      <c r="H26" s="31"/>
      <c r="I26" s="31"/>
      <c r="J26" s="31"/>
      <c r="K26" s="31"/>
      <c r="L26" s="48"/>
      <c r="M26" s="48"/>
      <c r="N26" s="48"/>
      <c r="O26" s="48"/>
      <c r="P26" s="48"/>
      <c r="Q26" s="48"/>
      <c r="R26" s="48"/>
      <c r="S26" s="48"/>
      <c r="T26" s="48"/>
      <c r="U26" s="48" t="str">
        <f t="shared" si="9"/>
        <v/>
      </c>
      <c r="V26" s="22"/>
    </row>
    <row r="27" spans="1:22" s="3" customFormat="1" ht="17.399999999999999" x14ac:dyDescent="0.3">
      <c r="A27" s="4"/>
      <c r="B27" s="28">
        <v>20</v>
      </c>
      <c r="C27" s="677" t="str">
        <f>IF(DATA!E24="","",DATA!E24)</f>
        <v/>
      </c>
      <c r="D27" s="29" t="str">
        <f>IF(DATA!C24="","",DATA!C24)</f>
        <v/>
      </c>
      <c r="E27" s="31"/>
      <c r="F27" s="31"/>
      <c r="G27" s="31"/>
      <c r="H27" s="31"/>
      <c r="I27" s="31"/>
      <c r="J27" s="31"/>
      <c r="K27" s="31"/>
      <c r="L27" s="48" t="str">
        <f t="shared" ref="L27:L52" si="10">IF(F27="","",ROUNDUP((F27/$F$7)*10,0))</f>
        <v/>
      </c>
      <c r="M27" s="48" t="str">
        <f t="shared" ref="M27:M52" si="11">IF(G27="","",ROUNDUP((G27/$G$7)*21,0))</f>
        <v/>
      </c>
      <c r="N27" s="48" t="str">
        <f t="shared" ref="N27:N52" si="12">IF(H27="","",ROUNDUP((H27/$H$7)*9,0))</f>
        <v/>
      </c>
      <c r="O27" s="48" t="str">
        <f t="shared" ref="O27:O52" si="13">IF(I27="","",ROUNDUP((I27/$I$7)*10,0))</f>
        <v/>
      </c>
      <c r="P27" s="48" t="str">
        <f t="shared" ref="P27:P52" si="14">IF(J27="","",ROUNDUP((J27/$J$7)*35,0))</f>
        <v/>
      </c>
      <c r="Q27" s="48" t="str">
        <f t="shared" ref="Q27:Q52" si="15">IF(K27="","",ROUNDUP((K27/$K$7)*15,0))</f>
        <v/>
      </c>
      <c r="R27" s="48" t="str">
        <f t="shared" si="6"/>
        <v/>
      </c>
      <c r="S27" s="48" t="str">
        <f t="shared" si="7"/>
        <v/>
      </c>
      <c r="T27" s="48" t="str">
        <f t="shared" si="8"/>
        <v/>
      </c>
      <c r="U27" s="48" t="str">
        <f t="shared" si="9"/>
        <v/>
      </c>
      <c r="V27" s="22"/>
    </row>
    <row r="28" spans="1:22" s="3" customFormat="1" ht="17.399999999999999" x14ac:dyDescent="0.3">
      <c r="A28" s="4"/>
      <c r="B28" s="28">
        <v>21</v>
      </c>
      <c r="C28" s="677" t="str">
        <f>IF(DATA!E25="","",DATA!E25)</f>
        <v/>
      </c>
      <c r="D28" s="29" t="str">
        <f>IF(DATA!C25="","",DATA!C25)</f>
        <v/>
      </c>
      <c r="E28" s="31"/>
      <c r="F28" s="31"/>
      <c r="G28" s="31"/>
      <c r="H28" s="31"/>
      <c r="I28" s="31"/>
      <c r="J28" s="31"/>
      <c r="K28" s="31"/>
      <c r="L28" s="48" t="str">
        <f t="shared" si="10"/>
        <v/>
      </c>
      <c r="M28" s="48" t="str">
        <f t="shared" si="11"/>
        <v/>
      </c>
      <c r="N28" s="48" t="str">
        <f t="shared" si="12"/>
        <v/>
      </c>
      <c r="O28" s="48" t="str">
        <f t="shared" si="13"/>
        <v/>
      </c>
      <c r="P28" s="48" t="str">
        <f t="shared" si="14"/>
        <v/>
      </c>
      <c r="Q28" s="48" t="str">
        <f t="shared" si="15"/>
        <v/>
      </c>
      <c r="R28" s="48" t="str">
        <f t="shared" si="6"/>
        <v/>
      </c>
      <c r="S28" s="48" t="str">
        <f t="shared" si="7"/>
        <v/>
      </c>
      <c r="T28" s="48" t="str">
        <f t="shared" si="8"/>
        <v/>
      </c>
      <c r="U28" s="48" t="str">
        <f t="shared" si="9"/>
        <v/>
      </c>
      <c r="V28" s="22"/>
    </row>
    <row r="29" spans="1:22" s="3" customFormat="1" ht="17.399999999999999" x14ac:dyDescent="0.3">
      <c r="A29" s="4"/>
      <c r="B29" s="28">
        <v>22</v>
      </c>
      <c r="C29" s="677" t="str">
        <f>IF(DATA!E26="","",DATA!E26)</f>
        <v/>
      </c>
      <c r="D29" s="29" t="str">
        <f>IF(DATA!C26="","",DATA!C26)</f>
        <v/>
      </c>
      <c r="E29" s="31"/>
      <c r="F29" s="31"/>
      <c r="G29" s="31"/>
      <c r="H29" s="31"/>
      <c r="I29" s="31"/>
      <c r="J29" s="31"/>
      <c r="K29" s="31"/>
      <c r="L29" s="48" t="str">
        <f t="shared" si="10"/>
        <v/>
      </c>
      <c r="M29" s="48" t="str">
        <f t="shared" si="11"/>
        <v/>
      </c>
      <c r="N29" s="48" t="str">
        <f t="shared" si="12"/>
        <v/>
      </c>
      <c r="O29" s="48" t="str">
        <f t="shared" si="13"/>
        <v/>
      </c>
      <c r="P29" s="48" t="str">
        <f t="shared" si="14"/>
        <v/>
      </c>
      <c r="Q29" s="48" t="str">
        <f t="shared" si="15"/>
        <v/>
      </c>
      <c r="R29" s="48" t="str">
        <f t="shared" si="6"/>
        <v/>
      </c>
      <c r="S29" s="48" t="str">
        <f t="shared" si="7"/>
        <v/>
      </c>
      <c r="T29" s="48" t="str">
        <f t="shared" si="8"/>
        <v/>
      </c>
      <c r="U29" s="48" t="str">
        <f t="shared" si="9"/>
        <v/>
      </c>
      <c r="V29" s="22"/>
    </row>
    <row r="30" spans="1:22" s="3" customFormat="1" ht="17.399999999999999" x14ac:dyDescent="0.3">
      <c r="A30" s="4"/>
      <c r="B30" s="28">
        <v>23</v>
      </c>
      <c r="C30" s="677" t="str">
        <f>IF(DATA!E27="","",DATA!E27)</f>
        <v/>
      </c>
      <c r="D30" s="29" t="str">
        <f>IF(DATA!C27="","",DATA!C27)</f>
        <v/>
      </c>
      <c r="E30" s="31"/>
      <c r="F30" s="31"/>
      <c r="G30" s="31"/>
      <c r="H30" s="31"/>
      <c r="I30" s="31"/>
      <c r="J30" s="31"/>
      <c r="K30" s="31"/>
      <c r="L30" s="48" t="str">
        <f t="shared" si="10"/>
        <v/>
      </c>
      <c r="M30" s="48" t="str">
        <f t="shared" si="11"/>
        <v/>
      </c>
      <c r="N30" s="48" t="str">
        <f t="shared" si="12"/>
        <v/>
      </c>
      <c r="O30" s="48" t="str">
        <f t="shared" si="13"/>
        <v/>
      </c>
      <c r="P30" s="48" t="str">
        <f t="shared" si="14"/>
        <v/>
      </c>
      <c r="Q30" s="48" t="str">
        <f t="shared" si="15"/>
        <v/>
      </c>
      <c r="R30" s="48" t="str">
        <f t="shared" si="6"/>
        <v/>
      </c>
      <c r="S30" s="48" t="str">
        <f t="shared" si="7"/>
        <v/>
      </c>
      <c r="T30" s="48" t="str">
        <f t="shared" si="8"/>
        <v/>
      </c>
      <c r="U30" s="48" t="str">
        <f t="shared" si="9"/>
        <v/>
      </c>
      <c r="V30" s="22"/>
    </row>
    <row r="31" spans="1:22" s="3" customFormat="1" ht="17.399999999999999" x14ac:dyDescent="0.3">
      <c r="A31" s="4"/>
      <c r="B31" s="28">
        <v>24</v>
      </c>
      <c r="C31" s="677" t="str">
        <f>IF(DATA!E28="","",DATA!E28)</f>
        <v/>
      </c>
      <c r="D31" s="29" t="str">
        <f>IF(DATA!C28="","",DATA!C28)</f>
        <v/>
      </c>
      <c r="E31" s="31"/>
      <c r="F31" s="31"/>
      <c r="G31" s="31"/>
      <c r="H31" s="31"/>
      <c r="I31" s="31"/>
      <c r="J31" s="31"/>
      <c r="K31" s="31"/>
      <c r="L31" s="48" t="str">
        <f t="shared" si="10"/>
        <v/>
      </c>
      <c r="M31" s="48" t="str">
        <f t="shared" si="11"/>
        <v/>
      </c>
      <c r="N31" s="48" t="str">
        <f t="shared" si="12"/>
        <v/>
      </c>
      <c r="O31" s="48" t="str">
        <f t="shared" si="13"/>
        <v/>
      </c>
      <c r="P31" s="48" t="str">
        <f t="shared" si="14"/>
        <v/>
      </c>
      <c r="Q31" s="48" t="str">
        <f t="shared" si="15"/>
        <v/>
      </c>
      <c r="R31" s="48" t="str">
        <f t="shared" si="6"/>
        <v/>
      </c>
      <c r="S31" s="48" t="str">
        <f t="shared" si="7"/>
        <v/>
      </c>
      <c r="T31" s="48" t="str">
        <f t="shared" si="8"/>
        <v/>
      </c>
      <c r="U31" s="48" t="str">
        <f t="shared" si="9"/>
        <v/>
      </c>
      <c r="V31" s="22"/>
    </row>
    <row r="32" spans="1:22" s="3" customFormat="1" ht="17.399999999999999" x14ac:dyDescent="0.3">
      <c r="A32" s="4"/>
      <c r="B32" s="28">
        <v>25</v>
      </c>
      <c r="C32" s="677" t="str">
        <f>IF(DATA!E29="","",DATA!E29)</f>
        <v/>
      </c>
      <c r="D32" s="29" t="str">
        <f>IF(DATA!C29="","",DATA!C29)</f>
        <v/>
      </c>
      <c r="E32" s="31"/>
      <c r="F32" s="31"/>
      <c r="G32" s="31"/>
      <c r="H32" s="31"/>
      <c r="I32" s="31"/>
      <c r="J32" s="31"/>
      <c r="K32" s="31"/>
      <c r="L32" s="48" t="str">
        <f t="shared" si="10"/>
        <v/>
      </c>
      <c r="M32" s="48" t="str">
        <f t="shared" si="11"/>
        <v/>
      </c>
      <c r="N32" s="48" t="str">
        <f t="shared" si="12"/>
        <v/>
      </c>
      <c r="O32" s="48" t="str">
        <f t="shared" si="13"/>
        <v/>
      </c>
      <c r="P32" s="48" t="str">
        <f t="shared" si="14"/>
        <v/>
      </c>
      <c r="Q32" s="48" t="str">
        <f t="shared" si="15"/>
        <v/>
      </c>
      <c r="R32" s="48" t="str">
        <f t="shared" si="6"/>
        <v/>
      </c>
      <c r="S32" s="48" t="str">
        <f t="shared" si="7"/>
        <v/>
      </c>
      <c r="T32" s="48" t="str">
        <f t="shared" si="8"/>
        <v/>
      </c>
      <c r="U32" s="48" t="str">
        <f t="shared" si="9"/>
        <v/>
      </c>
      <c r="V32" s="22"/>
    </row>
    <row r="33" spans="1:22" s="3" customFormat="1" ht="17.399999999999999" x14ac:dyDescent="0.3">
      <c r="A33" s="4"/>
      <c r="B33" s="28">
        <v>26</v>
      </c>
      <c r="C33" s="677" t="str">
        <f>IF(DATA!E30="","",DATA!E30)</f>
        <v/>
      </c>
      <c r="D33" s="29" t="str">
        <f>IF(DATA!C30="","",DATA!C30)</f>
        <v/>
      </c>
      <c r="E33" s="31"/>
      <c r="F33" s="31"/>
      <c r="G33" s="31"/>
      <c r="H33" s="31"/>
      <c r="I33" s="31"/>
      <c r="J33" s="31"/>
      <c r="K33" s="31"/>
      <c r="L33" s="48" t="str">
        <f t="shared" si="10"/>
        <v/>
      </c>
      <c r="M33" s="48" t="str">
        <f t="shared" si="11"/>
        <v/>
      </c>
      <c r="N33" s="48" t="str">
        <f t="shared" si="12"/>
        <v/>
      </c>
      <c r="O33" s="48" t="str">
        <f t="shared" si="13"/>
        <v/>
      </c>
      <c r="P33" s="48" t="str">
        <f t="shared" si="14"/>
        <v/>
      </c>
      <c r="Q33" s="48" t="str">
        <f t="shared" si="15"/>
        <v/>
      </c>
      <c r="R33" s="48" t="str">
        <f t="shared" si="6"/>
        <v/>
      </c>
      <c r="S33" s="48" t="str">
        <f t="shared" si="7"/>
        <v/>
      </c>
      <c r="T33" s="48" t="str">
        <f t="shared" si="8"/>
        <v/>
      </c>
      <c r="U33" s="48" t="str">
        <f t="shared" si="9"/>
        <v/>
      </c>
      <c r="V33" s="22"/>
    </row>
    <row r="34" spans="1:22" s="3" customFormat="1" ht="17.399999999999999" x14ac:dyDescent="0.3">
      <c r="A34" s="4"/>
      <c r="B34" s="28">
        <v>27</v>
      </c>
      <c r="C34" s="677" t="str">
        <f>IF(DATA!E31="","",DATA!E31)</f>
        <v/>
      </c>
      <c r="D34" s="29" t="str">
        <f>IF(DATA!C31="","",DATA!C31)</f>
        <v/>
      </c>
      <c r="E34" s="31"/>
      <c r="F34" s="31"/>
      <c r="G34" s="31"/>
      <c r="H34" s="31"/>
      <c r="I34" s="31"/>
      <c r="J34" s="31"/>
      <c r="K34" s="31"/>
      <c r="L34" s="48" t="str">
        <f t="shared" si="10"/>
        <v/>
      </c>
      <c r="M34" s="48" t="str">
        <f t="shared" si="11"/>
        <v/>
      </c>
      <c r="N34" s="48" t="str">
        <f t="shared" si="12"/>
        <v/>
      </c>
      <c r="O34" s="48" t="str">
        <f t="shared" si="13"/>
        <v/>
      </c>
      <c r="P34" s="48" t="str">
        <f t="shared" si="14"/>
        <v/>
      </c>
      <c r="Q34" s="48" t="str">
        <f t="shared" si="15"/>
        <v/>
      </c>
      <c r="R34" s="48" t="str">
        <f t="shared" si="6"/>
        <v/>
      </c>
      <c r="S34" s="48" t="str">
        <f t="shared" si="7"/>
        <v/>
      </c>
      <c r="T34" s="48" t="str">
        <f t="shared" si="8"/>
        <v/>
      </c>
      <c r="U34" s="48" t="str">
        <f t="shared" si="9"/>
        <v/>
      </c>
      <c r="V34" s="22"/>
    </row>
    <row r="35" spans="1:22" s="3" customFormat="1" ht="17.399999999999999" x14ac:dyDescent="0.3">
      <c r="A35" s="4"/>
      <c r="B35" s="28">
        <v>28</v>
      </c>
      <c r="C35" s="677" t="str">
        <f>IF(DATA!E32="","",DATA!E32)</f>
        <v/>
      </c>
      <c r="D35" s="29" t="str">
        <f>IF(DATA!C32="","",DATA!C32)</f>
        <v/>
      </c>
      <c r="E35" s="31"/>
      <c r="F35" s="31"/>
      <c r="G35" s="31"/>
      <c r="H35" s="31"/>
      <c r="I35" s="31"/>
      <c r="J35" s="31"/>
      <c r="K35" s="31"/>
      <c r="L35" s="48" t="str">
        <f t="shared" si="10"/>
        <v/>
      </c>
      <c r="M35" s="48" t="str">
        <f t="shared" si="11"/>
        <v/>
      </c>
      <c r="N35" s="48" t="str">
        <f t="shared" si="12"/>
        <v/>
      </c>
      <c r="O35" s="48" t="str">
        <f t="shared" si="13"/>
        <v/>
      </c>
      <c r="P35" s="48" t="str">
        <f t="shared" si="14"/>
        <v/>
      </c>
      <c r="Q35" s="48" t="str">
        <f t="shared" si="15"/>
        <v/>
      </c>
      <c r="R35" s="48" t="str">
        <f t="shared" si="6"/>
        <v/>
      </c>
      <c r="S35" s="48" t="str">
        <f t="shared" si="7"/>
        <v/>
      </c>
      <c r="T35" s="48" t="str">
        <f t="shared" si="8"/>
        <v/>
      </c>
      <c r="U35" s="48" t="str">
        <f t="shared" si="9"/>
        <v/>
      </c>
      <c r="V35" s="22"/>
    </row>
    <row r="36" spans="1:22" s="3" customFormat="1" ht="17.399999999999999" x14ac:dyDescent="0.3">
      <c r="A36" s="4"/>
      <c r="B36" s="28">
        <v>29</v>
      </c>
      <c r="C36" s="677" t="str">
        <f>IF(DATA!E33="","",DATA!E33)</f>
        <v/>
      </c>
      <c r="D36" s="29" t="str">
        <f>IF(DATA!C33="","",DATA!C33)</f>
        <v/>
      </c>
      <c r="E36" s="31"/>
      <c r="F36" s="31"/>
      <c r="G36" s="31"/>
      <c r="H36" s="31"/>
      <c r="I36" s="31"/>
      <c r="J36" s="31"/>
      <c r="K36" s="31"/>
      <c r="L36" s="48" t="str">
        <f t="shared" si="10"/>
        <v/>
      </c>
      <c r="M36" s="48" t="str">
        <f t="shared" si="11"/>
        <v/>
      </c>
      <c r="N36" s="48" t="str">
        <f t="shared" si="12"/>
        <v/>
      </c>
      <c r="O36" s="48" t="str">
        <f t="shared" si="13"/>
        <v/>
      </c>
      <c r="P36" s="48" t="str">
        <f t="shared" si="14"/>
        <v/>
      </c>
      <c r="Q36" s="48" t="str">
        <f t="shared" si="15"/>
        <v/>
      </c>
      <c r="R36" s="48" t="str">
        <f t="shared" si="6"/>
        <v/>
      </c>
      <c r="S36" s="48" t="str">
        <f t="shared" si="7"/>
        <v/>
      </c>
      <c r="T36" s="48" t="str">
        <f t="shared" si="8"/>
        <v/>
      </c>
      <c r="U36" s="48" t="str">
        <f t="shared" si="9"/>
        <v/>
      </c>
      <c r="V36" s="22"/>
    </row>
    <row r="37" spans="1:22" s="3" customFormat="1" ht="17.399999999999999" x14ac:dyDescent="0.3">
      <c r="A37" s="4"/>
      <c r="B37" s="28">
        <v>30</v>
      </c>
      <c r="C37" s="677" t="str">
        <f>IF(DATA!E34="","",DATA!E34)</f>
        <v/>
      </c>
      <c r="D37" s="29" t="str">
        <f>IF(DATA!C34="","",DATA!C34)</f>
        <v/>
      </c>
      <c r="E37" s="31"/>
      <c r="F37" s="31"/>
      <c r="G37" s="31"/>
      <c r="H37" s="31"/>
      <c r="I37" s="31"/>
      <c r="J37" s="31"/>
      <c r="K37" s="31"/>
      <c r="L37" s="48" t="str">
        <f t="shared" si="10"/>
        <v/>
      </c>
      <c r="M37" s="48" t="str">
        <f t="shared" si="11"/>
        <v/>
      </c>
      <c r="N37" s="48" t="str">
        <f t="shared" si="12"/>
        <v/>
      </c>
      <c r="O37" s="48" t="str">
        <f t="shared" si="13"/>
        <v/>
      </c>
      <c r="P37" s="48" t="str">
        <f t="shared" si="14"/>
        <v/>
      </c>
      <c r="Q37" s="48" t="str">
        <f t="shared" si="15"/>
        <v/>
      </c>
      <c r="R37" s="48" t="str">
        <f t="shared" si="6"/>
        <v/>
      </c>
      <c r="S37" s="48" t="str">
        <f t="shared" si="7"/>
        <v/>
      </c>
      <c r="T37" s="48" t="str">
        <f t="shared" si="8"/>
        <v/>
      </c>
      <c r="U37" s="48" t="str">
        <f t="shared" si="9"/>
        <v/>
      </c>
      <c r="V37" s="22"/>
    </row>
    <row r="38" spans="1:22" s="3" customFormat="1" ht="17.399999999999999" x14ac:dyDescent="0.3">
      <c r="A38" s="4"/>
      <c r="B38" s="28">
        <v>31</v>
      </c>
      <c r="C38" s="677" t="str">
        <f>IF(DATA!E35="","",DATA!E35)</f>
        <v/>
      </c>
      <c r="D38" s="29" t="str">
        <f>IF(DATA!C35="","",DATA!C35)</f>
        <v/>
      </c>
      <c r="E38" s="31"/>
      <c r="F38" s="31"/>
      <c r="G38" s="31"/>
      <c r="H38" s="31"/>
      <c r="I38" s="31"/>
      <c r="J38" s="31"/>
      <c r="K38" s="31"/>
      <c r="L38" s="48" t="str">
        <f t="shared" si="10"/>
        <v/>
      </c>
      <c r="M38" s="48" t="str">
        <f t="shared" si="11"/>
        <v/>
      </c>
      <c r="N38" s="48" t="str">
        <f t="shared" si="12"/>
        <v/>
      </c>
      <c r="O38" s="48" t="str">
        <f t="shared" si="13"/>
        <v/>
      </c>
      <c r="P38" s="48" t="str">
        <f t="shared" si="14"/>
        <v/>
      </c>
      <c r="Q38" s="48" t="str">
        <f t="shared" si="15"/>
        <v/>
      </c>
      <c r="R38" s="48" t="str">
        <f t="shared" si="6"/>
        <v/>
      </c>
      <c r="S38" s="48" t="str">
        <f t="shared" si="7"/>
        <v/>
      </c>
      <c r="T38" s="48" t="str">
        <f t="shared" si="8"/>
        <v/>
      </c>
      <c r="U38" s="48" t="str">
        <f t="shared" si="9"/>
        <v/>
      </c>
      <c r="V38" s="22"/>
    </row>
    <row r="39" spans="1:22" s="3" customFormat="1" ht="17.399999999999999" x14ac:dyDescent="0.3">
      <c r="A39" s="4"/>
      <c r="B39" s="28">
        <v>32</v>
      </c>
      <c r="C39" s="677" t="str">
        <f>IF(DATA!E36="","",DATA!E36)</f>
        <v/>
      </c>
      <c r="D39" s="29" t="str">
        <f>IF(DATA!C36="","",DATA!C36)</f>
        <v/>
      </c>
      <c r="E39" s="31"/>
      <c r="F39" s="31"/>
      <c r="G39" s="31"/>
      <c r="H39" s="31"/>
      <c r="I39" s="31"/>
      <c r="J39" s="31"/>
      <c r="K39" s="31"/>
      <c r="L39" s="48" t="str">
        <f t="shared" si="10"/>
        <v/>
      </c>
      <c r="M39" s="48" t="str">
        <f t="shared" si="11"/>
        <v/>
      </c>
      <c r="N39" s="48" t="str">
        <f t="shared" si="12"/>
        <v/>
      </c>
      <c r="O39" s="48" t="str">
        <f t="shared" si="13"/>
        <v/>
      </c>
      <c r="P39" s="48" t="str">
        <f t="shared" si="14"/>
        <v/>
      </c>
      <c r="Q39" s="48" t="str">
        <f t="shared" si="15"/>
        <v/>
      </c>
      <c r="R39" s="48" t="str">
        <f t="shared" si="6"/>
        <v/>
      </c>
      <c r="S39" s="48" t="str">
        <f t="shared" si="7"/>
        <v/>
      </c>
      <c r="T39" s="48" t="str">
        <f t="shared" si="8"/>
        <v/>
      </c>
      <c r="U39" s="48" t="str">
        <f t="shared" si="9"/>
        <v/>
      </c>
      <c r="V39" s="22"/>
    </row>
    <row r="40" spans="1:22" s="3" customFormat="1" ht="17.399999999999999" x14ac:dyDescent="0.3">
      <c r="A40" s="4"/>
      <c r="B40" s="28">
        <v>33</v>
      </c>
      <c r="C40" s="677" t="str">
        <f>IF(DATA!E37="","",DATA!E37)</f>
        <v/>
      </c>
      <c r="D40" s="29" t="str">
        <f>IF(DATA!C37="","",DATA!C37)</f>
        <v/>
      </c>
      <c r="E40" s="31"/>
      <c r="F40" s="31"/>
      <c r="G40" s="31"/>
      <c r="H40" s="31"/>
      <c r="I40" s="31"/>
      <c r="J40" s="31"/>
      <c r="K40" s="31"/>
      <c r="L40" s="48" t="str">
        <f t="shared" si="10"/>
        <v/>
      </c>
      <c r="M40" s="48" t="str">
        <f t="shared" si="11"/>
        <v/>
      </c>
      <c r="N40" s="48" t="str">
        <f t="shared" si="12"/>
        <v/>
      </c>
      <c r="O40" s="48" t="str">
        <f t="shared" si="13"/>
        <v/>
      </c>
      <c r="P40" s="48" t="str">
        <f t="shared" si="14"/>
        <v/>
      </c>
      <c r="Q40" s="48" t="str">
        <f t="shared" si="15"/>
        <v/>
      </c>
      <c r="R40" s="48" t="str">
        <f t="shared" si="6"/>
        <v/>
      </c>
      <c r="S40" s="48" t="str">
        <f t="shared" si="7"/>
        <v/>
      </c>
      <c r="T40" s="48" t="str">
        <f t="shared" si="8"/>
        <v/>
      </c>
      <c r="U40" s="48" t="str">
        <f t="shared" si="9"/>
        <v/>
      </c>
      <c r="V40" s="22"/>
    </row>
    <row r="41" spans="1:22" s="3" customFormat="1" ht="17.399999999999999" x14ac:dyDescent="0.3">
      <c r="A41" s="4"/>
      <c r="B41" s="28">
        <v>34</v>
      </c>
      <c r="C41" s="677" t="str">
        <f>IF(DATA!E38="","",DATA!E38)</f>
        <v/>
      </c>
      <c r="D41" s="29" t="str">
        <f>IF(DATA!C38="","",DATA!C38)</f>
        <v/>
      </c>
      <c r="E41" s="31"/>
      <c r="F41" s="31"/>
      <c r="G41" s="31"/>
      <c r="H41" s="31"/>
      <c r="I41" s="31"/>
      <c r="J41" s="31"/>
      <c r="K41" s="31"/>
      <c r="L41" s="48" t="str">
        <f t="shared" si="10"/>
        <v/>
      </c>
      <c r="M41" s="48" t="str">
        <f t="shared" si="11"/>
        <v/>
      </c>
      <c r="N41" s="48" t="str">
        <f t="shared" si="12"/>
        <v/>
      </c>
      <c r="O41" s="48" t="str">
        <f t="shared" si="13"/>
        <v/>
      </c>
      <c r="P41" s="48" t="str">
        <f t="shared" si="14"/>
        <v/>
      </c>
      <c r="Q41" s="48" t="str">
        <f t="shared" si="15"/>
        <v/>
      </c>
      <c r="R41" s="48" t="str">
        <f t="shared" si="6"/>
        <v/>
      </c>
      <c r="S41" s="48" t="str">
        <f t="shared" si="7"/>
        <v/>
      </c>
      <c r="T41" s="48" t="str">
        <f t="shared" si="8"/>
        <v/>
      </c>
      <c r="U41" s="48" t="str">
        <f t="shared" si="9"/>
        <v/>
      </c>
      <c r="V41" s="22"/>
    </row>
    <row r="42" spans="1:22" s="3" customFormat="1" ht="17.399999999999999" x14ac:dyDescent="0.3">
      <c r="A42" s="4"/>
      <c r="B42" s="28">
        <v>35</v>
      </c>
      <c r="C42" s="677" t="str">
        <f>IF(DATA!E39="","",DATA!E39)</f>
        <v/>
      </c>
      <c r="D42" s="29" t="str">
        <f>IF(DATA!C39="","",DATA!C39)</f>
        <v/>
      </c>
      <c r="E42" s="31"/>
      <c r="F42" s="31"/>
      <c r="G42" s="31"/>
      <c r="H42" s="31"/>
      <c r="I42" s="31"/>
      <c r="J42" s="31"/>
      <c r="K42" s="31"/>
      <c r="L42" s="48" t="str">
        <f t="shared" si="10"/>
        <v/>
      </c>
      <c r="M42" s="48" t="str">
        <f t="shared" si="11"/>
        <v/>
      </c>
      <c r="N42" s="48" t="str">
        <f t="shared" si="12"/>
        <v/>
      </c>
      <c r="O42" s="48" t="str">
        <f t="shared" si="13"/>
        <v/>
      </c>
      <c r="P42" s="48" t="str">
        <f t="shared" si="14"/>
        <v/>
      </c>
      <c r="Q42" s="48" t="str">
        <f t="shared" si="15"/>
        <v/>
      </c>
      <c r="R42" s="48" t="str">
        <f t="shared" si="6"/>
        <v/>
      </c>
      <c r="S42" s="48" t="str">
        <f t="shared" si="7"/>
        <v/>
      </c>
      <c r="T42" s="48" t="str">
        <f t="shared" si="8"/>
        <v/>
      </c>
      <c r="U42" s="48" t="str">
        <f t="shared" si="9"/>
        <v/>
      </c>
      <c r="V42" s="22"/>
    </row>
    <row r="43" spans="1:22" s="3" customFormat="1" ht="17.399999999999999" x14ac:dyDescent="0.3">
      <c r="A43" s="4"/>
      <c r="B43" s="28">
        <v>36</v>
      </c>
      <c r="C43" s="677" t="str">
        <f>IF(DATA!E40="","",DATA!E40)</f>
        <v/>
      </c>
      <c r="D43" s="29" t="str">
        <f>IF(DATA!C40="","",DATA!C40)</f>
        <v/>
      </c>
      <c r="E43" s="31"/>
      <c r="F43" s="31"/>
      <c r="G43" s="31"/>
      <c r="H43" s="31"/>
      <c r="I43" s="31"/>
      <c r="J43" s="31"/>
      <c r="K43" s="31"/>
      <c r="L43" s="48" t="str">
        <f t="shared" si="10"/>
        <v/>
      </c>
      <c r="M43" s="48" t="str">
        <f t="shared" si="11"/>
        <v/>
      </c>
      <c r="N43" s="48" t="str">
        <f t="shared" si="12"/>
        <v/>
      </c>
      <c r="O43" s="48" t="str">
        <f t="shared" si="13"/>
        <v/>
      </c>
      <c r="P43" s="48" t="str">
        <f t="shared" si="14"/>
        <v/>
      </c>
      <c r="Q43" s="48" t="str">
        <f t="shared" si="15"/>
        <v/>
      </c>
      <c r="R43" s="48" t="str">
        <f t="shared" si="6"/>
        <v/>
      </c>
      <c r="S43" s="48" t="str">
        <f t="shared" si="7"/>
        <v/>
      </c>
      <c r="T43" s="48" t="str">
        <f t="shared" si="8"/>
        <v/>
      </c>
      <c r="U43" s="48" t="str">
        <f t="shared" si="9"/>
        <v/>
      </c>
      <c r="V43" s="22"/>
    </row>
    <row r="44" spans="1:22" s="3" customFormat="1" ht="17.399999999999999" x14ac:dyDescent="0.3">
      <c r="A44" s="4"/>
      <c r="B44" s="28">
        <v>37</v>
      </c>
      <c r="C44" s="677" t="str">
        <f>IF(DATA!E41="","",DATA!E41)</f>
        <v/>
      </c>
      <c r="D44" s="29" t="str">
        <f>IF(DATA!C41="","",DATA!C41)</f>
        <v/>
      </c>
      <c r="E44" s="31"/>
      <c r="F44" s="31"/>
      <c r="G44" s="31"/>
      <c r="H44" s="31"/>
      <c r="I44" s="31"/>
      <c r="J44" s="31"/>
      <c r="K44" s="31"/>
      <c r="L44" s="48" t="str">
        <f t="shared" si="10"/>
        <v/>
      </c>
      <c r="M44" s="48" t="str">
        <f t="shared" si="11"/>
        <v/>
      </c>
      <c r="N44" s="48" t="str">
        <f t="shared" si="12"/>
        <v/>
      </c>
      <c r="O44" s="48" t="str">
        <f t="shared" si="13"/>
        <v/>
      </c>
      <c r="P44" s="48" t="str">
        <f t="shared" si="14"/>
        <v/>
      </c>
      <c r="Q44" s="48" t="str">
        <f t="shared" si="15"/>
        <v/>
      </c>
      <c r="R44" s="48" t="str">
        <f t="shared" si="6"/>
        <v/>
      </c>
      <c r="S44" s="48" t="str">
        <f t="shared" si="7"/>
        <v/>
      </c>
      <c r="T44" s="48" t="str">
        <f t="shared" si="8"/>
        <v/>
      </c>
      <c r="U44" s="48" t="str">
        <f t="shared" si="9"/>
        <v/>
      </c>
      <c r="V44" s="22"/>
    </row>
    <row r="45" spans="1:22" s="3" customFormat="1" ht="17.399999999999999" x14ac:dyDescent="0.3">
      <c r="A45" s="4"/>
      <c r="B45" s="28">
        <v>38</v>
      </c>
      <c r="C45" s="677" t="str">
        <f>IF(DATA!E42="","",DATA!E42)</f>
        <v/>
      </c>
      <c r="D45" s="29" t="str">
        <f>IF(DATA!C42="","",DATA!C42)</f>
        <v/>
      </c>
      <c r="E45" s="31"/>
      <c r="F45" s="31"/>
      <c r="G45" s="31"/>
      <c r="H45" s="31"/>
      <c r="I45" s="31"/>
      <c r="J45" s="31"/>
      <c r="K45" s="31"/>
      <c r="L45" s="48" t="str">
        <f t="shared" si="10"/>
        <v/>
      </c>
      <c r="M45" s="48" t="str">
        <f t="shared" si="11"/>
        <v/>
      </c>
      <c r="N45" s="48" t="str">
        <f t="shared" si="12"/>
        <v/>
      </c>
      <c r="O45" s="48" t="str">
        <f t="shared" si="13"/>
        <v/>
      </c>
      <c r="P45" s="48" t="str">
        <f t="shared" si="14"/>
        <v/>
      </c>
      <c r="Q45" s="48" t="str">
        <f t="shared" si="15"/>
        <v/>
      </c>
      <c r="R45" s="48" t="str">
        <f t="shared" si="6"/>
        <v/>
      </c>
      <c r="S45" s="48" t="str">
        <f t="shared" si="7"/>
        <v/>
      </c>
      <c r="T45" s="48" t="str">
        <f t="shared" si="8"/>
        <v/>
      </c>
      <c r="U45" s="48" t="str">
        <f t="shared" si="9"/>
        <v/>
      </c>
      <c r="V45" s="22"/>
    </row>
    <row r="46" spans="1:22" s="3" customFormat="1" ht="17.399999999999999" x14ac:dyDescent="0.3">
      <c r="A46" s="4"/>
      <c r="B46" s="28">
        <v>39</v>
      </c>
      <c r="C46" s="677" t="str">
        <f>IF(DATA!E43="","",DATA!E43)</f>
        <v/>
      </c>
      <c r="D46" s="29" t="str">
        <f>IF(DATA!C43="","",DATA!C43)</f>
        <v/>
      </c>
      <c r="E46" s="31"/>
      <c r="F46" s="31"/>
      <c r="G46" s="31"/>
      <c r="H46" s="31"/>
      <c r="I46" s="31"/>
      <c r="J46" s="31"/>
      <c r="K46" s="31"/>
      <c r="L46" s="48" t="str">
        <f t="shared" si="10"/>
        <v/>
      </c>
      <c r="M46" s="48" t="str">
        <f t="shared" si="11"/>
        <v/>
      </c>
      <c r="N46" s="48" t="str">
        <f t="shared" si="12"/>
        <v/>
      </c>
      <c r="O46" s="48" t="str">
        <f t="shared" si="13"/>
        <v/>
      </c>
      <c r="P46" s="48" t="str">
        <f t="shared" si="14"/>
        <v/>
      </c>
      <c r="Q46" s="48" t="str">
        <f t="shared" si="15"/>
        <v/>
      </c>
      <c r="R46" s="48" t="str">
        <f t="shared" si="6"/>
        <v/>
      </c>
      <c r="S46" s="48" t="str">
        <f t="shared" si="7"/>
        <v/>
      </c>
      <c r="T46" s="48" t="str">
        <f t="shared" si="8"/>
        <v/>
      </c>
      <c r="U46" s="48" t="str">
        <f t="shared" si="9"/>
        <v/>
      </c>
      <c r="V46" s="22"/>
    </row>
    <row r="47" spans="1:22" s="3" customFormat="1" ht="17.399999999999999" x14ac:dyDescent="0.3">
      <c r="A47" s="4"/>
      <c r="B47" s="28">
        <v>40</v>
      </c>
      <c r="C47" s="677" t="str">
        <f>IF(DATA!E44="","",DATA!E44)</f>
        <v/>
      </c>
      <c r="D47" s="29" t="str">
        <f>IF(DATA!C44="","",DATA!C44)</f>
        <v/>
      </c>
      <c r="E47" s="31"/>
      <c r="F47" s="31"/>
      <c r="G47" s="31"/>
      <c r="H47" s="31"/>
      <c r="I47" s="31"/>
      <c r="J47" s="31"/>
      <c r="K47" s="31"/>
      <c r="L47" s="48" t="str">
        <f t="shared" si="10"/>
        <v/>
      </c>
      <c r="M47" s="48" t="str">
        <f t="shared" si="11"/>
        <v/>
      </c>
      <c r="N47" s="48" t="str">
        <f t="shared" si="12"/>
        <v/>
      </c>
      <c r="O47" s="48" t="str">
        <f t="shared" si="13"/>
        <v/>
      </c>
      <c r="P47" s="48" t="str">
        <f t="shared" si="14"/>
        <v/>
      </c>
      <c r="Q47" s="48" t="str">
        <f t="shared" si="15"/>
        <v/>
      </c>
      <c r="R47" s="48" t="str">
        <f t="shared" si="6"/>
        <v/>
      </c>
      <c r="S47" s="48" t="str">
        <f t="shared" si="7"/>
        <v/>
      </c>
      <c r="T47" s="48" t="str">
        <f t="shared" si="8"/>
        <v/>
      </c>
      <c r="U47" s="48" t="str">
        <f t="shared" si="9"/>
        <v/>
      </c>
      <c r="V47" s="22"/>
    </row>
    <row r="48" spans="1:22" s="3" customFormat="1" ht="17.399999999999999" x14ac:dyDescent="0.3">
      <c r="A48" s="4"/>
      <c r="B48" s="28">
        <v>41</v>
      </c>
      <c r="C48" s="677" t="str">
        <f>IF(DATA!E45="","",DATA!E45)</f>
        <v/>
      </c>
      <c r="D48" s="29" t="str">
        <f>IF(DATA!C45="","",DATA!C45)</f>
        <v/>
      </c>
      <c r="E48" s="31"/>
      <c r="F48" s="31"/>
      <c r="G48" s="31"/>
      <c r="H48" s="31"/>
      <c r="I48" s="31"/>
      <c r="J48" s="31"/>
      <c r="K48" s="31"/>
      <c r="L48" s="48" t="str">
        <f t="shared" si="10"/>
        <v/>
      </c>
      <c r="M48" s="48" t="str">
        <f t="shared" si="11"/>
        <v/>
      </c>
      <c r="N48" s="48" t="str">
        <f t="shared" si="12"/>
        <v/>
      </c>
      <c r="O48" s="48" t="str">
        <f t="shared" si="13"/>
        <v/>
      </c>
      <c r="P48" s="48" t="str">
        <f t="shared" si="14"/>
        <v/>
      </c>
      <c r="Q48" s="48" t="str">
        <f t="shared" si="15"/>
        <v/>
      </c>
      <c r="R48" s="48" t="str">
        <f t="shared" si="6"/>
        <v/>
      </c>
      <c r="S48" s="48" t="str">
        <f t="shared" si="7"/>
        <v/>
      </c>
      <c r="T48" s="48" t="str">
        <f t="shared" si="8"/>
        <v/>
      </c>
      <c r="U48" s="48" t="str">
        <f t="shared" si="9"/>
        <v/>
      </c>
      <c r="V48" s="22"/>
    </row>
    <row r="49" spans="1:22" s="3" customFormat="1" ht="17.399999999999999" x14ac:dyDescent="0.3">
      <c r="A49" s="4"/>
      <c r="B49" s="28">
        <v>42</v>
      </c>
      <c r="C49" s="677" t="str">
        <f>IF(DATA!E46="","",DATA!E46)</f>
        <v/>
      </c>
      <c r="D49" s="29" t="str">
        <f>IF(DATA!C46="","",DATA!C46)</f>
        <v/>
      </c>
      <c r="E49" s="31"/>
      <c r="F49" s="31"/>
      <c r="G49" s="31"/>
      <c r="H49" s="31"/>
      <c r="I49" s="31"/>
      <c r="J49" s="31"/>
      <c r="K49" s="31"/>
      <c r="L49" s="48" t="str">
        <f t="shared" si="10"/>
        <v/>
      </c>
      <c r="M49" s="48" t="str">
        <f t="shared" si="11"/>
        <v/>
      </c>
      <c r="N49" s="48" t="str">
        <f t="shared" si="12"/>
        <v/>
      </c>
      <c r="O49" s="48" t="str">
        <f t="shared" si="13"/>
        <v/>
      </c>
      <c r="P49" s="48" t="str">
        <f t="shared" si="14"/>
        <v/>
      </c>
      <c r="Q49" s="48" t="str">
        <f t="shared" si="15"/>
        <v/>
      </c>
      <c r="R49" s="48" t="str">
        <f t="shared" si="6"/>
        <v/>
      </c>
      <c r="S49" s="48" t="str">
        <f t="shared" si="7"/>
        <v/>
      </c>
      <c r="T49" s="48" t="str">
        <f t="shared" si="8"/>
        <v/>
      </c>
      <c r="U49" s="48" t="str">
        <f t="shared" si="9"/>
        <v/>
      </c>
      <c r="V49" s="22"/>
    </row>
    <row r="50" spans="1:22" s="3" customFormat="1" ht="17.399999999999999" x14ac:dyDescent="0.3">
      <c r="A50" s="4"/>
      <c r="B50" s="28">
        <v>43</v>
      </c>
      <c r="C50" s="677" t="str">
        <f>IF(DATA!E47="","",DATA!E47)</f>
        <v/>
      </c>
      <c r="D50" s="29" t="str">
        <f>IF(DATA!C47="","",DATA!C47)</f>
        <v/>
      </c>
      <c r="E50" s="31"/>
      <c r="F50" s="31"/>
      <c r="G50" s="31"/>
      <c r="H50" s="31"/>
      <c r="I50" s="31"/>
      <c r="J50" s="31"/>
      <c r="K50" s="31"/>
      <c r="L50" s="48" t="str">
        <f t="shared" si="10"/>
        <v/>
      </c>
      <c r="M50" s="48" t="str">
        <f t="shared" si="11"/>
        <v/>
      </c>
      <c r="N50" s="48" t="str">
        <f t="shared" si="12"/>
        <v/>
      </c>
      <c r="O50" s="48" t="str">
        <f t="shared" si="13"/>
        <v/>
      </c>
      <c r="P50" s="48" t="str">
        <f t="shared" si="14"/>
        <v/>
      </c>
      <c r="Q50" s="48" t="str">
        <f t="shared" si="15"/>
        <v/>
      </c>
      <c r="R50" s="48" t="str">
        <f t="shared" si="6"/>
        <v/>
      </c>
      <c r="S50" s="48" t="str">
        <f t="shared" si="7"/>
        <v/>
      </c>
      <c r="T50" s="48" t="str">
        <f t="shared" si="8"/>
        <v/>
      </c>
      <c r="U50" s="48" t="str">
        <f t="shared" si="9"/>
        <v/>
      </c>
      <c r="V50" s="22"/>
    </row>
    <row r="51" spans="1:22" s="3" customFormat="1" ht="17.399999999999999" x14ac:dyDescent="0.3">
      <c r="A51" s="4"/>
      <c r="B51" s="28">
        <v>44</v>
      </c>
      <c r="C51" s="677" t="str">
        <f>IF(DATA!E48="","",DATA!E48)</f>
        <v/>
      </c>
      <c r="D51" s="29" t="str">
        <f>IF(DATA!C48="","",DATA!C48)</f>
        <v/>
      </c>
      <c r="E51" s="31"/>
      <c r="F51" s="31"/>
      <c r="G51" s="31"/>
      <c r="H51" s="31"/>
      <c r="I51" s="31"/>
      <c r="J51" s="31"/>
      <c r="K51" s="31"/>
      <c r="L51" s="48" t="str">
        <f t="shared" si="10"/>
        <v/>
      </c>
      <c r="M51" s="48" t="str">
        <f t="shared" si="11"/>
        <v/>
      </c>
      <c r="N51" s="48" t="str">
        <f t="shared" si="12"/>
        <v/>
      </c>
      <c r="O51" s="48" t="str">
        <f t="shared" si="13"/>
        <v/>
      </c>
      <c r="P51" s="48" t="str">
        <f t="shared" si="14"/>
        <v/>
      </c>
      <c r="Q51" s="48" t="str">
        <f t="shared" si="15"/>
        <v/>
      </c>
      <c r="R51" s="48" t="str">
        <f t="shared" si="6"/>
        <v/>
      </c>
      <c r="S51" s="48" t="str">
        <f t="shared" si="7"/>
        <v/>
      </c>
      <c r="T51" s="48" t="str">
        <f t="shared" si="8"/>
        <v/>
      </c>
      <c r="U51" s="48" t="str">
        <f t="shared" si="9"/>
        <v/>
      </c>
      <c r="V51" s="22"/>
    </row>
    <row r="52" spans="1:22" s="3" customFormat="1" ht="18" thickBot="1" x14ac:dyDescent="0.35">
      <c r="A52" s="4"/>
      <c r="B52" s="32">
        <v>45</v>
      </c>
      <c r="C52" s="726" t="str">
        <f>IF(DATA!E49="","",DATA!E49)</f>
        <v/>
      </c>
      <c r="D52" s="41" t="str">
        <f>IF(DATA!C49="","",DATA!C49)</f>
        <v/>
      </c>
      <c r="E52" s="33"/>
      <c r="F52" s="33"/>
      <c r="G52" s="33"/>
      <c r="H52" s="33"/>
      <c r="I52" s="33"/>
      <c r="J52" s="33"/>
      <c r="K52" s="33"/>
      <c r="L52" s="48" t="str">
        <f t="shared" si="10"/>
        <v/>
      </c>
      <c r="M52" s="48" t="str">
        <f t="shared" si="11"/>
        <v/>
      </c>
      <c r="N52" s="48" t="str">
        <f t="shared" si="12"/>
        <v/>
      </c>
      <c r="O52" s="48" t="str">
        <f t="shared" si="13"/>
        <v/>
      </c>
      <c r="P52" s="48" t="str">
        <f t="shared" si="14"/>
        <v/>
      </c>
      <c r="Q52" s="48" t="str">
        <f t="shared" si="15"/>
        <v/>
      </c>
      <c r="R52" s="48" t="str">
        <f t="shared" si="6"/>
        <v/>
      </c>
      <c r="S52" s="48" t="str">
        <f t="shared" si="7"/>
        <v/>
      </c>
      <c r="T52" s="48" t="str">
        <f t="shared" si="8"/>
        <v/>
      </c>
      <c r="U52" s="48" t="str">
        <f t="shared" si="9"/>
        <v/>
      </c>
      <c r="V52" s="22"/>
    </row>
    <row r="53" spans="1:22" s="3" customFormat="1" ht="50.4" customHeight="1" thickBot="1" x14ac:dyDescent="0.35">
      <c r="A53" s="4"/>
      <c r="B53" s="848" t="s">
        <v>267</v>
      </c>
      <c r="C53" s="849"/>
      <c r="D53" s="849"/>
      <c r="E53" s="864"/>
      <c r="F53" s="865"/>
      <c r="G53" s="865"/>
      <c r="H53" s="865"/>
      <c r="I53" s="865"/>
      <c r="J53" s="865"/>
      <c r="K53" s="865"/>
      <c r="L53" s="865"/>
      <c r="M53" s="865"/>
      <c r="N53" s="865"/>
      <c r="O53" s="865"/>
      <c r="P53" s="865"/>
      <c r="Q53" s="865"/>
      <c r="R53" s="865"/>
      <c r="S53" s="865"/>
      <c r="T53" s="865"/>
      <c r="U53" s="865"/>
      <c r="V53" s="661"/>
    </row>
    <row r="54" spans="1:22" s="3" customFormat="1" ht="14.4" x14ac:dyDescent="0.3">
      <c r="A54" s="4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</row>
    <row r="55" spans="1:22" ht="14.4" hidden="1" x14ac:dyDescent="0.3"/>
  </sheetData>
  <sheetProtection algorithmName="SHA-512" hashValue="PpYQkr2YJtNFgjprzsMI6+0JkDH3E4Y8iEhbjwmALLz2cR/9x7xWwUfuR8gBYK6pw2AxTON2LJSYK23TvQ3hOQ==" saltValue="Adb1HpRB/XMfAm9XFqU7mg==" spinCount="100000" sheet="1" objects="1" scenarios="1" selectLockedCells="1"/>
  <mergeCells count="11">
    <mergeCell ref="B53:D53"/>
    <mergeCell ref="E53:U53"/>
    <mergeCell ref="B2:T2"/>
    <mergeCell ref="B3:T3"/>
    <mergeCell ref="B7:D7"/>
    <mergeCell ref="M5:N5"/>
    <mergeCell ref="P5:Q5"/>
    <mergeCell ref="R5:S5"/>
    <mergeCell ref="I4:K4"/>
    <mergeCell ref="G5:H5"/>
    <mergeCell ref="J5:K5"/>
  </mergeCells>
  <dataValidations count="1">
    <dataValidation type="list" allowBlank="1" showInputMessage="1" showErrorMessage="1" sqref="E8:E53">
      <formula1>"MATHEMATICS (041), BIOLOGY (044)"</formula1>
    </dataValidation>
  </dataValidations>
  <hyperlinks>
    <hyperlink ref="A1" location="DASHBOARD!A1" display="D"/>
  </hyperlinks>
  <pageMargins left="0.37" right="0.18" top="0.26" bottom="0.14000000000000001" header="0.2" footer="0.17"/>
  <pageSetup paperSize="9" scale="54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M53"/>
  <sheetViews>
    <sheetView zoomScale="98" zoomScaleNormal="98" workbookViewId="0">
      <selection activeCell="E10" sqref="E10:H14"/>
    </sheetView>
  </sheetViews>
  <sheetFormatPr defaultColWidth="0" defaultRowHeight="0" customHeight="1" zeroHeight="1" x14ac:dyDescent="0.3"/>
  <cols>
    <col min="1" max="1" width="4.109375" style="3" customWidth="1"/>
    <col min="2" max="2" width="6.44140625" style="34" bestFit="1" customWidth="1"/>
    <col min="3" max="3" width="53" style="34" customWidth="1"/>
    <col min="4" max="4" width="23" style="34" customWidth="1"/>
    <col min="5" max="8" width="19.5546875" style="35" customWidth="1"/>
    <col min="9" max="9" width="3.88671875" style="2" customWidth="1"/>
    <col min="10" max="13" width="0" style="1" hidden="1" customWidth="1"/>
    <col min="14" max="16384" width="9.109375" style="1" hidden="1"/>
  </cols>
  <sheetData>
    <row r="1" spans="1:9" s="3" customFormat="1" ht="19.5" customHeight="1" x14ac:dyDescent="0.3">
      <c r="A1" s="5" t="s">
        <v>20</v>
      </c>
      <c r="B1" s="22"/>
      <c r="C1" s="22"/>
      <c r="D1" s="22"/>
      <c r="E1" s="22"/>
      <c r="F1" s="22"/>
      <c r="G1" s="22"/>
      <c r="H1" s="22"/>
      <c r="I1" s="4"/>
    </row>
    <row r="2" spans="1:9" s="3" customFormat="1" ht="20.399999999999999" x14ac:dyDescent="0.3">
      <c r="A2" s="4"/>
      <c r="B2" s="869" t="str">
        <f>DASHBOARD!B2&amp;DASHBOARD!B3</f>
        <v xml:space="preserve">SWAMI VIVEKANAND GOVT. MODEL SCHOOL,  AMET, BLOCK-AMET, RAJSAMAND                                                                </v>
      </c>
      <c r="C2" s="869"/>
      <c r="D2" s="869"/>
      <c r="E2" s="869"/>
      <c r="F2" s="869"/>
      <c r="G2" s="869"/>
      <c r="H2" s="869"/>
      <c r="I2" s="4"/>
    </row>
    <row r="3" spans="1:9" s="3" customFormat="1" ht="27.6" x14ac:dyDescent="0.3">
      <c r="A3" s="4"/>
      <c r="B3" s="821" t="str">
        <f>IF(DASHBOARD!B4="","",DASHBOARD!B4)</f>
        <v>SESSION    -  2025-26</v>
      </c>
      <c r="C3" s="821"/>
      <c r="D3" s="821"/>
      <c r="E3" s="821"/>
      <c r="F3" s="821"/>
      <c r="G3" s="821"/>
      <c r="H3" s="821"/>
      <c r="I3" s="4"/>
    </row>
    <row r="4" spans="1:9" s="13" customFormat="1" ht="27.75" customHeight="1" x14ac:dyDescent="0.45">
      <c r="A4" s="12"/>
      <c r="B4" s="23"/>
      <c r="C4" s="24" t="s">
        <v>63</v>
      </c>
      <c r="D4" s="23" t="str">
        <f>DASHBOARD!B8&amp;DASHBOARD!C8</f>
        <v>XI A</v>
      </c>
      <c r="E4" s="23"/>
      <c r="F4" s="870" t="s">
        <v>66</v>
      </c>
      <c r="G4" s="870"/>
      <c r="H4" s="870"/>
      <c r="I4" s="12"/>
    </row>
    <row r="5" spans="1:9" s="3" customFormat="1" ht="31.8" thickBot="1" x14ac:dyDescent="0.35">
      <c r="A5" s="4"/>
      <c r="B5" s="680" t="s">
        <v>65</v>
      </c>
      <c r="C5" s="681" t="s">
        <v>64</v>
      </c>
      <c r="D5" s="681" t="s">
        <v>3</v>
      </c>
      <c r="E5" s="682" t="s">
        <v>69</v>
      </c>
      <c r="F5" s="682" t="s">
        <v>124</v>
      </c>
      <c r="G5" s="682" t="s">
        <v>71</v>
      </c>
      <c r="H5" s="682" t="s">
        <v>70</v>
      </c>
      <c r="I5" s="4"/>
    </row>
    <row r="6" spans="1:9" s="3" customFormat="1" ht="21" thickBot="1" x14ac:dyDescent="0.35">
      <c r="A6" s="4"/>
      <c r="B6" s="852" t="s">
        <v>19</v>
      </c>
      <c r="C6" s="853"/>
      <c r="D6" s="853"/>
      <c r="E6" s="728" t="s">
        <v>0</v>
      </c>
      <c r="F6" s="728" t="s">
        <v>0</v>
      </c>
      <c r="G6" s="728" t="s">
        <v>0</v>
      </c>
      <c r="H6" s="714" t="s">
        <v>0</v>
      </c>
      <c r="I6" s="4"/>
    </row>
    <row r="7" spans="1:9" s="3" customFormat="1" ht="24.6" customHeight="1" x14ac:dyDescent="0.3">
      <c r="A7" s="4"/>
      <c r="B7" s="671">
        <v>1</v>
      </c>
      <c r="C7" s="676" t="str">
        <f>IF(DATA!E5="","",DATA!E5)</f>
        <v>Devendra Sharma</v>
      </c>
      <c r="D7" s="672">
        <f>IF(DATA!C5="","",DATA!C5)</f>
        <v>1101</v>
      </c>
      <c r="E7" s="727" t="s">
        <v>0</v>
      </c>
      <c r="F7" s="727" t="s">
        <v>0</v>
      </c>
      <c r="G7" s="727" t="s">
        <v>312</v>
      </c>
      <c r="H7" s="727" t="s">
        <v>0</v>
      </c>
      <c r="I7" s="4"/>
    </row>
    <row r="8" spans="1:9" s="3" customFormat="1" ht="24.6" customHeight="1" x14ac:dyDescent="0.3">
      <c r="A8" s="4"/>
      <c r="B8" s="28">
        <v>2</v>
      </c>
      <c r="C8" s="677" t="str">
        <f>IF(DATA!E6="","",DATA!E6)</f>
        <v>DHARA SALVI</v>
      </c>
      <c r="D8" s="29">
        <f>IF(DATA!C6="","",DATA!C6)</f>
        <v>1102</v>
      </c>
      <c r="E8" s="379" t="s">
        <v>0</v>
      </c>
      <c r="F8" s="379" t="s">
        <v>244</v>
      </c>
      <c r="G8" s="379" t="s">
        <v>244</v>
      </c>
      <c r="H8" s="379" t="s">
        <v>0</v>
      </c>
      <c r="I8" s="4"/>
    </row>
    <row r="9" spans="1:9" s="3" customFormat="1" ht="24.6" customHeight="1" x14ac:dyDescent="0.3">
      <c r="A9" s="4"/>
      <c r="B9" s="28">
        <v>3</v>
      </c>
      <c r="C9" s="677" t="str">
        <f>IF(DATA!E7="","",DATA!E7)</f>
        <v>HARSHIKA RAO</v>
      </c>
      <c r="D9" s="29">
        <f>IF(DATA!C7="","",DATA!C7)</f>
        <v>1103</v>
      </c>
      <c r="E9" s="379" t="s">
        <v>0</v>
      </c>
      <c r="F9" s="379" t="s">
        <v>0</v>
      </c>
      <c r="G9" s="379" t="s">
        <v>0</v>
      </c>
      <c r="H9" s="379" t="s">
        <v>0</v>
      </c>
      <c r="I9" s="4"/>
    </row>
    <row r="10" spans="1:9" s="3" customFormat="1" ht="24.6" customHeight="1" x14ac:dyDescent="0.3">
      <c r="A10" s="4"/>
      <c r="B10" s="28">
        <v>4</v>
      </c>
      <c r="C10" s="677" t="str">
        <f>IF(DATA!E8="","",DATA!E8)</f>
        <v/>
      </c>
      <c r="D10" s="29" t="str">
        <f>IF(DATA!C8="","",DATA!C8)</f>
        <v/>
      </c>
      <c r="E10" s="379"/>
      <c r="F10" s="379"/>
      <c r="G10" s="379"/>
      <c r="H10" s="379"/>
      <c r="I10" s="4"/>
    </row>
    <row r="11" spans="1:9" s="3" customFormat="1" ht="24.6" customHeight="1" x14ac:dyDescent="0.3">
      <c r="A11" s="4"/>
      <c r="B11" s="28">
        <v>5</v>
      </c>
      <c r="C11" s="677" t="str">
        <f>IF(DATA!E9="","",DATA!E9)</f>
        <v/>
      </c>
      <c r="D11" s="29" t="str">
        <f>IF(DATA!C9="","",DATA!C9)</f>
        <v/>
      </c>
      <c r="E11" s="379"/>
      <c r="F11" s="379"/>
      <c r="G11" s="379"/>
      <c r="H11" s="379"/>
      <c r="I11" s="4"/>
    </row>
    <row r="12" spans="1:9" s="3" customFormat="1" ht="24.6" customHeight="1" x14ac:dyDescent="0.3">
      <c r="A12" s="4"/>
      <c r="B12" s="28">
        <v>6</v>
      </c>
      <c r="C12" s="677" t="str">
        <f>IF(DATA!E10="","",DATA!E10)</f>
        <v/>
      </c>
      <c r="D12" s="29" t="str">
        <f>IF(DATA!C10="","",DATA!C10)</f>
        <v/>
      </c>
      <c r="E12" s="379"/>
      <c r="F12" s="379"/>
      <c r="G12" s="379"/>
      <c r="H12" s="379"/>
      <c r="I12" s="4"/>
    </row>
    <row r="13" spans="1:9" s="3" customFormat="1" ht="24.6" customHeight="1" x14ac:dyDescent="0.3">
      <c r="A13" s="4"/>
      <c r="B13" s="28">
        <v>7</v>
      </c>
      <c r="C13" s="677" t="str">
        <f>IF(DATA!E11="","",DATA!E11)</f>
        <v/>
      </c>
      <c r="D13" s="29" t="str">
        <f>IF(DATA!C11="","",DATA!C11)</f>
        <v/>
      </c>
      <c r="E13" s="379"/>
      <c r="F13" s="379"/>
      <c r="G13" s="379"/>
      <c r="H13" s="379"/>
      <c r="I13" s="4"/>
    </row>
    <row r="14" spans="1:9" s="3" customFormat="1" ht="24.6" customHeight="1" x14ac:dyDescent="0.3">
      <c r="A14" s="4"/>
      <c r="B14" s="28">
        <v>8</v>
      </c>
      <c r="C14" s="677" t="str">
        <f>IF(DATA!E12="","",DATA!E12)</f>
        <v/>
      </c>
      <c r="D14" s="29" t="str">
        <f>IF(DATA!C12="","",DATA!C12)</f>
        <v/>
      </c>
      <c r="E14" s="379"/>
      <c r="F14" s="379"/>
      <c r="G14" s="379"/>
      <c r="H14" s="379"/>
      <c r="I14" s="4"/>
    </row>
    <row r="15" spans="1:9" s="3" customFormat="1" ht="24.6" customHeight="1" x14ac:dyDescent="0.3">
      <c r="A15" s="4"/>
      <c r="B15" s="28">
        <v>9</v>
      </c>
      <c r="C15" s="677" t="str">
        <f>IF(DATA!E13="","",DATA!E13)</f>
        <v/>
      </c>
      <c r="D15" s="29" t="str">
        <f>IF(DATA!C13="","",DATA!C13)</f>
        <v/>
      </c>
      <c r="E15" s="379"/>
      <c r="F15" s="379"/>
      <c r="G15" s="379"/>
      <c r="H15" s="379"/>
      <c r="I15" s="4"/>
    </row>
    <row r="16" spans="1:9" s="3" customFormat="1" ht="24.6" customHeight="1" x14ac:dyDescent="0.3">
      <c r="A16" s="4"/>
      <c r="B16" s="28">
        <v>10</v>
      </c>
      <c r="C16" s="677" t="str">
        <f>IF(DATA!E14="","",DATA!E14)</f>
        <v/>
      </c>
      <c r="D16" s="29" t="str">
        <f>IF(DATA!C14="","",DATA!C14)</f>
        <v/>
      </c>
      <c r="E16" s="379"/>
      <c r="F16" s="379"/>
      <c r="G16" s="379"/>
      <c r="H16" s="379"/>
      <c r="I16" s="4"/>
    </row>
    <row r="17" spans="1:9" s="3" customFormat="1" ht="24.6" customHeight="1" x14ac:dyDescent="0.3">
      <c r="A17" s="4"/>
      <c r="B17" s="28">
        <v>11</v>
      </c>
      <c r="C17" s="677" t="str">
        <f>IF(DATA!E15="","",DATA!E15)</f>
        <v/>
      </c>
      <c r="D17" s="29" t="str">
        <f>IF(DATA!C15="","",DATA!C15)</f>
        <v/>
      </c>
      <c r="E17" s="379"/>
      <c r="F17" s="379"/>
      <c r="G17" s="379"/>
      <c r="H17" s="379"/>
      <c r="I17" s="4"/>
    </row>
    <row r="18" spans="1:9" s="3" customFormat="1" ht="24.6" customHeight="1" x14ac:dyDescent="0.3">
      <c r="A18" s="4"/>
      <c r="B18" s="28">
        <v>12</v>
      </c>
      <c r="C18" s="677" t="str">
        <f>IF(DATA!E16="","",DATA!E16)</f>
        <v/>
      </c>
      <c r="D18" s="29" t="str">
        <f>IF(DATA!C16="","",DATA!C16)</f>
        <v/>
      </c>
      <c r="E18" s="379"/>
      <c r="F18" s="379"/>
      <c r="G18" s="379"/>
      <c r="H18" s="379"/>
      <c r="I18" s="4"/>
    </row>
    <row r="19" spans="1:9" s="3" customFormat="1" ht="24.6" customHeight="1" x14ac:dyDescent="0.3">
      <c r="A19" s="4"/>
      <c r="B19" s="28">
        <v>13</v>
      </c>
      <c r="C19" s="677" t="str">
        <f>IF(DATA!E17="","",DATA!E17)</f>
        <v/>
      </c>
      <c r="D19" s="29" t="str">
        <f>IF(DATA!C17="","",DATA!C17)</f>
        <v/>
      </c>
      <c r="E19" s="379"/>
      <c r="F19" s="379"/>
      <c r="G19" s="379"/>
      <c r="H19" s="379"/>
      <c r="I19" s="4"/>
    </row>
    <row r="20" spans="1:9" s="3" customFormat="1" ht="24.6" customHeight="1" x14ac:dyDescent="0.3">
      <c r="A20" s="4"/>
      <c r="B20" s="28">
        <v>14</v>
      </c>
      <c r="C20" s="677" t="str">
        <f>IF(DATA!E18="","",DATA!E18)</f>
        <v/>
      </c>
      <c r="D20" s="29" t="str">
        <f>IF(DATA!C18="","",DATA!C18)</f>
        <v/>
      </c>
      <c r="E20" s="379"/>
      <c r="F20" s="379"/>
      <c r="G20" s="379"/>
      <c r="H20" s="379"/>
      <c r="I20" s="4"/>
    </row>
    <row r="21" spans="1:9" s="3" customFormat="1" ht="24.6" customHeight="1" x14ac:dyDescent="0.3">
      <c r="A21" s="4"/>
      <c r="B21" s="28">
        <v>15</v>
      </c>
      <c r="C21" s="677" t="str">
        <f>IF(DATA!E19="","",DATA!E19)</f>
        <v/>
      </c>
      <c r="D21" s="29" t="str">
        <f>IF(DATA!C19="","",DATA!C19)</f>
        <v/>
      </c>
      <c r="E21" s="379"/>
      <c r="F21" s="379"/>
      <c r="G21" s="379"/>
      <c r="H21" s="379"/>
      <c r="I21" s="4"/>
    </row>
    <row r="22" spans="1:9" s="3" customFormat="1" ht="24.6" customHeight="1" x14ac:dyDescent="0.3">
      <c r="A22" s="4"/>
      <c r="B22" s="28">
        <v>16</v>
      </c>
      <c r="C22" s="677" t="str">
        <f>IF(DATA!E20="","",DATA!E20)</f>
        <v/>
      </c>
      <c r="D22" s="29" t="str">
        <f>IF(DATA!C20="","",DATA!C20)</f>
        <v/>
      </c>
      <c r="E22" s="379"/>
      <c r="F22" s="379"/>
      <c r="G22" s="379"/>
      <c r="H22" s="379"/>
      <c r="I22" s="4"/>
    </row>
    <row r="23" spans="1:9" s="3" customFormat="1" ht="24.6" customHeight="1" x14ac:dyDescent="0.3">
      <c r="A23" s="4"/>
      <c r="B23" s="28">
        <v>17</v>
      </c>
      <c r="C23" s="677" t="str">
        <f>IF(DATA!E21="","",DATA!E21)</f>
        <v/>
      </c>
      <c r="D23" s="29" t="str">
        <f>IF(DATA!C21="","",DATA!C21)</f>
        <v/>
      </c>
      <c r="E23" s="379"/>
      <c r="F23" s="379"/>
      <c r="G23" s="379"/>
      <c r="H23" s="379"/>
      <c r="I23" s="4"/>
    </row>
    <row r="24" spans="1:9" s="3" customFormat="1" ht="24.6" customHeight="1" x14ac:dyDescent="0.3">
      <c r="A24" s="4"/>
      <c r="B24" s="28">
        <v>18</v>
      </c>
      <c r="C24" s="677" t="str">
        <f>IF(DATA!E22="","",DATA!E22)</f>
        <v/>
      </c>
      <c r="D24" s="29" t="str">
        <f>IF(DATA!C22="","",DATA!C22)</f>
        <v/>
      </c>
      <c r="E24" s="379"/>
      <c r="F24" s="379"/>
      <c r="G24" s="379"/>
      <c r="H24" s="379"/>
      <c r="I24" s="4"/>
    </row>
    <row r="25" spans="1:9" s="3" customFormat="1" ht="24.6" customHeight="1" x14ac:dyDescent="0.3">
      <c r="A25" s="4"/>
      <c r="B25" s="28">
        <v>19</v>
      </c>
      <c r="C25" s="677" t="str">
        <f>IF(DATA!E23="","",DATA!E23)</f>
        <v/>
      </c>
      <c r="D25" s="29" t="str">
        <f>IF(DATA!C23="","",DATA!C23)</f>
        <v/>
      </c>
      <c r="E25" s="379"/>
      <c r="F25" s="379"/>
      <c r="G25" s="379"/>
      <c r="H25" s="379"/>
      <c r="I25" s="4"/>
    </row>
    <row r="26" spans="1:9" s="3" customFormat="1" ht="24.6" customHeight="1" x14ac:dyDescent="0.3">
      <c r="A26" s="4"/>
      <c r="B26" s="28">
        <v>20</v>
      </c>
      <c r="C26" s="677" t="str">
        <f>IF(DATA!E24="","",DATA!E24)</f>
        <v/>
      </c>
      <c r="D26" s="29" t="str">
        <f>IF(DATA!C24="","",DATA!C24)</f>
        <v/>
      </c>
      <c r="E26" s="379"/>
      <c r="F26" s="379"/>
      <c r="G26" s="379"/>
      <c r="H26" s="379"/>
      <c r="I26" s="4"/>
    </row>
    <row r="27" spans="1:9" s="3" customFormat="1" ht="24.6" customHeight="1" x14ac:dyDescent="0.3">
      <c r="A27" s="4"/>
      <c r="B27" s="28">
        <v>21</v>
      </c>
      <c r="C27" s="677" t="str">
        <f>IF(DATA!E25="","",DATA!E25)</f>
        <v/>
      </c>
      <c r="D27" s="29" t="str">
        <f>IF(DATA!C25="","",DATA!C25)</f>
        <v/>
      </c>
      <c r="E27" s="379"/>
      <c r="F27" s="379"/>
      <c r="G27" s="379"/>
      <c r="H27" s="379"/>
      <c r="I27" s="4"/>
    </row>
    <row r="28" spans="1:9" s="3" customFormat="1" ht="24.6" customHeight="1" x14ac:dyDescent="0.3">
      <c r="A28" s="4"/>
      <c r="B28" s="28">
        <v>22</v>
      </c>
      <c r="C28" s="677" t="str">
        <f>IF(DATA!E26="","",DATA!E26)</f>
        <v/>
      </c>
      <c r="D28" s="29" t="str">
        <f>IF(DATA!C26="","",DATA!C26)</f>
        <v/>
      </c>
      <c r="E28" s="379"/>
      <c r="F28" s="379"/>
      <c r="G28" s="379"/>
      <c r="H28" s="379"/>
      <c r="I28" s="4"/>
    </row>
    <row r="29" spans="1:9" s="3" customFormat="1" ht="24.6" customHeight="1" x14ac:dyDescent="0.3">
      <c r="A29" s="4"/>
      <c r="B29" s="28">
        <v>23</v>
      </c>
      <c r="C29" s="677" t="str">
        <f>IF(DATA!E27="","",DATA!E27)</f>
        <v/>
      </c>
      <c r="D29" s="29" t="str">
        <f>IF(DATA!C27="","",DATA!C27)</f>
        <v/>
      </c>
      <c r="E29" s="379"/>
      <c r="F29" s="379"/>
      <c r="G29" s="379"/>
      <c r="H29" s="379"/>
      <c r="I29" s="4"/>
    </row>
    <row r="30" spans="1:9" s="3" customFormat="1" ht="24.6" customHeight="1" x14ac:dyDescent="0.3">
      <c r="A30" s="4"/>
      <c r="B30" s="28">
        <v>24</v>
      </c>
      <c r="C30" s="677" t="str">
        <f>IF(DATA!E28="","",DATA!E28)</f>
        <v/>
      </c>
      <c r="D30" s="29" t="str">
        <f>IF(DATA!C28="","",DATA!C28)</f>
        <v/>
      </c>
      <c r="E30" s="379"/>
      <c r="F30" s="379"/>
      <c r="G30" s="379"/>
      <c r="H30" s="379"/>
      <c r="I30" s="4"/>
    </row>
    <row r="31" spans="1:9" s="3" customFormat="1" ht="24.6" customHeight="1" x14ac:dyDescent="0.3">
      <c r="A31" s="4"/>
      <c r="B31" s="28">
        <v>25</v>
      </c>
      <c r="C31" s="677" t="str">
        <f>IF(DATA!E29="","",DATA!E29)</f>
        <v/>
      </c>
      <c r="D31" s="29" t="str">
        <f>IF(DATA!C29="","",DATA!C29)</f>
        <v/>
      </c>
      <c r="E31" s="31"/>
      <c r="F31" s="31"/>
      <c r="G31" s="31"/>
      <c r="H31" s="31"/>
      <c r="I31" s="4"/>
    </row>
    <row r="32" spans="1:9" s="3" customFormat="1" ht="24.6" customHeight="1" x14ac:dyDescent="0.3">
      <c r="A32" s="4"/>
      <c r="B32" s="28">
        <v>26</v>
      </c>
      <c r="C32" s="677" t="str">
        <f>IF(DATA!E30="","",DATA!E30)</f>
        <v/>
      </c>
      <c r="D32" s="29" t="str">
        <f>IF(DATA!C30="","",DATA!C30)</f>
        <v/>
      </c>
      <c r="E32" s="31"/>
      <c r="F32" s="31"/>
      <c r="G32" s="31"/>
      <c r="H32" s="31"/>
      <c r="I32" s="4"/>
    </row>
    <row r="33" spans="1:9" s="3" customFormat="1" ht="24.6" customHeight="1" x14ac:dyDescent="0.3">
      <c r="A33" s="4"/>
      <c r="B33" s="28">
        <v>27</v>
      </c>
      <c r="C33" s="677" t="str">
        <f>IF(DATA!E31="","",DATA!E31)</f>
        <v/>
      </c>
      <c r="D33" s="29" t="str">
        <f>IF(DATA!C31="","",DATA!C31)</f>
        <v/>
      </c>
      <c r="E33" s="31"/>
      <c r="F33" s="31"/>
      <c r="G33" s="31"/>
      <c r="H33" s="31"/>
      <c r="I33" s="4"/>
    </row>
    <row r="34" spans="1:9" s="3" customFormat="1" ht="24.6" customHeight="1" x14ac:dyDescent="0.3">
      <c r="A34" s="4"/>
      <c r="B34" s="28">
        <v>28</v>
      </c>
      <c r="C34" s="677" t="str">
        <f>IF(DATA!E32="","",DATA!E32)</f>
        <v/>
      </c>
      <c r="D34" s="29" t="str">
        <f>IF(DATA!C32="","",DATA!C32)</f>
        <v/>
      </c>
      <c r="E34" s="31"/>
      <c r="F34" s="31"/>
      <c r="G34" s="31"/>
      <c r="H34" s="31"/>
      <c r="I34" s="4"/>
    </row>
    <row r="35" spans="1:9" s="3" customFormat="1" ht="24.6" customHeight="1" x14ac:dyDescent="0.3">
      <c r="A35" s="4"/>
      <c r="B35" s="28">
        <v>29</v>
      </c>
      <c r="C35" s="677" t="str">
        <f>IF(DATA!E33="","",DATA!E33)</f>
        <v/>
      </c>
      <c r="D35" s="29" t="str">
        <f>IF(DATA!C33="","",DATA!C33)</f>
        <v/>
      </c>
      <c r="E35" s="31"/>
      <c r="F35" s="31"/>
      <c r="G35" s="31"/>
      <c r="H35" s="31"/>
      <c r="I35" s="4"/>
    </row>
    <row r="36" spans="1:9" s="3" customFormat="1" ht="24.6" customHeight="1" x14ac:dyDescent="0.3">
      <c r="A36" s="4"/>
      <c r="B36" s="28">
        <v>30</v>
      </c>
      <c r="C36" s="677" t="str">
        <f>IF(DATA!E34="","",DATA!E34)</f>
        <v/>
      </c>
      <c r="D36" s="29" t="str">
        <f>IF(DATA!C34="","",DATA!C34)</f>
        <v/>
      </c>
      <c r="E36" s="31"/>
      <c r="F36" s="31"/>
      <c r="G36" s="31"/>
      <c r="H36" s="31"/>
      <c r="I36" s="4"/>
    </row>
    <row r="37" spans="1:9" s="3" customFormat="1" ht="24.6" customHeight="1" x14ac:dyDescent="0.3">
      <c r="A37" s="4"/>
      <c r="B37" s="28">
        <v>31</v>
      </c>
      <c r="C37" s="677" t="str">
        <f>IF(DATA!E35="","",DATA!E35)</f>
        <v/>
      </c>
      <c r="D37" s="29" t="str">
        <f>IF(DATA!C35="","",DATA!C35)</f>
        <v/>
      </c>
      <c r="E37" s="31"/>
      <c r="F37" s="31"/>
      <c r="G37" s="31"/>
      <c r="H37" s="31"/>
      <c r="I37" s="4"/>
    </row>
    <row r="38" spans="1:9" s="3" customFormat="1" ht="24.6" customHeight="1" x14ac:dyDescent="0.3">
      <c r="A38" s="4"/>
      <c r="B38" s="28">
        <v>32</v>
      </c>
      <c r="C38" s="677" t="str">
        <f>IF(DATA!E36="","",DATA!E36)</f>
        <v/>
      </c>
      <c r="D38" s="29" t="str">
        <f>IF(DATA!C36="","",DATA!C36)</f>
        <v/>
      </c>
      <c r="E38" s="31"/>
      <c r="F38" s="31"/>
      <c r="G38" s="31"/>
      <c r="H38" s="31"/>
      <c r="I38" s="4"/>
    </row>
    <row r="39" spans="1:9" s="3" customFormat="1" ht="24.6" customHeight="1" x14ac:dyDescent="0.3">
      <c r="A39" s="4"/>
      <c r="B39" s="28">
        <v>33</v>
      </c>
      <c r="C39" s="677" t="str">
        <f>IF(DATA!E37="","",DATA!E37)</f>
        <v/>
      </c>
      <c r="D39" s="29" t="str">
        <f>IF(DATA!C37="","",DATA!C37)</f>
        <v/>
      </c>
      <c r="E39" s="31"/>
      <c r="F39" s="31"/>
      <c r="G39" s="31"/>
      <c r="H39" s="31"/>
      <c r="I39" s="4"/>
    </row>
    <row r="40" spans="1:9" s="3" customFormat="1" ht="24.6" customHeight="1" x14ac:dyDescent="0.3">
      <c r="A40" s="4"/>
      <c r="B40" s="28">
        <v>34</v>
      </c>
      <c r="C40" s="677" t="str">
        <f>IF(DATA!E38="","",DATA!E38)</f>
        <v/>
      </c>
      <c r="D40" s="29" t="str">
        <f>IF(DATA!C38="","",DATA!C38)</f>
        <v/>
      </c>
      <c r="E40" s="591"/>
      <c r="F40" s="31"/>
      <c r="G40" s="31"/>
      <c r="H40" s="31"/>
      <c r="I40" s="4"/>
    </row>
    <row r="41" spans="1:9" s="3" customFormat="1" ht="24.6" customHeight="1" x14ac:dyDescent="0.3">
      <c r="A41" s="4"/>
      <c r="B41" s="28">
        <v>35</v>
      </c>
      <c r="C41" s="677" t="str">
        <f>IF(DATA!E39="","",DATA!E39)</f>
        <v/>
      </c>
      <c r="D41" s="29" t="str">
        <f>IF(DATA!C39="","",DATA!C39)</f>
        <v/>
      </c>
      <c r="E41" s="31"/>
      <c r="F41" s="31"/>
      <c r="G41" s="31"/>
      <c r="H41" s="31"/>
      <c r="I41" s="4"/>
    </row>
    <row r="42" spans="1:9" s="3" customFormat="1" ht="24.6" customHeight="1" x14ac:dyDescent="0.3">
      <c r="A42" s="4"/>
      <c r="B42" s="28">
        <v>36</v>
      </c>
      <c r="C42" s="677" t="str">
        <f>IF(DATA!E40="","",DATA!E40)</f>
        <v/>
      </c>
      <c r="D42" s="29" t="str">
        <f>IF(DATA!C40="","",DATA!C40)</f>
        <v/>
      </c>
      <c r="E42" s="31"/>
      <c r="F42" s="31"/>
      <c r="G42" s="31"/>
      <c r="H42" s="31"/>
      <c r="I42" s="4"/>
    </row>
    <row r="43" spans="1:9" s="3" customFormat="1" ht="24.6" customHeight="1" x14ac:dyDescent="0.3">
      <c r="A43" s="4"/>
      <c r="B43" s="28">
        <v>37</v>
      </c>
      <c r="C43" s="677" t="str">
        <f>IF(DATA!E41="","",DATA!E41)</f>
        <v/>
      </c>
      <c r="D43" s="29" t="str">
        <f>IF(DATA!C41="","",DATA!C41)</f>
        <v/>
      </c>
      <c r="E43" s="31"/>
      <c r="F43" s="31"/>
      <c r="G43" s="31"/>
      <c r="H43" s="31"/>
      <c r="I43" s="4"/>
    </row>
    <row r="44" spans="1:9" s="3" customFormat="1" ht="24.6" customHeight="1" x14ac:dyDescent="0.3">
      <c r="A44" s="4"/>
      <c r="B44" s="28">
        <v>38</v>
      </c>
      <c r="C44" s="677" t="str">
        <f>IF(DATA!E42="","",DATA!E42)</f>
        <v/>
      </c>
      <c r="D44" s="29" t="str">
        <f>IF(DATA!C42="","",DATA!C42)</f>
        <v/>
      </c>
      <c r="E44" s="31"/>
      <c r="F44" s="31"/>
      <c r="G44" s="31"/>
      <c r="H44" s="31"/>
      <c r="I44" s="4"/>
    </row>
    <row r="45" spans="1:9" s="3" customFormat="1" ht="24.6" customHeight="1" x14ac:dyDescent="0.3">
      <c r="A45" s="4"/>
      <c r="B45" s="28">
        <v>39</v>
      </c>
      <c r="C45" s="677" t="str">
        <f>IF(DATA!E43="","",DATA!E43)</f>
        <v/>
      </c>
      <c r="D45" s="29" t="str">
        <f>IF(DATA!C43="","",DATA!C43)</f>
        <v/>
      </c>
      <c r="E45" s="31"/>
      <c r="F45" s="31"/>
      <c r="G45" s="31"/>
      <c r="H45" s="31"/>
      <c r="I45" s="4"/>
    </row>
    <row r="46" spans="1:9" s="3" customFormat="1" ht="24.6" customHeight="1" x14ac:dyDescent="0.3">
      <c r="A46" s="4"/>
      <c r="B46" s="28">
        <v>40</v>
      </c>
      <c r="C46" s="677" t="str">
        <f>IF(DATA!E44="","",DATA!E44)</f>
        <v/>
      </c>
      <c r="D46" s="29" t="str">
        <f>IF(DATA!C44="","",DATA!C44)</f>
        <v/>
      </c>
      <c r="E46" s="31"/>
      <c r="F46" s="31"/>
      <c r="G46" s="31"/>
      <c r="H46" s="31"/>
      <c r="I46" s="4"/>
    </row>
    <row r="47" spans="1:9" s="3" customFormat="1" ht="24.6" customHeight="1" x14ac:dyDescent="0.3">
      <c r="A47" s="4"/>
      <c r="B47" s="28">
        <v>41</v>
      </c>
      <c r="C47" s="677" t="str">
        <f>IF(DATA!E45="","",DATA!E45)</f>
        <v/>
      </c>
      <c r="D47" s="29" t="str">
        <f>IF(DATA!C45="","",DATA!C45)</f>
        <v/>
      </c>
      <c r="E47" s="31"/>
      <c r="F47" s="31"/>
      <c r="G47" s="31"/>
      <c r="H47" s="31"/>
      <c r="I47" s="4"/>
    </row>
    <row r="48" spans="1:9" s="3" customFormat="1" ht="24.6" customHeight="1" x14ac:dyDescent="0.3">
      <c r="A48" s="4"/>
      <c r="B48" s="28">
        <v>42</v>
      </c>
      <c r="C48" s="677" t="str">
        <f>IF(DATA!E46="","",DATA!E46)</f>
        <v/>
      </c>
      <c r="D48" s="29" t="str">
        <f>IF(DATA!C46="","",DATA!C46)</f>
        <v/>
      </c>
      <c r="E48" s="31"/>
      <c r="F48" s="31"/>
      <c r="G48" s="31"/>
      <c r="H48" s="31"/>
      <c r="I48" s="4"/>
    </row>
    <row r="49" spans="1:9" s="3" customFormat="1" ht="24.6" customHeight="1" x14ac:dyDescent="0.3">
      <c r="A49" s="4"/>
      <c r="B49" s="28">
        <v>43</v>
      </c>
      <c r="C49" s="677" t="str">
        <f>IF(DATA!E47="","",DATA!E47)</f>
        <v/>
      </c>
      <c r="D49" s="29" t="str">
        <f>IF(DATA!C47="","",DATA!C47)</f>
        <v/>
      </c>
      <c r="E49" s="31"/>
      <c r="F49" s="31"/>
      <c r="G49" s="31"/>
      <c r="H49" s="31"/>
      <c r="I49" s="4"/>
    </row>
    <row r="50" spans="1:9" s="3" customFormat="1" ht="24.6" customHeight="1" x14ac:dyDescent="0.3">
      <c r="A50" s="4"/>
      <c r="B50" s="28">
        <v>44</v>
      </c>
      <c r="C50" s="677" t="str">
        <f>IF(DATA!E48="","",DATA!E48)</f>
        <v/>
      </c>
      <c r="D50" s="29" t="str">
        <f>IF(DATA!C48="","",DATA!C48)</f>
        <v/>
      </c>
      <c r="E50" s="31"/>
      <c r="F50" s="31"/>
      <c r="G50" s="31"/>
      <c r="H50" s="31"/>
      <c r="I50" s="4"/>
    </row>
    <row r="51" spans="1:9" s="3" customFormat="1" ht="24.6" customHeight="1" thickBot="1" x14ac:dyDescent="0.35">
      <c r="A51" s="4"/>
      <c r="B51" s="32">
        <v>45</v>
      </c>
      <c r="C51" s="726" t="str">
        <f>IF(DATA!E49="","",DATA!E49)</f>
        <v/>
      </c>
      <c r="D51" s="41" t="str">
        <f>IF(DATA!C49="","",DATA!C49)</f>
        <v/>
      </c>
      <c r="E51" s="31"/>
      <c r="F51" s="31"/>
      <c r="G51" s="31"/>
      <c r="H51" s="31"/>
      <c r="I51" s="4"/>
    </row>
    <row r="52" spans="1:9" s="3" customFormat="1" ht="14.4" x14ac:dyDescent="0.3">
      <c r="A52" s="4"/>
      <c r="B52" s="22"/>
      <c r="C52" s="22"/>
      <c r="D52" s="22"/>
      <c r="E52" s="22"/>
      <c r="F52" s="22"/>
      <c r="G52" s="22"/>
      <c r="H52" s="22"/>
      <c r="I52" s="4"/>
    </row>
    <row r="53" spans="1:9" ht="14.4" hidden="1" x14ac:dyDescent="0.3"/>
  </sheetData>
  <sheetProtection algorithmName="SHA-512" hashValue="kH5Ecq/ngMPY5bIFxqKER5DlL2lhiwCWPB0CPrfEIn7uxW/Q85CTpm2jS/tKUwEfj7nZOjpKzNhyUQzXJg6lcA==" saltValue="jNR8X62YPo0nGKOm2S8VtA==" spinCount="100000" sheet="1" objects="1" scenarios="1" selectLockedCells="1"/>
  <mergeCells count="4">
    <mergeCell ref="B2:H2"/>
    <mergeCell ref="B6:D6"/>
    <mergeCell ref="F4:H4"/>
    <mergeCell ref="B3:H3"/>
  </mergeCells>
  <hyperlinks>
    <hyperlink ref="A1" location="DASHBOARD!A1" display="D"/>
  </hyperlinks>
  <pageMargins left="0.38" right="0.14000000000000001" top="0.28999999999999998" bottom="0.32" header="0.3" footer="0.3"/>
  <pageSetup paperSize="9" scale="58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R53"/>
  <sheetViews>
    <sheetView zoomScale="98" zoomScaleNormal="98" workbookViewId="0">
      <selection activeCell="G12" sqref="G12"/>
    </sheetView>
  </sheetViews>
  <sheetFormatPr defaultColWidth="0" defaultRowHeight="14.4" zeroHeight="1" x14ac:dyDescent="0.3"/>
  <cols>
    <col min="1" max="1" width="3.6640625" style="9" customWidth="1"/>
    <col min="2" max="2" width="9.109375" style="59" customWidth="1"/>
    <col min="3" max="3" width="35.33203125" style="59" customWidth="1"/>
    <col min="4" max="4" width="12.109375" style="59" customWidth="1"/>
    <col min="5" max="9" width="10.6640625" style="60" customWidth="1"/>
    <col min="10" max="10" width="12.109375" style="60" customWidth="1"/>
    <col min="11" max="11" width="10.6640625" style="60" customWidth="1"/>
    <col min="12" max="13" width="12.5546875" style="60" bestFit="1" customWidth="1"/>
    <col min="14" max="16" width="10.6640625" style="60" customWidth="1"/>
    <col min="17" max="17" width="9.109375" style="60" customWidth="1"/>
    <col min="18" max="18" width="4.33203125" style="7" customWidth="1"/>
    <col min="19" max="16384" width="9.109375" style="7" hidden="1"/>
  </cols>
  <sheetData>
    <row r="1" spans="1:18" s="9" customFormat="1" ht="21" customHeight="1" x14ac:dyDescent="0.3">
      <c r="A1" s="8" t="s">
        <v>20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6"/>
    </row>
    <row r="2" spans="1:18" s="9" customFormat="1" ht="24.6" x14ac:dyDescent="0.3">
      <c r="A2" s="6"/>
      <c r="B2" s="873" t="str">
        <f>DASHBOARD!B2&amp;DASHBOARD!B3</f>
        <v xml:space="preserve">SWAMI VIVEKANAND GOVT. MODEL SCHOOL,  AMET, BLOCK-AMET, RAJSAMAND                                                                </v>
      </c>
      <c r="C2" s="873"/>
      <c r="D2" s="873"/>
      <c r="E2" s="873"/>
      <c r="F2" s="873"/>
      <c r="G2" s="873"/>
      <c r="H2" s="873"/>
      <c r="I2" s="873"/>
      <c r="J2" s="873"/>
      <c r="K2" s="873"/>
      <c r="L2" s="873"/>
      <c r="M2" s="873"/>
      <c r="N2" s="873"/>
      <c r="O2" s="873"/>
      <c r="P2" s="873"/>
      <c r="Q2" s="874"/>
      <c r="R2" s="6"/>
    </row>
    <row r="3" spans="1:18" s="9" customFormat="1" ht="30" x14ac:dyDescent="0.3">
      <c r="A3" s="6"/>
      <c r="B3" s="883" t="str">
        <f>IF(DASHBOARD!B4="","",DASHBOARD!B4)</f>
        <v>SESSION    -  2025-26</v>
      </c>
      <c r="C3" s="883"/>
      <c r="D3" s="883"/>
      <c r="E3" s="883"/>
      <c r="F3" s="883"/>
      <c r="G3" s="883"/>
      <c r="H3" s="883"/>
      <c r="I3" s="883"/>
      <c r="J3" s="883"/>
      <c r="K3" s="883"/>
      <c r="L3" s="883"/>
      <c r="M3" s="883"/>
      <c r="N3" s="883"/>
      <c r="O3" s="883"/>
      <c r="P3" s="883"/>
      <c r="Q3" s="884"/>
      <c r="R3" s="6"/>
    </row>
    <row r="4" spans="1:18" s="9" customFormat="1" ht="25.2" thickBot="1" x14ac:dyDescent="0.45">
      <c r="A4" s="6"/>
      <c r="B4" s="50"/>
      <c r="C4" s="51" t="s">
        <v>63</v>
      </c>
      <c r="D4" s="52" t="str">
        <f>DASHBOARD!B8&amp;DASHBOARD!C8</f>
        <v>XI A</v>
      </c>
      <c r="E4" s="50"/>
      <c r="F4" s="50"/>
      <c r="G4" s="53"/>
      <c r="H4" s="53"/>
      <c r="I4" s="53"/>
      <c r="J4" s="53"/>
      <c r="K4" s="882" t="s">
        <v>62</v>
      </c>
      <c r="L4" s="882"/>
      <c r="M4" s="882"/>
      <c r="N4" s="882"/>
      <c r="O4" s="882"/>
      <c r="P4" s="882"/>
      <c r="Q4" s="882"/>
      <c r="R4" s="6"/>
    </row>
    <row r="5" spans="1:18" s="9" customFormat="1" ht="24.6" x14ac:dyDescent="0.3">
      <c r="A5" s="6"/>
      <c r="B5" s="875" t="s">
        <v>2</v>
      </c>
      <c r="C5" s="877" t="s">
        <v>5</v>
      </c>
      <c r="D5" s="877" t="s">
        <v>17</v>
      </c>
      <c r="E5" s="879" t="s">
        <v>21</v>
      </c>
      <c r="F5" s="879"/>
      <c r="G5" s="879"/>
      <c r="H5" s="879"/>
      <c r="I5" s="879"/>
      <c r="J5" s="879"/>
      <c r="K5" s="879"/>
      <c r="L5" s="879"/>
      <c r="M5" s="879"/>
      <c r="N5" s="879"/>
      <c r="O5" s="879"/>
      <c r="P5" s="879"/>
      <c r="Q5" s="880" t="s">
        <v>22</v>
      </c>
      <c r="R5" s="6"/>
    </row>
    <row r="6" spans="1:18" s="9" customFormat="1" ht="15" thickBot="1" x14ac:dyDescent="0.35">
      <c r="A6" s="6"/>
      <c r="B6" s="876"/>
      <c r="C6" s="878"/>
      <c r="D6" s="878"/>
      <c r="E6" s="729" t="s">
        <v>23</v>
      </c>
      <c r="F6" s="729" t="s">
        <v>24</v>
      </c>
      <c r="G6" s="729" t="s">
        <v>25</v>
      </c>
      <c r="H6" s="729" t="s">
        <v>26</v>
      </c>
      <c r="I6" s="729" t="s">
        <v>27</v>
      </c>
      <c r="J6" s="729" t="s">
        <v>28</v>
      </c>
      <c r="K6" s="729" t="s">
        <v>29</v>
      </c>
      <c r="L6" s="729" t="s">
        <v>30</v>
      </c>
      <c r="M6" s="729" t="s">
        <v>31</v>
      </c>
      <c r="N6" s="729" t="s">
        <v>32</v>
      </c>
      <c r="O6" s="729" t="s">
        <v>33</v>
      </c>
      <c r="P6" s="729" t="s">
        <v>34</v>
      </c>
      <c r="Q6" s="881"/>
      <c r="R6" s="6"/>
    </row>
    <row r="7" spans="1:18" ht="21" customHeight="1" thickBot="1" x14ac:dyDescent="0.4">
      <c r="A7" s="6"/>
      <c r="B7" s="871" t="s">
        <v>35</v>
      </c>
      <c r="C7" s="872"/>
      <c r="D7" s="872"/>
      <c r="E7" s="734">
        <v>0</v>
      </c>
      <c r="F7" s="734">
        <v>0</v>
      </c>
      <c r="G7" s="734">
        <v>0</v>
      </c>
      <c r="H7" s="734">
        <v>52</v>
      </c>
      <c r="I7" s="734">
        <v>42</v>
      </c>
      <c r="J7" s="734">
        <v>44</v>
      </c>
      <c r="K7" s="734">
        <v>34</v>
      </c>
      <c r="L7" s="734">
        <v>38</v>
      </c>
      <c r="M7" s="734">
        <v>40</v>
      </c>
      <c r="N7" s="734">
        <v>42</v>
      </c>
      <c r="O7" s="734">
        <v>30</v>
      </c>
      <c r="P7" s="734">
        <v>20</v>
      </c>
      <c r="Q7" s="735">
        <f>SUM(E7:P7)</f>
        <v>342</v>
      </c>
      <c r="R7" s="6"/>
    </row>
    <row r="8" spans="1:18" ht="17.399999999999999" x14ac:dyDescent="0.3">
      <c r="A8" s="6"/>
      <c r="B8" s="730">
        <v>1</v>
      </c>
      <c r="C8" s="736" t="str">
        <f>IF(DATA!E5="","",DATA!E5)</f>
        <v>Devendra Sharma</v>
      </c>
      <c r="D8" s="731">
        <f>IF(DATA!C5="","",DATA!C5)</f>
        <v>1101</v>
      </c>
      <c r="E8" s="732">
        <v>0</v>
      </c>
      <c r="F8" s="732">
        <v>0</v>
      </c>
      <c r="G8" s="732">
        <v>0</v>
      </c>
      <c r="H8" s="732">
        <v>34</v>
      </c>
      <c r="I8" s="732">
        <v>32</v>
      </c>
      <c r="J8" s="732">
        <v>41</v>
      </c>
      <c r="K8" s="732">
        <v>32</v>
      </c>
      <c r="L8" s="732">
        <v>26</v>
      </c>
      <c r="M8" s="732">
        <v>34</v>
      </c>
      <c r="N8" s="732">
        <v>34</v>
      </c>
      <c r="O8" s="732">
        <v>24</v>
      </c>
      <c r="P8" s="732">
        <v>20</v>
      </c>
      <c r="Q8" s="733">
        <f>IF(D8&lt;&gt;"",SUM(E8:P8),"")</f>
        <v>277</v>
      </c>
      <c r="R8" s="6"/>
    </row>
    <row r="9" spans="1:18" ht="17.399999999999999" x14ac:dyDescent="0.3">
      <c r="A9" s="6"/>
      <c r="B9" s="54">
        <v>2</v>
      </c>
      <c r="C9" s="737" t="str">
        <f>IF(DATA!E6="","",DATA!E6)</f>
        <v>DHARA SALVI</v>
      </c>
      <c r="D9" s="55">
        <f>IF(DATA!C6="","",DATA!C6)</f>
        <v>1102</v>
      </c>
      <c r="E9" s="56">
        <v>0</v>
      </c>
      <c r="F9" s="56">
        <v>0</v>
      </c>
      <c r="G9" s="56">
        <v>0</v>
      </c>
      <c r="H9" s="56">
        <v>28</v>
      </c>
      <c r="I9" s="56">
        <v>28</v>
      </c>
      <c r="J9" s="56">
        <v>26</v>
      </c>
      <c r="K9" s="56">
        <v>26</v>
      </c>
      <c r="L9" s="56">
        <v>26</v>
      </c>
      <c r="M9" s="56">
        <v>28</v>
      </c>
      <c r="N9" s="56">
        <v>20</v>
      </c>
      <c r="O9" s="56">
        <v>18</v>
      </c>
      <c r="P9" s="56">
        <v>16</v>
      </c>
      <c r="Q9" s="657">
        <f t="shared" ref="Q9:Q52" si="0">IF(D9&lt;&gt;"",SUM(E9:P9),"")</f>
        <v>216</v>
      </c>
      <c r="R9" s="6"/>
    </row>
    <row r="10" spans="1:18" ht="17.399999999999999" x14ac:dyDescent="0.3">
      <c r="A10" s="6"/>
      <c r="B10" s="54">
        <v>3</v>
      </c>
      <c r="C10" s="737" t="str">
        <f>IF(DATA!E7="","",DATA!E7)</f>
        <v>HARSHIKA RAO</v>
      </c>
      <c r="D10" s="55">
        <f>IF(DATA!C7="","",DATA!C7)</f>
        <v>1103</v>
      </c>
      <c r="E10" s="56">
        <v>0</v>
      </c>
      <c r="F10" s="56">
        <v>0</v>
      </c>
      <c r="G10" s="56">
        <v>0</v>
      </c>
      <c r="H10" s="56">
        <v>32</v>
      </c>
      <c r="I10" s="56">
        <v>34</v>
      </c>
      <c r="J10" s="56">
        <v>30</v>
      </c>
      <c r="K10" s="56">
        <v>24</v>
      </c>
      <c r="L10" s="56">
        <v>34</v>
      </c>
      <c r="M10" s="56">
        <v>32</v>
      </c>
      <c r="N10" s="56">
        <v>34</v>
      </c>
      <c r="O10" s="56">
        <v>24</v>
      </c>
      <c r="P10" s="56">
        <v>16</v>
      </c>
      <c r="Q10" s="657">
        <f t="shared" si="0"/>
        <v>260</v>
      </c>
      <c r="R10" s="6"/>
    </row>
    <row r="11" spans="1:18" ht="17.399999999999999" x14ac:dyDescent="0.3">
      <c r="A11" s="6"/>
      <c r="B11" s="54">
        <v>4</v>
      </c>
      <c r="C11" s="737" t="str">
        <f>IF(DATA!E8="","",DATA!E8)</f>
        <v/>
      </c>
      <c r="D11" s="55" t="str">
        <f>IF(DATA!C8="","",DATA!C8)</f>
        <v/>
      </c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657" t="str">
        <f t="shared" si="0"/>
        <v/>
      </c>
      <c r="R11" s="6"/>
    </row>
    <row r="12" spans="1:18" ht="17.399999999999999" x14ac:dyDescent="0.3">
      <c r="A12" s="6"/>
      <c r="B12" s="54">
        <v>5</v>
      </c>
      <c r="C12" s="737" t="str">
        <f>IF(DATA!E9="","",DATA!E9)</f>
        <v/>
      </c>
      <c r="D12" s="55" t="str">
        <f>IF(DATA!C9="","",DATA!C9)</f>
        <v/>
      </c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657" t="str">
        <f t="shared" si="0"/>
        <v/>
      </c>
      <c r="R12" s="6"/>
    </row>
    <row r="13" spans="1:18" ht="17.399999999999999" x14ac:dyDescent="0.3">
      <c r="A13" s="6"/>
      <c r="B13" s="54">
        <v>6</v>
      </c>
      <c r="C13" s="737" t="str">
        <f>IF(DATA!E10="","",DATA!E10)</f>
        <v/>
      </c>
      <c r="D13" s="55" t="str">
        <f>IF(DATA!C10="","",DATA!C10)</f>
        <v/>
      </c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657" t="str">
        <f t="shared" si="0"/>
        <v/>
      </c>
      <c r="R13" s="6"/>
    </row>
    <row r="14" spans="1:18" ht="17.399999999999999" x14ac:dyDescent="0.3">
      <c r="A14" s="6"/>
      <c r="B14" s="54">
        <v>7</v>
      </c>
      <c r="C14" s="737" t="str">
        <f>IF(DATA!E11="","",DATA!E11)</f>
        <v/>
      </c>
      <c r="D14" s="55" t="str">
        <f>IF(DATA!C11="","",DATA!C11)</f>
        <v/>
      </c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657" t="str">
        <f t="shared" si="0"/>
        <v/>
      </c>
      <c r="R14" s="6"/>
    </row>
    <row r="15" spans="1:18" ht="17.399999999999999" x14ac:dyDescent="0.3">
      <c r="A15" s="6"/>
      <c r="B15" s="54">
        <v>8</v>
      </c>
      <c r="C15" s="737" t="str">
        <f>IF(DATA!E12="","",DATA!E12)</f>
        <v/>
      </c>
      <c r="D15" s="55" t="str">
        <f>IF(DATA!C12="","",DATA!C12)</f>
        <v/>
      </c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657" t="str">
        <f t="shared" si="0"/>
        <v/>
      </c>
      <c r="R15" s="6"/>
    </row>
    <row r="16" spans="1:18" ht="17.399999999999999" x14ac:dyDescent="0.3">
      <c r="A16" s="6"/>
      <c r="B16" s="54">
        <v>9</v>
      </c>
      <c r="C16" s="737" t="str">
        <f>IF(DATA!E13="","",DATA!E13)</f>
        <v/>
      </c>
      <c r="D16" s="55" t="str">
        <f>IF(DATA!C13="","",DATA!C13)</f>
        <v/>
      </c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657" t="str">
        <f t="shared" si="0"/>
        <v/>
      </c>
      <c r="R16" s="6"/>
    </row>
    <row r="17" spans="1:18" ht="17.399999999999999" x14ac:dyDescent="0.3">
      <c r="A17" s="6"/>
      <c r="B17" s="54">
        <v>10</v>
      </c>
      <c r="C17" s="737" t="str">
        <f>IF(DATA!E14="","",DATA!E14)</f>
        <v/>
      </c>
      <c r="D17" s="55" t="str">
        <f>IF(DATA!C14="","",DATA!C14)</f>
        <v/>
      </c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657" t="str">
        <f t="shared" si="0"/>
        <v/>
      </c>
      <c r="R17" s="6"/>
    </row>
    <row r="18" spans="1:18" ht="17.399999999999999" x14ac:dyDescent="0.3">
      <c r="A18" s="6"/>
      <c r="B18" s="54">
        <v>11</v>
      </c>
      <c r="C18" s="737" t="str">
        <f>IF(DATA!E15="","",DATA!E15)</f>
        <v/>
      </c>
      <c r="D18" s="55" t="str">
        <f>IF(DATA!C15="","",DATA!C15)</f>
        <v/>
      </c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657" t="str">
        <f t="shared" si="0"/>
        <v/>
      </c>
      <c r="R18" s="6"/>
    </row>
    <row r="19" spans="1:18" ht="17.399999999999999" x14ac:dyDescent="0.3">
      <c r="A19" s="6"/>
      <c r="B19" s="54">
        <v>12</v>
      </c>
      <c r="C19" s="737" t="str">
        <f>IF(DATA!E16="","",DATA!E16)</f>
        <v/>
      </c>
      <c r="D19" s="55" t="str">
        <f>IF(DATA!C16="","",DATA!C16)</f>
        <v/>
      </c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657" t="str">
        <f t="shared" si="0"/>
        <v/>
      </c>
      <c r="R19" s="6"/>
    </row>
    <row r="20" spans="1:18" ht="17.399999999999999" x14ac:dyDescent="0.3">
      <c r="A20" s="6"/>
      <c r="B20" s="54">
        <v>13</v>
      </c>
      <c r="C20" s="737" t="str">
        <f>IF(DATA!E17="","",DATA!E17)</f>
        <v/>
      </c>
      <c r="D20" s="55" t="str">
        <f>IF(DATA!C17="","",DATA!C17)</f>
        <v/>
      </c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657" t="str">
        <f t="shared" si="0"/>
        <v/>
      </c>
      <c r="R20" s="6"/>
    </row>
    <row r="21" spans="1:18" ht="17.399999999999999" x14ac:dyDescent="0.3">
      <c r="A21" s="6"/>
      <c r="B21" s="54">
        <v>14</v>
      </c>
      <c r="C21" s="737" t="str">
        <f>IF(DATA!E18="","",DATA!E18)</f>
        <v/>
      </c>
      <c r="D21" s="55" t="str">
        <f>IF(DATA!C18="","",DATA!C18)</f>
        <v/>
      </c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657" t="str">
        <f t="shared" si="0"/>
        <v/>
      </c>
      <c r="R21" s="6"/>
    </row>
    <row r="22" spans="1:18" ht="17.399999999999999" x14ac:dyDescent="0.3">
      <c r="A22" s="6"/>
      <c r="B22" s="54">
        <v>15</v>
      </c>
      <c r="C22" s="737" t="str">
        <f>IF(DATA!E19="","",DATA!E19)</f>
        <v/>
      </c>
      <c r="D22" s="55" t="str">
        <f>IF(DATA!C19="","",DATA!C19)</f>
        <v/>
      </c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657" t="str">
        <f t="shared" si="0"/>
        <v/>
      </c>
      <c r="R22" s="6"/>
    </row>
    <row r="23" spans="1:18" ht="17.399999999999999" x14ac:dyDescent="0.3">
      <c r="A23" s="6"/>
      <c r="B23" s="54">
        <v>16</v>
      </c>
      <c r="C23" s="737" t="str">
        <f>IF(DATA!E20="","",DATA!E20)</f>
        <v/>
      </c>
      <c r="D23" s="55" t="str">
        <f>IF(DATA!C20="","",DATA!C20)</f>
        <v/>
      </c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657" t="str">
        <f t="shared" si="0"/>
        <v/>
      </c>
      <c r="R23" s="6"/>
    </row>
    <row r="24" spans="1:18" ht="17.399999999999999" x14ac:dyDescent="0.3">
      <c r="A24" s="6"/>
      <c r="B24" s="54">
        <v>17</v>
      </c>
      <c r="C24" s="737" t="str">
        <f>IF(DATA!E21="","",DATA!E21)</f>
        <v/>
      </c>
      <c r="D24" s="55" t="str">
        <f>IF(DATA!C21="","",DATA!C21)</f>
        <v/>
      </c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657" t="str">
        <f t="shared" si="0"/>
        <v/>
      </c>
      <c r="R24" s="6"/>
    </row>
    <row r="25" spans="1:18" ht="17.399999999999999" x14ac:dyDescent="0.3">
      <c r="A25" s="6"/>
      <c r="B25" s="54">
        <v>18</v>
      </c>
      <c r="C25" s="737" t="str">
        <f>IF(DATA!E22="","",DATA!E22)</f>
        <v/>
      </c>
      <c r="D25" s="55" t="str">
        <f>IF(DATA!C22="","",DATA!C22)</f>
        <v/>
      </c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657" t="str">
        <f t="shared" si="0"/>
        <v/>
      </c>
      <c r="R25" s="6"/>
    </row>
    <row r="26" spans="1:18" ht="17.399999999999999" x14ac:dyDescent="0.3">
      <c r="A26" s="6"/>
      <c r="B26" s="54">
        <v>19</v>
      </c>
      <c r="C26" s="737" t="str">
        <f>IF(DATA!E23="","",DATA!E23)</f>
        <v/>
      </c>
      <c r="D26" s="55" t="str">
        <f>IF(DATA!C23="","",DATA!C23)</f>
        <v/>
      </c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657" t="str">
        <f t="shared" si="0"/>
        <v/>
      </c>
      <c r="R26" s="6"/>
    </row>
    <row r="27" spans="1:18" ht="17.399999999999999" x14ac:dyDescent="0.3">
      <c r="A27" s="6"/>
      <c r="B27" s="54">
        <v>20</v>
      </c>
      <c r="C27" s="737" t="str">
        <f>IF(DATA!E24="","",DATA!E24)</f>
        <v/>
      </c>
      <c r="D27" s="55" t="str">
        <f>IF(DATA!C24="","",DATA!C24)</f>
        <v/>
      </c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657" t="str">
        <f t="shared" si="0"/>
        <v/>
      </c>
      <c r="R27" s="6"/>
    </row>
    <row r="28" spans="1:18" ht="17.399999999999999" x14ac:dyDescent="0.3">
      <c r="A28" s="6"/>
      <c r="B28" s="54">
        <v>21</v>
      </c>
      <c r="C28" s="737" t="str">
        <f>IF(DATA!E25="","",DATA!E25)</f>
        <v/>
      </c>
      <c r="D28" s="55" t="str">
        <f>IF(DATA!C25="","",DATA!C25)</f>
        <v/>
      </c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657" t="str">
        <f t="shared" si="0"/>
        <v/>
      </c>
      <c r="R28" s="6"/>
    </row>
    <row r="29" spans="1:18" ht="17.399999999999999" x14ac:dyDescent="0.3">
      <c r="A29" s="6"/>
      <c r="B29" s="54">
        <v>22</v>
      </c>
      <c r="C29" s="737" t="str">
        <f>IF(DATA!E26="","",DATA!E26)</f>
        <v/>
      </c>
      <c r="D29" s="55" t="str">
        <f>IF(DATA!C26="","",DATA!C26)</f>
        <v/>
      </c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657" t="str">
        <f t="shared" si="0"/>
        <v/>
      </c>
      <c r="R29" s="6"/>
    </row>
    <row r="30" spans="1:18" ht="17.399999999999999" x14ac:dyDescent="0.3">
      <c r="A30" s="6"/>
      <c r="B30" s="54">
        <v>23</v>
      </c>
      <c r="C30" s="737" t="str">
        <f>IF(DATA!E27="","",DATA!E27)</f>
        <v/>
      </c>
      <c r="D30" s="55" t="str">
        <f>IF(DATA!C27="","",DATA!C27)</f>
        <v/>
      </c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657" t="str">
        <f t="shared" si="0"/>
        <v/>
      </c>
      <c r="R30" s="6"/>
    </row>
    <row r="31" spans="1:18" ht="17.399999999999999" x14ac:dyDescent="0.3">
      <c r="A31" s="6"/>
      <c r="B31" s="54">
        <v>24</v>
      </c>
      <c r="C31" s="737" t="str">
        <f>IF(DATA!E28="","",DATA!E28)</f>
        <v/>
      </c>
      <c r="D31" s="55" t="str">
        <f>IF(DATA!C28="","",DATA!C28)</f>
        <v/>
      </c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657" t="str">
        <f>IF(D31&lt;&gt;"",SUM(E31:P31),"")</f>
        <v/>
      </c>
      <c r="R31" s="6"/>
    </row>
    <row r="32" spans="1:18" ht="17.399999999999999" x14ac:dyDescent="0.3">
      <c r="A32" s="6"/>
      <c r="B32" s="54">
        <v>25</v>
      </c>
      <c r="C32" s="737" t="str">
        <f>IF(DATA!E29="","",DATA!E29)</f>
        <v/>
      </c>
      <c r="D32" s="55" t="str">
        <f>IF(DATA!C29="","",DATA!C29)</f>
        <v/>
      </c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657" t="str">
        <f t="shared" si="0"/>
        <v/>
      </c>
      <c r="R32" s="6"/>
    </row>
    <row r="33" spans="1:18" ht="17.399999999999999" x14ac:dyDescent="0.3">
      <c r="A33" s="6"/>
      <c r="B33" s="54">
        <v>26</v>
      </c>
      <c r="C33" s="737" t="str">
        <f>IF(DATA!E30="","",DATA!E30)</f>
        <v/>
      </c>
      <c r="D33" s="55" t="str">
        <f>IF(DATA!C30="","",DATA!C30)</f>
        <v/>
      </c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657" t="str">
        <f t="shared" si="0"/>
        <v/>
      </c>
      <c r="R33" s="6"/>
    </row>
    <row r="34" spans="1:18" ht="17.399999999999999" x14ac:dyDescent="0.3">
      <c r="A34" s="6"/>
      <c r="B34" s="54">
        <v>27</v>
      </c>
      <c r="C34" s="737" t="str">
        <f>IF(DATA!E31="","",DATA!E31)</f>
        <v/>
      </c>
      <c r="D34" s="55" t="str">
        <f>IF(DATA!C31="","",DATA!C31)</f>
        <v/>
      </c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657" t="str">
        <f t="shared" si="0"/>
        <v/>
      </c>
      <c r="R34" s="6"/>
    </row>
    <row r="35" spans="1:18" ht="17.399999999999999" x14ac:dyDescent="0.3">
      <c r="A35" s="6"/>
      <c r="B35" s="54">
        <v>28</v>
      </c>
      <c r="C35" s="737" t="str">
        <f>IF(DATA!E32="","",DATA!E32)</f>
        <v/>
      </c>
      <c r="D35" s="55" t="str">
        <f>IF(DATA!C32="","",DATA!C32)</f>
        <v/>
      </c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657" t="str">
        <f t="shared" si="0"/>
        <v/>
      </c>
      <c r="R35" s="6"/>
    </row>
    <row r="36" spans="1:18" ht="17.399999999999999" x14ac:dyDescent="0.3">
      <c r="A36" s="6"/>
      <c r="B36" s="54">
        <v>29</v>
      </c>
      <c r="C36" s="737" t="str">
        <f>IF(DATA!E33="","",DATA!E33)</f>
        <v/>
      </c>
      <c r="D36" s="55" t="str">
        <f>IF(DATA!C33="","",DATA!C33)</f>
        <v/>
      </c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657" t="str">
        <f t="shared" si="0"/>
        <v/>
      </c>
      <c r="R36" s="6"/>
    </row>
    <row r="37" spans="1:18" ht="17.399999999999999" x14ac:dyDescent="0.3">
      <c r="A37" s="6"/>
      <c r="B37" s="54">
        <v>30</v>
      </c>
      <c r="C37" s="737" t="str">
        <f>IF(DATA!E34="","",DATA!E34)</f>
        <v/>
      </c>
      <c r="D37" s="55" t="str">
        <f>IF(DATA!C34="","",DATA!C34)</f>
        <v/>
      </c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657" t="str">
        <f t="shared" si="0"/>
        <v/>
      </c>
      <c r="R37" s="6"/>
    </row>
    <row r="38" spans="1:18" ht="5.4" customHeight="1" x14ac:dyDescent="0.3">
      <c r="A38" s="6"/>
      <c r="B38" s="54">
        <v>31</v>
      </c>
      <c r="C38" s="737" t="str">
        <f>IF(DATA!E35="","",DATA!E35)</f>
        <v/>
      </c>
      <c r="D38" s="55" t="str">
        <f>IF(DATA!C35="","",DATA!C35)</f>
        <v/>
      </c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657" t="str">
        <f t="shared" si="0"/>
        <v/>
      </c>
      <c r="R38" s="6"/>
    </row>
    <row r="39" spans="1:18" ht="5.4" customHeight="1" x14ac:dyDescent="0.3">
      <c r="A39" s="6"/>
      <c r="B39" s="54">
        <v>32</v>
      </c>
      <c r="C39" s="737" t="str">
        <f>IF(DATA!E36="","",DATA!E36)</f>
        <v/>
      </c>
      <c r="D39" s="55" t="str">
        <f>IF(DATA!C36="","",DATA!C36)</f>
        <v/>
      </c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657" t="str">
        <f t="shared" si="0"/>
        <v/>
      </c>
      <c r="R39" s="6"/>
    </row>
    <row r="40" spans="1:18" ht="5.4" customHeight="1" x14ac:dyDescent="0.3">
      <c r="A40" s="6"/>
      <c r="B40" s="54">
        <v>33</v>
      </c>
      <c r="C40" s="737" t="str">
        <f>IF(DATA!E37="","",DATA!E37)</f>
        <v/>
      </c>
      <c r="D40" s="55" t="str">
        <f>IF(DATA!C37="","",DATA!C37)</f>
        <v/>
      </c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657" t="str">
        <f t="shared" si="0"/>
        <v/>
      </c>
      <c r="R40" s="6"/>
    </row>
    <row r="41" spans="1:18" ht="5.4" customHeight="1" x14ac:dyDescent="0.3">
      <c r="A41" s="6"/>
      <c r="B41" s="54">
        <v>34</v>
      </c>
      <c r="C41" s="737" t="str">
        <f>IF(DATA!E38="","",DATA!E38)</f>
        <v/>
      </c>
      <c r="D41" s="55" t="str">
        <f>IF(DATA!C38="","",DATA!C38)</f>
        <v/>
      </c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657" t="str">
        <f t="shared" si="0"/>
        <v/>
      </c>
      <c r="R41" s="6"/>
    </row>
    <row r="42" spans="1:18" ht="5.4" customHeight="1" x14ac:dyDescent="0.3">
      <c r="A42" s="6"/>
      <c r="B42" s="54">
        <v>35</v>
      </c>
      <c r="C42" s="737" t="str">
        <f>IF(DATA!E39="","",DATA!E39)</f>
        <v/>
      </c>
      <c r="D42" s="55" t="str">
        <f>IF(DATA!C39="","",DATA!C39)</f>
        <v/>
      </c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657" t="str">
        <f t="shared" si="0"/>
        <v/>
      </c>
      <c r="R42" s="6"/>
    </row>
    <row r="43" spans="1:18" ht="5.4" customHeight="1" x14ac:dyDescent="0.3">
      <c r="A43" s="6"/>
      <c r="B43" s="54">
        <v>36</v>
      </c>
      <c r="C43" s="737" t="str">
        <f>IF(DATA!E40="","",DATA!E40)</f>
        <v/>
      </c>
      <c r="D43" s="55" t="str">
        <f>IF(DATA!C40="","",DATA!C40)</f>
        <v/>
      </c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657" t="str">
        <f t="shared" si="0"/>
        <v/>
      </c>
      <c r="R43" s="6"/>
    </row>
    <row r="44" spans="1:18" ht="5.4" customHeight="1" x14ac:dyDescent="0.3">
      <c r="A44" s="6"/>
      <c r="B44" s="54">
        <v>37</v>
      </c>
      <c r="C44" s="737" t="str">
        <f>IF(DATA!E41="","",DATA!E41)</f>
        <v/>
      </c>
      <c r="D44" s="55" t="str">
        <f>IF(DATA!C41="","",DATA!C41)</f>
        <v/>
      </c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657" t="str">
        <f t="shared" si="0"/>
        <v/>
      </c>
      <c r="R44" s="6"/>
    </row>
    <row r="45" spans="1:18" ht="5.4" customHeight="1" x14ac:dyDescent="0.3">
      <c r="A45" s="6"/>
      <c r="B45" s="54">
        <v>38</v>
      </c>
      <c r="C45" s="737" t="str">
        <f>IF(DATA!E42="","",DATA!E42)</f>
        <v/>
      </c>
      <c r="D45" s="55" t="str">
        <f>IF(DATA!C42="","",DATA!C42)</f>
        <v/>
      </c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657" t="str">
        <f t="shared" si="0"/>
        <v/>
      </c>
      <c r="R45" s="6"/>
    </row>
    <row r="46" spans="1:18" ht="5.4" customHeight="1" x14ac:dyDescent="0.3">
      <c r="A46" s="6"/>
      <c r="B46" s="54">
        <v>39</v>
      </c>
      <c r="C46" s="737" t="str">
        <f>IF(DATA!E43="","",DATA!E43)</f>
        <v/>
      </c>
      <c r="D46" s="55" t="str">
        <f>IF(DATA!C43="","",DATA!C43)</f>
        <v/>
      </c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657" t="str">
        <f t="shared" si="0"/>
        <v/>
      </c>
      <c r="R46" s="6"/>
    </row>
    <row r="47" spans="1:18" ht="5.4" customHeight="1" x14ac:dyDescent="0.3">
      <c r="A47" s="6"/>
      <c r="B47" s="54">
        <v>40</v>
      </c>
      <c r="C47" s="737" t="str">
        <f>IF(DATA!E44="","",DATA!E44)</f>
        <v/>
      </c>
      <c r="D47" s="55" t="str">
        <f>IF(DATA!C44="","",DATA!C44)</f>
        <v/>
      </c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657" t="str">
        <f t="shared" si="0"/>
        <v/>
      </c>
      <c r="R47" s="6"/>
    </row>
    <row r="48" spans="1:18" ht="5.4" customHeight="1" x14ac:dyDescent="0.3">
      <c r="A48" s="6"/>
      <c r="B48" s="54">
        <v>41</v>
      </c>
      <c r="C48" s="737" t="str">
        <f>IF(DATA!E45="","",DATA!E45)</f>
        <v/>
      </c>
      <c r="D48" s="55" t="str">
        <f>IF(DATA!C45="","",DATA!C45)</f>
        <v/>
      </c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657" t="str">
        <f t="shared" si="0"/>
        <v/>
      </c>
      <c r="R48" s="6"/>
    </row>
    <row r="49" spans="1:18" ht="5.4" customHeight="1" x14ac:dyDescent="0.3">
      <c r="A49" s="6"/>
      <c r="B49" s="54">
        <v>42</v>
      </c>
      <c r="C49" s="737" t="str">
        <f>IF(DATA!E46="","",DATA!E46)</f>
        <v/>
      </c>
      <c r="D49" s="55" t="str">
        <f>IF(DATA!C46="","",DATA!C46)</f>
        <v/>
      </c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657" t="str">
        <f t="shared" si="0"/>
        <v/>
      </c>
      <c r="R49" s="6"/>
    </row>
    <row r="50" spans="1:18" ht="5.4" customHeight="1" x14ac:dyDescent="0.3">
      <c r="A50" s="6"/>
      <c r="B50" s="54">
        <v>43</v>
      </c>
      <c r="C50" s="737" t="str">
        <f>IF(DATA!E47="","",DATA!E47)</f>
        <v/>
      </c>
      <c r="D50" s="55" t="str">
        <f>IF(DATA!C47="","",DATA!C47)</f>
        <v/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657" t="str">
        <f t="shared" si="0"/>
        <v/>
      </c>
      <c r="R50" s="6"/>
    </row>
    <row r="51" spans="1:18" ht="5.4" customHeight="1" x14ac:dyDescent="0.3">
      <c r="A51" s="6"/>
      <c r="B51" s="54">
        <v>44</v>
      </c>
      <c r="C51" s="737" t="str">
        <f>IF(DATA!E48="","",DATA!E48)</f>
        <v/>
      </c>
      <c r="D51" s="55" t="str">
        <f>IF(DATA!C48="","",DATA!C48)</f>
        <v/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657" t="str">
        <f t="shared" si="0"/>
        <v/>
      </c>
      <c r="R51" s="6"/>
    </row>
    <row r="52" spans="1:18" ht="5.4" customHeight="1" thickBot="1" x14ac:dyDescent="0.35">
      <c r="A52" s="6"/>
      <c r="B52" s="57">
        <v>45</v>
      </c>
      <c r="C52" s="737" t="str">
        <f>IF(DATA!E49="","",DATA!E49)</f>
        <v/>
      </c>
      <c r="D52" s="55" t="str">
        <f>IF(DATA!C49="","",DATA!C49)</f>
        <v/>
      </c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657" t="str">
        <f t="shared" si="0"/>
        <v/>
      </c>
      <c r="R52" s="6"/>
    </row>
    <row r="53" spans="1:18" ht="20.25" customHeight="1" x14ac:dyDescent="0.3">
      <c r="A53" s="6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6"/>
    </row>
  </sheetData>
  <sheetProtection algorithmName="SHA-512" hashValue="vqQz5qms4JcaKrwhMzUGjlytp8hh5OJYlem0tH8p+Lu/1EdlKNstu2zXKgyn2QFOa+ALpXMPWplaPWfEGKsC9g==" saltValue="ZrWfqUFckk7ZKjHlX1pFDg==" spinCount="100000" sheet="1" objects="1" scenarios="1" selectLockedCells="1"/>
  <mergeCells count="9">
    <mergeCell ref="B7:D7"/>
    <mergeCell ref="B2:Q2"/>
    <mergeCell ref="B5:B6"/>
    <mergeCell ref="C5:C6"/>
    <mergeCell ref="D5:D6"/>
    <mergeCell ref="E5:P5"/>
    <mergeCell ref="Q5:Q6"/>
    <mergeCell ref="K4:Q4"/>
    <mergeCell ref="B3:Q3"/>
  </mergeCells>
  <hyperlinks>
    <hyperlink ref="A1" location="DASHBOARD!A1" display="D"/>
  </hyperlinks>
  <pageMargins left="0.4" right="0.26" top="0.19" bottom="0.19" header="0.17" footer="0.18"/>
  <pageSetup paperSize="9" scale="67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I41"/>
  <sheetViews>
    <sheetView topLeftCell="C19" workbookViewId="0">
      <selection activeCell="J8" sqref="J8:O8"/>
    </sheetView>
  </sheetViews>
  <sheetFormatPr defaultColWidth="9.109375" defaultRowHeight="0" customHeight="1" zeroHeight="1" x14ac:dyDescent="0.3"/>
  <cols>
    <col min="1" max="1" width="3" style="4" customWidth="1"/>
    <col min="2" max="2" width="1.109375" style="4" customWidth="1"/>
    <col min="3" max="3" width="4.109375" style="21" customWidth="1"/>
    <col min="4" max="5" width="3.88671875" style="21" customWidth="1"/>
    <col min="6" max="6" width="7.44140625" style="21" customWidth="1"/>
    <col min="7" max="7" width="3.88671875" style="21" customWidth="1"/>
    <col min="8" max="8" width="7.6640625" style="21" customWidth="1"/>
    <col min="9" max="9" width="6.88671875" style="21" customWidth="1"/>
    <col min="10" max="10" width="5.33203125" style="21" customWidth="1"/>
    <col min="11" max="11" width="7.88671875" style="21" customWidth="1"/>
    <col min="12" max="12" width="5.6640625" style="21" customWidth="1"/>
    <col min="13" max="13" width="5.88671875" style="21" customWidth="1"/>
    <col min="14" max="14" width="11" style="21" customWidth="1"/>
    <col min="15" max="15" width="12.44140625" style="21" customWidth="1"/>
    <col min="16" max="16" width="1" style="21" customWidth="1"/>
    <col min="17" max="17" width="2.44140625" style="4" customWidth="1"/>
    <col min="18" max="18" width="3" style="337" customWidth="1"/>
    <col min="19" max="19" width="3" style="4" customWidth="1"/>
    <col min="20" max="20" width="1.109375" style="4" customWidth="1"/>
    <col min="21" max="21" width="4.109375" style="21" customWidth="1"/>
    <col min="22" max="23" width="3.88671875" style="21" customWidth="1"/>
    <col min="24" max="24" width="7.44140625" style="21" customWidth="1"/>
    <col min="25" max="25" width="3.88671875" style="21" customWidth="1"/>
    <col min="26" max="26" width="7.6640625" style="21" customWidth="1"/>
    <col min="27" max="27" width="6.88671875" style="21" customWidth="1"/>
    <col min="28" max="28" width="5.33203125" style="21" customWidth="1"/>
    <col min="29" max="29" width="7.88671875" style="21" customWidth="1"/>
    <col min="30" max="30" width="5.6640625" style="21" customWidth="1"/>
    <col min="31" max="31" width="5.88671875" style="21" customWidth="1"/>
    <col min="32" max="32" width="11.5546875" style="21" customWidth="1"/>
    <col min="33" max="33" width="12.44140625" style="21" customWidth="1"/>
    <col min="34" max="34" width="1" style="21" customWidth="1"/>
    <col min="35" max="35" width="2.44140625" style="4" customWidth="1"/>
    <col min="36" max="16384" width="9.109375" style="337"/>
  </cols>
  <sheetData>
    <row r="1" spans="1:35" ht="14.25" customHeight="1" thickBot="1" x14ac:dyDescent="0.35">
      <c r="B1" s="336"/>
      <c r="C1" s="982"/>
      <c r="D1" s="982"/>
      <c r="E1" s="982"/>
      <c r="F1" s="982"/>
      <c r="G1" s="982"/>
      <c r="H1" s="982"/>
      <c r="I1" s="982"/>
      <c r="J1" s="982"/>
      <c r="K1" s="982"/>
      <c r="L1" s="982"/>
      <c r="M1" s="982"/>
      <c r="N1" s="982"/>
      <c r="O1" s="982"/>
      <c r="P1" s="324"/>
      <c r="Q1" s="905"/>
      <c r="T1" s="336"/>
      <c r="U1" s="982"/>
      <c r="V1" s="982"/>
      <c r="W1" s="982"/>
      <c r="X1" s="982"/>
      <c r="Y1" s="982"/>
      <c r="Z1" s="982"/>
      <c r="AA1" s="982"/>
      <c r="AB1" s="982"/>
      <c r="AC1" s="982"/>
      <c r="AD1" s="982"/>
      <c r="AE1" s="982"/>
      <c r="AF1" s="982"/>
      <c r="AG1" s="982"/>
      <c r="AH1" s="324"/>
      <c r="AI1" s="905"/>
    </row>
    <row r="2" spans="1:35" ht="5.25" customHeight="1" thickBot="1" x14ac:dyDescent="0.35">
      <c r="B2" s="338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35"/>
      <c r="Q2" s="905"/>
      <c r="T2" s="338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35"/>
      <c r="AI2" s="905"/>
    </row>
    <row r="3" spans="1:35" ht="24" x14ac:dyDescent="0.3">
      <c r="B3" s="339"/>
      <c r="C3" s="90"/>
      <c r="D3" s="906" t="str">
        <f>IF(DASHBOARD!B2="","",DASHBOARD!B2)</f>
        <v xml:space="preserve">SWAMI VIVEKANAND GOVT. MODEL SCHOOL,  </v>
      </c>
      <c r="E3" s="906"/>
      <c r="F3" s="906"/>
      <c r="G3" s="906"/>
      <c r="H3" s="906"/>
      <c r="I3" s="906"/>
      <c r="J3" s="906"/>
      <c r="K3" s="906"/>
      <c r="L3" s="906"/>
      <c r="M3" s="906"/>
      <c r="N3" s="906"/>
      <c r="O3" s="907"/>
      <c r="P3" s="255"/>
      <c r="Q3" s="905"/>
      <c r="T3" s="339"/>
      <c r="U3" s="90"/>
      <c r="V3" s="906" t="str">
        <f>D3</f>
        <v xml:space="preserve">SWAMI VIVEKANAND GOVT. MODEL SCHOOL,  </v>
      </c>
      <c r="W3" s="906"/>
      <c r="X3" s="906"/>
      <c r="Y3" s="906"/>
      <c r="Z3" s="906"/>
      <c r="AA3" s="906"/>
      <c r="AB3" s="906"/>
      <c r="AC3" s="906"/>
      <c r="AD3" s="906"/>
      <c r="AE3" s="906"/>
      <c r="AF3" s="906"/>
      <c r="AG3" s="907"/>
      <c r="AH3" s="255"/>
      <c r="AI3" s="905"/>
    </row>
    <row r="4" spans="1:35" ht="24.6" x14ac:dyDescent="0.3">
      <c r="B4" s="339"/>
      <c r="C4" s="91"/>
      <c r="D4" s="235"/>
      <c r="E4" s="235"/>
      <c r="F4" s="235"/>
      <c r="G4" s="908" t="str">
        <f>IF(DASHBOARD!B3="","",DASHBOARD!B3)</f>
        <v xml:space="preserve">AMET, BLOCK-AMET, RAJSAMAND                                                                </v>
      </c>
      <c r="H4" s="908"/>
      <c r="I4" s="908"/>
      <c r="J4" s="908"/>
      <c r="K4" s="908"/>
      <c r="L4" s="908"/>
      <c r="M4" s="908"/>
      <c r="N4" s="908"/>
      <c r="O4" s="909"/>
      <c r="P4" s="149"/>
      <c r="Q4" s="905"/>
      <c r="T4" s="339"/>
      <c r="U4" s="91"/>
      <c r="V4" s="235"/>
      <c r="W4" s="235"/>
      <c r="X4" s="235"/>
      <c r="Y4" s="908" t="str">
        <f>G4</f>
        <v xml:space="preserve">AMET, BLOCK-AMET, RAJSAMAND                                                                </v>
      </c>
      <c r="Z4" s="908"/>
      <c r="AA4" s="908"/>
      <c r="AB4" s="908"/>
      <c r="AC4" s="908"/>
      <c r="AD4" s="908"/>
      <c r="AE4" s="908"/>
      <c r="AF4" s="908"/>
      <c r="AG4" s="909"/>
      <c r="AH4" s="149"/>
      <c r="AI4" s="905"/>
    </row>
    <row r="5" spans="1:35" ht="22.8" x14ac:dyDescent="0.3">
      <c r="B5" s="339"/>
      <c r="C5" s="92"/>
      <c r="D5" s="97"/>
      <c r="E5" s="892" t="s">
        <v>263</v>
      </c>
      <c r="F5" s="892"/>
      <c r="G5" s="892"/>
      <c r="H5" s="892"/>
      <c r="I5" s="892"/>
      <c r="J5" s="892"/>
      <c r="K5" s="892"/>
      <c r="L5" s="892"/>
      <c r="M5" s="892"/>
      <c r="N5" s="892"/>
      <c r="O5" s="361"/>
      <c r="P5" s="96"/>
      <c r="Q5" s="905"/>
      <c r="T5" s="339"/>
      <c r="U5" s="92"/>
      <c r="V5" s="97"/>
      <c r="W5" s="892" t="s">
        <v>263</v>
      </c>
      <c r="X5" s="892"/>
      <c r="Y5" s="892"/>
      <c r="Z5" s="892"/>
      <c r="AA5" s="892"/>
      <c r="AB5" s="892"/>
      <c r="AC5" s="892"/>
      <c r="AD5" s="892"/>
      <c r="AE5" s="892"/>
      <c r="AF5" s="892"/>
      <c r="AG5" s="361"/>
      <c r="AH5" s="96"/>
      <c r="AI5" s="905"/>
    </row>
    <row r="6" spans="1:35" ht="17.399999999999999" x14ac:dyDescent="0.3">
      <c r="B6" s="339"/>
      <c r="C6" s="92"/>
      <c r="D6" s="97"/>
      <c r="E6" s="939" t="str">
        <f>"                     ACADEMIC  "&amp;DASHBOARD!B4</f>
        <v xml:space="preserve">                     ACADEMIC  SESSION    -  2025-26</v>
      </c>
      <c r="F6" s="939"/>
      <c r="G6" s="939"/>
      <c r="H6" s="939"/>
      <c r="I6" s="939"/>
      <c r="J6" s="939"/>
      <c r="K6" s="939"/>
      <c r="L6" s="939"/>
      <c r="M6" s="939"/>
      <c r="N6" s="939"/>
      <c r="O6" s="940"/>
      <c r="P6" s="96"/>
      <c r="Q6" s="905"/>
      <c r="T6" s="339"/>
      <c r="U6" s="92"/>
      <c r="V6" s="97"/>
      <c r="W6" s="939" t="str">
        <f>"                     ACADEMIC  "&amp;DASHBOARD!B4</f>
        <v xml:space="preserve">                     ACADEMIC  SESSION    -  2025-26</v>
      </c>
      <c r="X6" s="939"/>
      <c r="Y6" s="939"/>
      <c r="Z6" s="939"/>
      <c r="AA6" s="939"/>
      <c r="AB6" s="939"/>
      <c r="AC6" s="939"/>
      <c r="AD6" s="939"/>
      <c r="AE6" s="939"/>
      <c r="AF6" s="939"/>
      <c r="AG6" s="940"/>
      <c r="AH6" s="96"/>
      <c r="AI6" s="905"/>
    </row>
    <row r="7" spans="1:35" ht="10.5" customHeight="1" x14ac:dyDescent="0.3">
      <c r="B7" s="339"/>
      <c r="C7" s="92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6"/>
      <c r="P7" s="96"/>
      <c r="Q7" s="905"/>
      <c r="T7" s="339"/>
      <c r="U7" s="92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6"/>
      <c r="AH7" s="96"/>
      <c r="AI7" s="905"/>
    </row>
    <row r="8" spans="1:35" s="343" customFormat="1" ht="18" x14ac:dyDescent="0.35">
      <c r="A8" s="340"/>
      <c r="B8" s="341"/>
      <c r="C8" s="265" t="s">
        <v>130</v>
      </c>
      <c r="D8" s="143"/>
      <c r="E8" s="143"/>
      <c r="F8" s="143"/>
      <c r="G8" s="143"/>
      <c r="H8" s="143"/>
      <c r="I8" s="143"/>
      <c r="J8" s="984">
        <v>1151</v>
      </c>
      <c r="K8" s="984"/>
      <c r="L8" s="984"/>
      <c r="M8" s="984"/>
      <c r="N8" s="984"/>
      <c r="O8" s="985"/>
      <c r="P8" s="342"/>
      <c r="Q8" s="905"/>
      <c r="S8" s="340"/>
      <c r="T8" s="341"/>
      <c r="U8" s="265" t="s">
        <v>130</v>
      </c>
      <c r="V8" s="143"/>
      <c r="W8" s="143"/>
      <c r="X8" s="143"/>
      <c r="Y8" s="143"/>
      <c r="Z8" s="143"/>
      <c r="AA8" s="143"/>
      <c r="AB8" s="939">
        <f>J8+1</f>
        <v>1152</v>
      </c>
      <c r="AC8" s="939"/>
      <c r="AD8" s="939"/>
      <c r="AE8" s="939"/>
      <c r="AF8" s="939"/>
      <c r="AG8" s="940"/>
      <c r="AH8" s="342"/>
      <c r="AI8" s="905"/>
    </row>
    <row r="9" spans="1:35" s="343" customFormat="1" ht="18" x14ac:dyDescent="0.35">
      <c r="A9" s="340"/>
      <c r="B9" s="341"/>
      <c r="C9" s="265" t="s">
        <v>74</v>
      </c>
      <c r="D9" s="143"/>
      <c r="E9" s="143"/>
      <c r="F9" s="143"/>
      <c r="G9" s="143"/>
      <c r="H9" s="143"/>
      <c r="I9" s="143"/>
      <c r="J9" s="939" t="e">
        <f>IF(J8="","",VLOOKUP(J8,'GREEN SHEET'!C7:FK70,3,0))</f>
        <v>#N/A</v>
      </c>
      <c r="K9" s="939"/>
      <c r="L9" s="939"/>
      <c r="M9" s="939"/>
      <c r="N9" s="939"/>
      <c r="O9" s="940"/>
      <c r="P9" s="151"/>
      <c r="Q9" s="905"/>
      <c r="S9" s="340"/>
      <c r="T9" s="341"/>
      <c r="U9" s="265" t="s">
        <v>74</v>
      </c>
      <c r="V9" s="143"/>
      <c r="W9" s="143"/>
      <c r="X9" s="143"/>
      <c r="Y9" s="143"/>
      <c r="Z9" s="143"/>
      <c r="AA9" s="143"/>
      <c r="AB9" s="939" t="e">
        <f>IF(AB8="","",VLOOKUP(AB8,'GREEN SHEET'!C7:FK70,3,0))</f>
        <v>#N/A</v>
      </c>
      <c r="AC9" s="939"/>
      <c r="AD9" s="939"/>
      <c r="AE9" s="939"/>
      <c r="AF9" s="939"/>
      <c r="AG9" s="940"/>
      <c r="AH9" s="151"/>
      <c r="AI9" s="905"/>
    </row>
    <row r="10" spans="1:35" s="343" customFormat="1" ht="18" x14ac:dyDescent="0.35">
      <c r="A10" s="340"/>
      <c r="B10" s="341"/>
      <c r="C10" s="265" t="s">
        <v>128</v>
      </c>
      <c r="D10" s="143"/>
      <c r="E10" s="143"/>
      <c r="F10" s="143"/>
      <c r="G10" s="143"/>
      <c r="H10" s="143"/>
      <c r="I10" s="143"/>
      <c r="J10" s="939" t="e">
        <f>IF(J8="","",VLOOKUP(J8,'GREEN SHEET'!C7:FK70,4,0))</f>
        <v>#N/A</v>
      </c>
      <c r="K10" s="939"/>
      <c r="L10" s="939"/>
      <c r="M10" s="939"/>
      <c r="N10" s="939"/>
      <c r="O10" s="940"/>
      <c r="P10" s="328"/>
      <c r="Q10" s="905"/>
      <c r="S10" s="340"/>
      <c r="T10" s="341"/>
      <c r="U10" s="265" t="s">
        <v>128</v>
      </c>
      <c r="V10" s="143"/>
      <c r="W10" s="143"/>
      <c r="X10" s="143"/>
      <c r="Y10" s="143"/>
      <c r="Z10" s="143"/>
      <c r="AA10" s="143"/>
      <c r="AB10" s="939" t="e">
        <f>IF(AB8="","",VLOOKUP(AB8,'GREEN SHEET'!C7:FK70,4,0))</f>
        <v>#N/A</v>
      </c>
      <c r="AC10" s="939"/>
      <c r="AD10" s="939"/>
      <c r="AE10" s="939"/>
      <c r="AF10" s="939"/>
      <c r="AG10" s="940"/>
      <c r="AH10" s="328"/>
      <c r="AI10" s="905"/>
    </row>
    <row r="11" spans="1:35" s="343" customFormat="1" ht="18" x14ac:dyDescent="0.35">
      <c r="A11" s="340"/>
      <c r="B11" s="341"/>
      <c r="C11" s="265" t="s">
        <v>79</v>
      </c>
      <c r="D11" s="143"/>
      <c r="E11" s="143"/>
      <c r="F11" s="143"/>
      <c r="G11" s="143"/>
      <c r="H11" s="143"/>
      <c r="I11" s="143"/>
      <c r="J11" s="943" t="e">
        <f>IF(J8="","",VLOOKUP(J8,'GREEN SHEET'!C7:FK70,6,0))</f>
        <v>#N/A</v>
      </c>
      <c r="K11" s="943"/>
      <c r="L11" s="943"/>
      <c r="M11" s="943"/>
      <c r="N11" s="943"/>
      <c r="O11" s="944"/>
      <c r="P11" s="328"/>
      <c r="Q11" s="905"/>
      <c r="S11" s="340"/>
      <c r="T11" s="341"/>
      <c r="U11" s="265" t="s">
        <v>79</v>
      </c>
      <c r="V11" s="143"/>
      <c r="W11" s="143"/>
      <c r="X11" s="143"/>
      <c r="Y11" s="143"/>
      <c r="Z11" s="143"/>
      <c r="AA11" s="143"/>
      <c r="AB11" s="943" t="e">
        <f>IF(AB8="","",VLOOKUP(AB8,'GREEN SHEET'!C7:FK70,6,0))</f>
        <v>#N/A</v>
      </c>
      <c r="AC11" s="943"/>
      <c r="AD11" s="943"/>
      <c r="AE11" s="943"/>
      <c r="AF11" s="943"/>
      <c r="AG11" s="944"/>
      <c r="AH11" s="328"/>
      <c r="AI11" s="905"/>
    </row>
    <row r="12" spans="1:35" s="343" customFormat="1" ht="20.25" customHeight="1" thickBot="1" x14ac:dyDescent="0.4">
      <c r="A12" s="340"/>
      <c r="B12" s="341"/>
      <c r="C12" s="265" t="s">
        <v>75</v>
      </c>
      <c r="D12" s="143"/>
      <c r="E12" s="143"/>
      <c r="F12" s="143"/>
      <c r="G12" s="143"/>
      <c r="H12" s="143"/>
      <c r="I12" s="143"/>
      <c r="J12" s="939" t="str">
        <f>IF(J8="","",DASHBOARD!B8&amp;DASHBOARD!C8)</f>
        <v>XI A</v>
      </c>
      <c r="K12" s="939"/>
      <c r="L12" s="939"/>
      <c r="M12" s="939"/>
      <c r="N12" s="939"/>
      <c r="O12" s="940"/>
      <c r="P12" s="329"/>
      <c r="Q12" s="905"/>
      <c r="S12" s="340"/>
      <c r="T12" s="341"/>
      <c r="U12" s="265" t="s">
        <v>75</v>
      </c>
      <c r="V12" s="143"/>
      <c r="W12" s="143"/>
      <c r="X12" s="143"/>
      <c r="Y12" s="143"/>
      <c r="Z12" s="143"/>
      <c r="AA12" s="143"/>
      <c r="AB12" s="939" t="str">
        <f>IF(AB8="","",DASHBOARD!B8&amp;DASHBOARD!C8)</f>
        <v>XI A</v>
      </c>
      <c r="AC12" s="939"/>
      <c r="AD12" s="939"/>
      <c r="AE12" s="939"/>
      <c r="AF12" s="939"/>
      <c r="AG12" s="940"/>
      <c r="AH12" s="329"/>
      <c r="AI12" s="905"/>
    </row>
    <row r="13" spans="1:35" ht="23.25" customHeight="1" thickBot="1" x14ac:dyDescent="0.35">
      <c r="B13" s="339"/>
      <c r="C13" s="898" t="s">
        <v>127</v>
      </c>
      <c r="D13" s="899"/>
      <c r="E13" s="899"/>
      <c r="F13" s="899"/>
      <c r="G13" s="899"/>
      <c r="H13" s="899"/>
      <c r="I13" s="899"/>
      <c r="J13" s="899"/>
      <c r="K13" s="899"/>
      <c r="L13" s="899"/>
      <c r="M13" s="899"/>
      <c r="N13" s="899"/>
      <c r="O13" s="900"/>
      <c r="P13" s="245"/>
      <c r="Q13" s="905"/>
      <c r="T13" s="339"/>
      <c r="U13" s="898" t="s">
        <v>127</v>
      </c>
      <c r="V13" s="899"/>
      <c r="W13" s="899"/>
      <c r="X13" s="899"/>
      <c r="Y13" s="899"/>
      <c r="Z13" s="899"/>
      <c r="AA13" s="899"/>
      <c r="AB13" s="899"/>
      <c r="AC13" s="899"/>
      <c r="AD13" s="899"/>
      <c r="AE13" s="899"/>
      <c r="AF13" s="899"/>
      <c r="AG13" s="900"/>
      <c r="AH13" s="245"/>
      <c r="AI13" s="905"/>
    </row>
    <row r="14" spans="1:35" ht="3.75" customHeight="1" thickBot="1" x14ac:dyDescent="0.35">
      <c r="B14" s="339"/>
      <c r="C14" s="325"/>
      <c r="D14" s="323"/>
      <c r="E14" s="323"/>
      <c r="F14" s="323"/>
      <c r="G14" s="323"/>
      <c r="H14" s="323"/>
      <c r="I14" s="323"/>
      <c r="J14" s="323"/>
      <c r="K14" s="323"/>
      <c r="L14" s="323"/>
      <c r="M14" s="323"/>
      <c r="N14" s="323"/>
      <c r="O14" s="245"/>
      <c r="P14" s="245"/>
      <c r="Q14" s="905"/>
      <c r="T14" s="339"/>
      <c r="U14" s="325"/>
      <c r="V14" s="323"/>
      <c r="W14" s="323"/>
      <c r="X14" s="323"/>
      <c r="Y14" s="323"/>
      <c r="Z14" s="323"/>
      <c r="AA14" s="323"/>
      <c r="AB14" s="323"/>
      <c r="AC14" s="323"/>
      <c r="AD14" s="323"/>
      <c r="AE14" s="323"/>
      <c r="AF14" s="323"/>
      <c r="AG14" s="245"/>
      <c r="AH14" s="245"/>
      <c r="AI14" s="905"/>
    </row>
    <row r="15" spans="1:35" ht="39.75" customHeight="1" x14ac:dyDescent="0.3">
      <c r="B15" s="339"/>
      <c r="C15" s="901" t="s">
        <v>150</v>
      </c>
      <c r="D15" s="902"/>
      <c r="E15" s="902"/>
      <c r="F15" s="902"/>
      <c r="G15" s="902"/>
      <c r="H15" s="941" t="s">
        <v>259</v>
      </c>
      <c r="I15" s="941"/>
      <c r="J15" s="941" t="s">
        <v>258</v>
      </c>
      <c r="K15" s="941"/>
      <c r="L15" s="941" t="s">
        <v>260</v>
      </c>
      <c r="M15" s="942"/>
      <c r="N15" s="997" t="s">
        <v>262</v>
      </c>
      <c r="O15" s="999" t="s">
        <v>261</v>
      </c>
      <c r="P15" s="256"/>
      <c r="Q15" s="905"/>
      <c r="T15" s="339"/>
      <c r="U15" s="901" t="s">
        <v>150</v>
      </c>
      <c r="V15" s="902"/>
      <c r="W15" s="902"/>
      <c r="X15" s="902"/>
      <c r="Y15" s="902"/>
      <c r="Z15" s="941" t="s">
        <v>259</v>
      </c>
      <c r="AA15" s="941"/>
      <c r="AB15" s="941" t="s">
        <v>258</v>
      </c>
      <c r="AC15" s="941"/>
      <c r="AD15" s="941" t="s">
        <v>260</v>
      </c>
      <c r="AE15" s="942"/>
      <c r="AF15" s="997" t="s">
        <v>262</v>
      </c>
      <c r="AG15" s="999" t="s">
        <v>261</v>
      </c>
      <c r="AH15" s="256"/>
      <c r="AI15" s="905"/>
    </row>
    <row r="16" spans="1:35" ht="27" customHeight="1" thickBot="1" x14ac:dyDescent="0.4">
      <c r="B16" s="339"/>
      <c r="C16" s="903" t="s">
        <v>93</v>
      </c>
      <c r="D16" s="904"/>
      <c r="E16" s="904"/>
      <c r="F16" s="904"/>
      <c r="G16" s="904"/>
      <c r="H16" s="916">
        <v>30</v>
      </c>
      <c r="I16" s="916"/>
      <c r="J16" s="916">
        <v>30</v>
      </c>
      <c r="K16" s="916"/>
      <c r="L16" s="916">
        <v>80</v>
      </c>
      <c r="M16" s="983"/>
      <c r="N16" s="998"/>
      <c r="O16" s="1000"/>
      <c r="P16" s="256"/>
      <c r="Q16" s="905"/>
      <c r="T16" s="339"/>
      <c r="U16" s="903" t="s">
        <v>93</v>
      </c>
      <c r="V16" s="904"/>
      <c r="W16" s="904"/>
      <c r="X16" s="904"/>
      <c r="Y16" s="904"/>
      <c r="Z16" s="916">
        <v>30</v>
      </c>
      <c r="AA16" s="916"/>
      <c r="AB16" s="916">
        <v>30</v>
      </c>
      <c r="AC16" s="916"/>
      <c r="AD16" s="916">
        <v>80</v>
      </c>
      <c r="AE16" s="983"/>
      <c r="AF16" s="998"/>
      <c r="AG16" s="1000"/>
      <c r="AH16" s="256"/>
      <c r="AI16" s="905"/>
    </row>
    <row r="17" spans="1:35" ht="32.25" customHeight="1" thickBot="1" x14ac:dyDescent="0.4">
      <c r="B17" s="339"/>
      <c r="C17" s="959" t="s">
        <v>1</v>
      </c>
      <c r="D17" s="960"/>
      <c r="E17" s="960"/>
      <c r="F17" s="960"/>
      <c r="G17" s="960"/>
      <c r="H17" s="916" t="e">
        <f>IF(J8="","",VLOOKUP(J8,'GREEN SHEET'!C7:FK70,10,0))</f>
        <v>#N/A</v>
      </c>
      <c r="I17" s="916"/>
      <c r="J17" s="916" t="e">
        <f>IF(J8="","",VLOOKUP(J8,'GREEN SHEET'!C7:FK70,12,0))</f>
        <v>#N/A</v>
      </c>
      <c r="K17" s="916"/>
      <c r="L17" s="916" t="e">
        <f>IF(J8="","",VLOOKUP(J8,'GREEN SHEET'!C7:FK70,11,0))</f>
        <v>#N/A</v>
      </c>
      <c r="M17" s="961"/>
      <c r="N17" s="360" t="e">
        <f>ROUNDUP((SUM(H17:M17)*100)/SUM($H$16:$M$16),2)&amp;" %"</f>
        <v>#N/A</v>
      </c>
      <c r="O17" s="356"/>
      <c r="P17" s="256"/>
      <c r="Q17" s="905"/>
      <c r="T17" s="339"/>
      <c r="U17" s="959" t="s">
        <v>1</v>
      </c>
      <c r="V17" s="960"/>
      <c r="W17" s="960"/>
      <c r="X17" s="960"/>
      <c r="Y17" s="960"/>
      <c r="Z17" s="916" t="e">
        <f>IF(AB8="","",VLOOKUP(AB8,'GREEN SHEET'!C7:FK70,10,0))</f>
        <v>#N/A</v>
      </c>
      <c r="AA17" s="916"/>
      <c r="AB17" s="916" t="e">
        <f>IF(AB8="","",VLOOKUP(AB8,'GREEN SHEET'!C7:FK70,12,0))</f>
        <v>#N/A</v>
      </c>
      <c r="AC17" s="916"/>
      <c r="AD17" s="916" t="e">
        <f>IF(AB8="","",VLOOKUP(AB8,'GREEN SHEET'!C7:FK70,11,0))</f>
        <v>#N/A</v>
      </c>
      <c r="AE17" s="983"/>
      <c r="AF17" s="360" t="e">
        <f>ROUNDUP((SUM(Z17:AE17)*100)/SUM($H$16:$M$16),2)&amp;" %"</f>
        <v>#N/A</v>
      </c>
      <c r="AG17" s="356"/>
      <c r="AH17" s="256"/>
      <c r="AI17" s="905"/>
    </row>
    <row r="18" spans="1:35" ht="32.25" customHeight="1" thickBot="1" x14ac:dyDescent="0.4">
      <c r="B18" s="339"/>
      <c r="C18" s="893" t="s">
        <v>86</v>
      </c>
      <c r="D18" s="894"/>
      <c r="E18" s="894"/>
      <c r="F18" s="894"/>
      <c r="G18" s="894"/>
      <c r="H18" s="962" t="e">
        <f>IF(J8="","",VLOOKUP(J8,'GREEN SHEET'!C7:FK70,24,0))</f>
        <v>#N/A</v>
      </c>
      <c r="I18" s="962"/>
      <c r="J18" s="962" t="e">
        <f>IF(J8="","",VLOOKUP(J8,'GREEN SHEET'!C7:FK70,28,0))</f>
        <v>#N/A</v>
      </c>
      <c r="K18" s="962"/>
      <c r="L18" s="962" t="e">
        <f>IF(J8="","",VLOOKUP(J8,'GREEN SHEET'!C7:FK70,26,0))</f>
        <v>#N/A</v>
      </c>
      <c r="M18" s="966"/>
      <c r="N18" s="360" t="e">
        <f>ROUNDUP((SUM(H18:M18)*100)/SUM($H$16:$M$16),2)&amp;" %"</f>
        <v>#N/A</v>
      </c>
      <c r="O18" s="357"/>
      <c r="P18" s="322"/>
      <c r="Q18" s="905"/>
      <c r="T18" s="339"/>
      <c r="U18" s="893" t="s">
        <v>86</v>
      </c>
      <c r="V18" s="894"/>
      <c r="W18" s="894"/>
      <c r="X18" s="894"/>
      <c r="Y18" s="894"/>
      <c r="Z18" s="962" t="e">
        <f>IF(AB8="","",VLOOKUP(AB8,'GREEN SHEET'!C7:FK70,24,0))</f>
        <v>#N/A</v>
      </c>
      <c r="AA18" s="962"/>
      <c r="AB18" s="962" t="e">
        <f>IF(AB8="","",VLOOKUP(AB8,'GREEN SHEET'!C7:FK70,28,0))</f>
        <v>#N/A</v>
      </c>
      <c r="AC18" s="962"/>
      <c r="AD18" s="962" t="e">
        <f>IF(AB8="","",VLOOKUP(AB8,'GREEN SHEET'!C7:FK70,26,0))</f>
        <v>#N/A</v>
      </c>
      <c r="AE18" s="992"/>
      <c r="AF18" s="360" t="e">
        <f>ROUNDUP((SUM(Z18:AE18)*100)/SUM($H$16:$M$16),2)&amp;" %"</f>
        <v>#N/A</v>
      </c>
      <c r="AG18" s="357"/>
      <c r="AH18" s="322"/>
      <c r="AI18" s="905"/>
    </row>
    <row r="19" spans="1:35" ht="3.75" customHeight="1" thickBot="1" x14ac:dyDescent="0.35">
      <c r="B19" s="339"/>
      <c r="C19" s="895"/>
      <c r="D19" s="896"/>
      <c r="E19" s="896"/>
      <c r="F19" s="896"/>
      <c r="G19" s="896"/>
      <c r="H19" s="896"/>
      <c r="I19" s="896"/>
      <c r="J19" s="896"/>
      <c r="K19" s="896"/>
      <c r="L19" s="896"/>
      <c r="M19" s="896"/>
      <c r="N19" s="896"/>
      <c r="O19" s="897"/>
      <c r="P19" s="344"/>
      <c r="Q19" s="905"/>
      <c r="T19" s="339"/>
      <c r="U19" s="895"/>
      <c r="V19" s="896"/>
      <c r="W19" s="896"/>
      <c r="X19" s="896"/>
      <c r="Y19" s="896"/>
      <c r="Z19" s="896"/>
      <c r="AA19" s="896"/>
      <c r="AB19" s="896"/>
      <c r="AC19" s="896"/>
      <c r="AD19" s="896"/>
      <c r="AE19" s="896"/>
      <c r="AF19" s="896"/>
      <c r="AG19" s="897"/>
      <c r="AH19" s="344"/>
      <c r="AI19" s="905"/>
    </row>
    <row r="20" spans="1:35" ht="15.75" customHeight="1" thickBot="1" x14ac:dyDescent="0.35">
      <c r="B20" s="339"/>
      <c r="C20" s="885" t="s">
        <v>87</v>
      </c>
      <c r="D20" s="886"/>
      <c r="E20" s="886"/>
      <c r="F20" s="886"/>
      <c r="G20" s="887"/>
      <c r="H20" s="945" t="s">
        <v>126</v>
      </c>
      <c r="I20" s="945"/>
      <c r="J20" s="945"/>
      <c r="K20" s="945"/>
      <c r="L20" s="945"/>
      <c r="M20" s="945"/>
      <c r="N20" s="945"/>
      <c r="O20" s="946"/>
      <c r="P20" s="259"/>
      <c r="Q20" s="905"/>
      <c r="T20" s="339"/>
      <c r="U20" s="885" t="s">
        <v>87</v>
      </c>
      <c r="V20" s="886"/>
      <c r="W20" s="886"/>
      <c r="X20" s="886"/>
      <c r="Y20" s="887"/>
      <c r="Z20" s="987" t="s">
        <v>126</v>
      </c>
      <c r="AA20" s="987"/>
      <c r="AB20" s="987"/>
      <c r="AC20" s="987"/>
      <c r="AD20" s="987"/>
      <c r="AE20" s="987"/>
      <c r="AF20" s="987"/>
      <c r="AG20" s="988"/>
      <c r="AH20" s="259"/>
      <c r="AI20" s="905"/>
    </row>
    <row r="21" spans="1:35" ht="36.75" customHeight="1" x14ac:dyDescent="0.3">
      <c r="B21" s="339"/>
      <c r="C21" s="888"/>
      <c r="D21" s="889"/>
      <c r="E21" s="889"/>
      <c r="F21" s="889"/>
      <c r="G21" s="889"/>
      <c r="H21" s="947" t="s">
        <v>259</v>
      </c>
      <c r="I21" s="941"/>
      <c r="J21" s="941" t="s">
        <v>258</v>
      </c>
      <c r="K21" s="941"/>
      <c r="L21" s="941" t="s">
        <v>260</v>
      </c>
      <c r="M21" s="942"/>
      <c r="N21" s="1001" t="s">
        <v>262</v>
      </c>
      <c r="O21" s="1003" t="s">
        <v>261</v>
      </c>
      <c r="P21" s="259"/>
      <c r="Q21" s="905"/>
      <c r="T21" s="339"/>
      <c r="U21" s="888"/>
      <c r="V21" s="889"/>
      <c r="W21" s="889"/>
      <c r="X21" s="889"/>
      <c r="Y21" s="986"/>
      <c r="Z21" s="989" t="s">
        <v>259</v>
      </c>
      <c r="AA21" s="990"/>
      <c r="AB21" s="989" t="s">
        <v>258</v>
      </c>
      <c r="AC21" s="990"/>
      <c r="AD21" s="989" t="s">
        <v>260</v>
      </c>
      <c r="AE21" s="991"/>
      <c r="AF21" s="1001" t="s">
        <v>262</v>
      </c>
      <c r="AG21" s="1003" t="s">
        <v>261</v>
      </c>
      <c r="AH21" s="259"/>
      <c r="AI21" s="905"/>
    </row>
    <row r="22" spans="1:35" s="347" customFormat="1" ht="33" customHeight="1" x14ac:dyDescent="0.3">
      <c r="A22" s="345"/>
      <c r="B22" s="346"/>
      <c r="C22" s="910" t="s">
        <v>93</v>
      </c>
      <c r="D22" s="911"/>
      <c r="E22" s="911"/>
      <c r="F22" s="911"/>
      <c r="G22" s="911"/>
      <c r="H22" s="914">
        <v>30</v>
      </c>
      <c r="I22" s="915"/>
      <c r="J22" s="915">
        <v>30</v>
      </c>
      <c r="K22" s="915"/>
      <c r="L22" s="916">
        <v>70</v>
      </c>
      <c r="M22" s="916"/>
      <c r="N22" s="1002"/>
      <c r="O22" s="1004"/>
      <c r="P22" s="259"/>
      <c r="Q22" s="905"/>
      <c r="S22" s="345"/>
      <c r="T22" s="346"/>
      <c r="U22" s="910" t="s">
        <v>93</v>
      </c>
      <c r="V22" s="911"/>
      <c r="W22" s="911"/>
      <c r="X22" s="911"/>
      <c r="Y22" s="911"/>
      <c r="Z22" s="995">
        <v>30</v>
      </c>
      <c r="AA22" s="996"/>
      <c r="AB22" s="915">
        <v>30</v>
      </c>
      <c r="AC22" s="915"/>
      <c r="AD22" s="916">
        <v>70</v>
      </c>
      <c r="AE22" s="916"/>
      <c r="AF22" s="1002"/>
      <c r="AG22" s="1004"/>
      <c r="AH22" s="259"/>
      <c r="AI22" s="905"/>
    </row>
    <row r="23" spans="1:35" s="347" customFormat="1" ht="33" customHeight="1" x14ac:dyDescent="0.3">
      <c r="A23" s="345"/>
      <c r="B23" s="346"/>
      <c r="C23" s="910" t="s">
        <v>88</v>
      </c>
      <c r="D23" s="911"/>
      <c r="E23" s="911"/>
      <c r="F23" s="911"/>
      <c r="G23" s="911"/>
      <c r="H23" s="912" t="e">
        <f>VLOOKUP(J8,'GREEN SHEET'!C7:FK70,44,0)</f>
        <v>#N/A</v>
      </c>
      <c r="I23" s="913"/>
      <c r="J23" s="913" t="e">
        <f>VLOOKUP(J8,'GREEN SHEET'!C7:FK70,50,0)</f>
        <v>#N/A</v>
      </c>
      <c r="K23" s="913"/>
      <c r="L23" s="913" t="e">
        <f>VLOOKUP(J8,'GREEN SHEET'!C7:FK70,46,0)</f>
        <v>#N/A</v>
      </c>
      <c r="M23" s="913"/>
      <c r="N23" s="354" t="e">
        <f>ROUNDUP((SUM(H23:M23)*100)/SUM($H$22:$M$22),2)&amp;" %"</f>
        <v>#N/A</v>
      </c>
      <c r="O23" s="358"/>
      <c r="P23" s="330"/>
      <c r="Q23" s="905"/>
      <c r="S23" s="345"/>
      <c r="T23" s="346"/>
      <c r="U23" s="910" t="s">
        <v>88</v>
      </c>
      <c r="V23" s="911"/>
      <c r="W23" s="911"/>
      <c r="X23" s="911"/>
      <c r="Y23" s="948"/>
      <c r="Z23" s="993" t="e">
        <f>VLOOKUP(AB8,'GREEN SHEET'!C7:FK70,44,0)</f>
        <v>#N/A</v>
      </c>
      <c r="AA23" s="994"/>
      <c r="AB23" s="993" t="e">
        <f>VLOOKUP(AB8,'GREEN SHEET'!C7:FK70,50,0)</f>
        <v>#N/A</v>
      </c>
      <c r="AC23" s="994"/>
      <c r="AD23" s="993" t="e">
        <f>VLOOKUP(AB8,'GREEN SHEET'!C7:FK70,46,0)</f>
        <v>#N/A</v>
      </c>
      <c r="AE23" s="994"/>
      <c r="AF23" s="354" t="e">
        <f>ROUNDUP((SUM(Z23:AE23)*100)/SUM($H$22:$M$22),2)&amp;" %"</f>
        <v>#N/A</v>
      </c>
      <c r="AG23" s="358"/>
      <c r="AH23" s="330"/>
      <c r="AI23" s="905"/>
    </row>
    <row r="24" spans="1:35" s="347" customFormat="1" ht="33" customHeight="1" x14ac:dyDescent="0.3">
      <c r="A24" s="345"/>
      <c r="B24" s="346"/>
      <c r="C24" s="910" t="s">
        <v>83</v>
      </c>
      <c r="D24" s="911"/>
      <c r="E24" s="911"/>
      <c r="F24" s="911"/>
      <c r="G24" s="911"/>
      <c r="H24" s="912" t="e">
        <f>VLOOKUP(J8,'GREEN SHEET'!C7:FK70,63,0)</f>
        <v>#N/A</v>
      </c>
      <c r="I24" s="913"/>
      <c r="J24" s="913" t="e">
        <f>VLOOKUP(J8,'GREEN SHEET'!C7:FK70,69,0)</f>
        <v>#N/A</v>
      </c>
      <c r="K24" s="913"/>
      <c r="L24" s="913" t="e">
        <f>VLOOKUP(J8,'GREEN SHEET'!C7:FK70,65,0)</f>
        <v>#N/A</v>
      </c>
      <c r="M24" s="913"/>
      <c r="N24" s="354" t="e">
        <f>ROUNDUP((SUM(H24:M24)*100)/SUM($H$22:$K$22),2)&amp;" %"</f>
        <v>#N/A</v>
      </c>
      <c r="O24" s="358"/>
      <c r="P24" s="330"/>
      <c r="Q24" s="905"/>
      <c r="S24" s="345"/>
      <c r="T24" s="346"/>
      <c r="U24" s="910" t="s">
        <v>83</v>
      </c>
      <c r="V24" s="911"/>
      <c r="W24" s="911"/>
      <c r="X24" s="911"/>
      <c r="Y24" s="948"/>
      <c r="Z24" s="993" t="e">
        <f>VLOOKUP(AB8,'GREEN SHEET'!C7:FK70,63,0)</f>
        <v>#N/A</v>
      </c>
      <c r="AA24" s="994"/>
      <c r="AB24" s="993" t="e">
        <f>VLOOKUP(AB8,'GREEN SHEET'!C7:FK70,69,0)</f>
        <v>#N/A</v>
      </c>
      <c r="AC24" s="994"/>
      <c r="AD24" s="993" t="e">
        <f>VLOOKUP(AB8,'GREEN SHEET'!C7:FK70,65,0)</f>
        <v>#N/A</v>
      </c>
      <c r="AE24" s="994"/>
      <c r="AF24" s="354" t="e">
        <f>ROUNDUP((SUM(Z24:AE24)*100)/SUM($H$22:$K$22),2)&amp;" %"</f>
        <v>#N/A</v>
      </c>
      <c r="AG24" s="358"/>
      <c r="AH24" s="330"/>
      <c r="AI24" s="905"/>
    </row>
    <row r="25" spans="1:35" s="347" customFormat="1" ht="30.6" customHeight="1" x14ac:dyDescent="0.3">
      <c r="A25" s="345"/>
      <c r="B25" s="346"/>
      <c r="C25" s="910" t="s">
        <v>89</v>
      </c>
      <c r="D25" s="911"/>
      <c r="E25" s="911"/>
      <c r="F25" s="911"/>
      <c r="G25" s="911"/>
      <c r="H25" s="912" t="e">
        <f>VLOOKUP(J8,'GREEN SHEET'!C7:FK70,82,0)</f>
        <v>#N/A</v>
      </c>
      <c r="I25" s="913"/>
      <c r="J25" s="913" t="e">
        <f>VLOOKUP(J8,'GREEN SHEET'!C7:FK70,84,0)</f>
        <v>#N/A</v>
      </c>
      <c r="K25" s="913"/>
      <c r="L25" s="913" t="e">
        <f>VLOOKUP(J8,'GREEN SHEET'!C7:FK70,86,0)</f>
        <v>#N/A</v>
      </c>
      <c r="M25" s="913"/>
      <c r="N25" s="354" t="e">
        <f t="shared" ref="N25:N26" si="0">ROUNDUP((SUM(H25:M25)*100)/SUM($H$22:$M$22),2)&amp;" %"</f>
        <v>#N/A</v>
      </c>
      <c r="O25" s="358"/>
      <c r="P25" s="330"/>
      <c r="Q25" s="905"/>
      <c r="S25" s="345"/>
      <c r="T25" s="346"/>
      <c r="U25" s="910" t="s">
        <v>89</v>
      </c>
      <c r="V25" s="911"/>
      <c r="W25" s="911"/>
      <c r="X25" s="911"/>
      <c r="Y25" s="948"/>
      <c r="Z25" s="993" t="e">
        <f>VLOOKUP(AB8,'GREEN SHEET'!C7:FK70,82,0)</f>
        <v>#N/A</v>
      </c>
      <c r="AA25" s="994"/>
      <c r="AB25" s="993" t="e">
        <f>VLOOKUP(AB8,'GREEN SHEET'!C7:FK70,84,0)</f>
        <v>#N/A</v>
      </c>
      <c r="AC25" s="994"/>
      <c r="AD25" s="993" t="e">
        <f>VLOOKUP(AB8,'GREEN SHEET'!C7:FK70,86,0)</f>
        <v>#N/A</v>
      </c>
      <c r="AE25" s="994"/>
      <c r="AF25" s="354" t="e">
        <f t="shared" ref="AF25:AF26" si="1">ROUNDUP((SUM(Z25:AE25)*100)/SUM($H$22:$M$22),2)&amp;" %"</f>
        <v>#N/A</v>
      </c>
      <c r="AG25" s="358"/>
      <c r="AH25" s="330"/>
      <c r="AI25" s="905"/>
    </row>
    <row r="26" spans="1:35" s="347" customFormat="1" ht="33" customHeight="1" thickBot="1" x14ac:dyDescent="0.35">
      <c r="A26" s="345"/>
      <c r="B26" s="346"/>
      <c r="C26" s="890" t="s">
        <v>134</v>
      </c>
      <c r="D26" s="891"/>
      <c r="E26" s="891"/>
      <c r="F26" s="891"/>
      <c r="G26" s="891"/>
      <c r="H26" s="964" t="e">
        <f>VLOOKUP(J8,'GREEN SHEET'!C7:FK70,101,0)</f>
        <v>#N/A</v>
      </c>
      <c r="I26" s="965"/>
      <c r="J26" s="965" t="e">
        <f>VLOOKUP(J8,'GREEN SHEET'!C7:FK70,107,0)</f>
        <v>#N/A</v>
      </c>
      <c r="K26" s="965"/>
      <c r="L26" s="965" t="e">
        <f>VLOOKUP(J8,'GREEN SHEET'!C7:FK70,103,0)</f>
        <v>#N/A</v>
      </c>
      <c r="M26" s="965"/>
      <c r="N26" s="355" t="e">
        <f t="shared" si="0"/>
        <v>#N/A</v>
      </c>
      <c r="O26" s="359"/>
      <c r="P26" s="330"/>
      <c r="Q26" s="905"/>
      <c r="S26" s="345"/>
      <c r="T26" s="346"/>
      <c r="U26" s="890" t="s">
        <v>134</v>
      </c>
      <c r="V26" s="891"/>
      <c r="W26" s="891"/>
      <c r="X26" s="891"/>
      <c r="Y26" s="1005"/>
      <c r="Z26" s="1006" t="e">
        <f>VLOOKUP(AB8,'GREEN SHEET'!C7:FK70,101,0)</f>
        <v>#N/A</v>
      </c>
      <c r="AA26" s="1007"/>
      <c r="AB26" s="1006" t="e">
        <f>VLOOKUP(AB8,'GREEN SHEET'!C7:FK70,107,0)</f>
        <v>#N/A</v>
      </c>
      <c r="AC26" s="1007"/>
      <c r="AD26" s="1006" t="e">
        <f>VLOOKUP(AB8,'GREEN SHEET'!C7:FK70,103,0)</f>
        <v>#N/A</v>
      </c>
      <c r="AE26" s="1007"/>
      <c r="AF26" s="355" t="e">
        <f t="shared" si="1"/>
        <v>#N/A</v>
      </c>
      <c r="AG26" s="359"/>
      <c r="AH26" s="330"/>
      <c r="AI26" s="905"/>
    </row>
    <row r="27" spans="1:35" ht="21.75" hidden="1" customHeight="1" x14ac:dyDescent="0.3">
      <c r="B27" s="339"/>
      <c r="C27" s="933" t="e">
        <f>"ADDITIONAL "&amp;"("&amp;VLOOKUP(J8,ADDITIONAL!D8:T52,2,FALSE)&amp;")"</f>
        <v>#N/A</v>
      </c>
      <c r="D27" s="934"/>
      <c r="E27" s="934"/>
      <c r="F27" s="934"/>
      <c r="G27" s="935"/>
      <c r="H27" s="936" t="e">
        <f>VLOOKUP(J8,ADDITIONAL!D8:U52,9,FALSE)</f>
        <v>#N/A</v>
      </c>
      <c r="I27" s="937"/>
      <c r="J27" s="936" t="e">
        <f>VLOOKUP(J8,ADDITIONAL!D8:U52,12,FALSE)</f>
        <v>#N/A</v>
      </c>
      <c r="K27" s="937"/>
      <c r="L27" s="936" t="e">
        <f>VLOOKUP(J8,ADDITIONAL!D8:U52,10,FALSE)</f>
        <v>#N/A</v>
      </c>
      <c r="M27" s="937"/>
      <c r="N27" s="936" t="e">
        <f>VLOOKUP(J8,ADDITIONAL!D8:U52,13,FALSE)</f>
        <v>#N/A</v>
      </c>
      <c r="O27" s="938"/>
      <c r="P27" s="260"/>
      <c r="Q27" s="905"/>
      <c r="T27" s="339"/>
      <c r="U27" s="933" t="e">
        <f>"ADDITIONAL "&amp;"("&amp;VLOOKUP(AB8,ADDITIONAL!V8:AL52,2,FALSE)&amp;")"</f>
        <v>#N/A</v>
      </c>
      <c r="V27" s="934"/>
      <c r="W27" s="934"/>
      <c r="X27" s="934"/>
      <c r="Y27" s="935"/>
      <c r="Z27" s="936" t="e">
        <f>VLOOKUP(AB8,ADDITIONAL!V8:AM52,9,FALSE)</f>
        <v>#N/A</v>
      </c>
      <c r="AA27" s="937"/>
      <c r="AB27" s="936" t="e">
        <f>VLOOKUP(AB8,ADDITIONAL!V8:AM52,12,FALSE)</f>
        <v>#N/A</v>
      </c>
      <c r="AC27" s="937"/>
      <c r="AD27" s="936" t="e">
        <f>VLOOKUP(AB8,ADDITIONAL!V8:AM52,10,FALSE)</f>
        <v>#N/A</v>
      </c>
      <c r="AE27" s="937"/>
      <c r="AF27" s="936" t="e">
        <f>VLOOKUP(AB8,ADDITIONAL!V8:AM52,13,FALSE)</f>
        <v>#N/A</v>
      </c>
      <c r="AG27" s="938"/>
      <c r="AH27" s="260"/>
      <c r="AI27" s="905"/>
    </row>
    <row r="28" spans="1:35" ht="21" customHeight="1" thickBot="1" x14ac:dyDescent="0.35">
      <c r="B28" s="339"/>
      <c r="C28" s="331"/>
      <c r="D28" s="332"/>
      <c r="E28" s="332"/>
      <c r="F28" s="332"/>
      <c r="G28" s="332"/>
      <c r="H28" s="332"/>
      <c r="I28" s="332"/>
      <c r="J28" s="332"/>
      <c r="K28" s="332"/>
      <c r="L28" s="332"/>
      <c r="M28" s="332"/>
      <c r="N28" s="332"/>
      <c r="O28" s="333"/>
      <c r="P28" s="261"/>
      <c r="Q28" s="905"/>
      <c r="T28" s="339"/>
      <c r="U28" s="331"/>
      <c r="V28" s="332"/>
      <c r="W28" s="332"/>
      <c r="X28" s="332"/>
      <c r="Y28" s="332"/>
      <c r="Z28" s="332"/>
      <c r="AA28" s="332"/>
      <c r="AB28" s="332"/>
      <c r="AC28" s="332"/>
      <c r="AD28" s="332"/>
      <c r="AE28" s="332"/>
      <c r="AF28" s="332"/>
      <c r="AG28" s="333"/>
      <c r="AH28" s="261"/>
      <c r="AI28" s="905"/>
    </row>
    <row r="29" spans="1:35" ht="19.5" hidden="1" customHeight="1" thickBot="1" x14ac:dyDescent="0.35">
      <c r="B29" s="339"/>
      <c r="C29" s="104"/>
      <c r="D29" s="921" t="s">
        <v>257</v>
      </c>
      <c r="E29" s="922"/>
      <c r="F29" s="922"/>
      <c r="G29" s="922"/>
      <c r="H29" s="922"/>
      <c r="I29" s="922"/>
      <c r="J29" s="923"/>
      <c r="K29" s="105"/>
      <c r="L29" s="927" t="s">
        <v>90</v>
      </c>
      <c r="M29" s="928"/>
      <c r="N29" s="928"/>
      <c r="O29" s="929"/>
      <c r="P29" s="321"/>
      <c r="Q29" s="905"/>
      <c r="T29" s="339"/>
      <c r="U29" s="104"/>
      <c r="V29" s="921" t="s">
        <v>257</v>
      </c>
      <c r="W29" s="922"/>
      <c r="X29" s="922"/>
      <c r="Y29" s="922"/>
      <c r="Z29" s="922"/>
      <c r="AA29" s="922"/>
      <c r="AB29" s="923"/>
      <c r="AC29" s="105"/>
      <c r="AD29" s="927" t="s">
        <v>90</v>
      </c>
      <c r="AE29" s="928"/>
      <c r="AF29" s="928"/>
      <c r="AG29" s="929"/>
      <c r="AH29" s="321"/>
      <c r="AI29" s="905"/>
    </row>
    <row r="30" spans="1:35" ht="16.5" hidden="1" customHeight="1" thickBot="1" x14ac:dyDescent="0.35">
      <c r="B30" s="339"/>
      <c r="C30" s="103"/>
      <c r="D30" s="921"/>
      <c r="E30" s="922"/>
      <c r="F30" s="922"/>
      <c r="G30" s="922"/>
      <c r="H30" s="922"/>
      <c r="I30" s="922"/>
      <c r="J30" s="923"/>
      <c r="K30" s="105"/>
      <c r="L30" s="930" t="s">
        <v>150</v>
      </c>
      <c r="M30" s="931"/>
      <c r="N30" s="931"/>
      <c r="O30" s="932"/>
      <c r="P30" s="321"/>
      <c r="Q30" s="905"/>
      <c r="T30" s="339"/>
      <c r="U30" s="103"/>
      <c r="V30" s="921"/>
      <c r="W30" s="922"/>
      <c r="X30" s="922"/>
      <c r="Y30" s="922"/>
      <c r="Z30" s="922"/>
      <c r="AA30" s="922"/>
      <c r="AB30" s="923"/>
      <c r="AC30" s="105"/>
      <c r="AD30" s="930" t="s">
        <v>150</v>
      </c>
      <c r="AE30" s="931"/>
      <c r="AF30" s="931"/>
      <c r="AG30" s="932"/>
      <c r="AH30" s="321"/>
      <c r="AI30" s="905"/>
    </row>
    <row r="31" spans="1:35" ht="19.5" hidden="1" customHeight="1" thickBot="1" x14ac:dyDescent="0.35">
      <c r="B31" s="339"/>
      <c r="C31" s="100"/>
      <c r="D31" s="924"/>
      <c r="E31" s="925"/>
      <c r="F31" s="925"/>
      <c r="G31" s="925"/>
      <c r="H31" s="925"/>
      <c r="I31" s="925"/>
      <c r="J31" s="926"/>
      <c r="K31" s="143"/>
      <c r="L31" s="914" t="s">
        <v>91</v>
      </c>
      <c r="M31" s="915"/>
      <c r="N31" s="915"/>
      <c r="O31" s="917"/>
      <c r="P31" s="321"/>
      <c r="Q31" s="905"/>
      <c r="T31" s="339"/>
      <c r="U31" s="100"/>
      <c r="V31" s="924"/>
      <c r="W31" s="925"/>
      <c r="X31" s="925"/>
      <c r="Y31" s="925"/>
      <c r="Z31" s="925"/>
      <c r="AA31" s="925"/>
      <c r="AB31" s="926"/>
      <c r="AC31" s="143"/>
      <c r="AD31" s="914" t="s">
        <v>91</v>
      </c>
      <c r="AE31" s="915"/>
      <c r="AF31" s="915"/>
      <c r="AG31" s="917"/>
      <c r="AH31" s="321"/>
      <c r="AI31" s="905"/>
    </row>
    <row r="32" spans="1:35" ht="19.5" hidden="1" customHeight="1" thickBot="1" x14ac:dyDescent="0.35">
      <c r="B32" s="339"/>
      <c r="C32" s="100"/>
      <c r="D32" s="973" t="e">
        <f>IF(J8="","",IF(VLOOKUP(J8,ADDITIONAL!D8:E52,2,0)="","NIL",VLOOKUP(J8,ADDITIONAL!D8:E52,2,0)))</f>
        <v>#N/A</v>
      </c>
      <c r="E32" s="974"/>
      <c r="F32" s="974"/>
      <c r="G32" s="974"/>
      <c r="H32" s="974"/>
      <c r="I32" s="974"/>
      <c r="J32" s="975"/>
      <c r="K32" s="143"/>
      <c r="L32" s="914" t="s">
        <v>37</v>
      </c>
      <c r="M32" s="915"/>
      <c r="N32" s="915"/>
      <c r="O32" s="917"/>
      <c r="P32" s="96"/>
      <c r="Q32" s="905"/>
      <c r="T32" s="339"/>
      <c r="U32" s="100"/>
      <c r="V32" s="973" t="e">
        <f>IF(AB8="","",IF(VLOOKUP(AB8,ADDITIONAL!V8:W52,2,0)="","NIL",VLOOKUP(AB8,ADDITIONAL!V8:W52,2,0)))</f>
        <v>#N/A</v>
      </c>
      <c r="W32" s="974"/>
      <c r="X32" s="974"/>
      <c r="Y32" s="974"/>
      <c r="Z32" s="974"/>
      <c r="AA32" s="974"/>
      <c r="AB32" s="975"/>
      <c r="AC32" s="143"/>
      <c r="AD32" s="914" t="s">
        <v>37</v>
      </c>
      <c r="AE32" s="915"/>
      <c r="AF32" s="915"/>
      <c r="AG32" s="917"/>
      <c r="AH32" s="96"/>
      <c r="AI32" s="905"/>
    </row>
    <row r="33" spans="1:35" ht="15" hidden="1" customHeight="1" x14ac:dyDescent="0.3">
      <c r="B33" s="339"/>
      <c r="C33" s="100"/>
      <c r="D33" s="976"/>
      <c r="E33" s="977"/>
      <c r="F33" s="977"/>
      <c r="G33" s="977"/>
      <c r="H33" s="977"/>
      <c r="I33" s="977"/>
      <c r="J33" s="978"/>
      <c r="K33" s="143"/>
      <c r="L33" s="914" t="s">
        <v>76</v>
      </c>
      <c r="M33" s="915"/>
      <c r="N33" s="915"/>
      <c r="O33" s="917"/>
      <c r="P33" s="101"/>
      <c r="Q33" s="905"/>
      <c r="T33" s="339"/>
      <c r="U33" s="100"/>
      <c r="V33" s="976"/>
      <c r="W33" s="977"/>
      <c r="X33" s="977"/>
      <c r="Y33" s="977"/>
      <c r="Z33" s="977"/>
      <c r="AA33" s="977"/>
      <c r="AB33" s="978"/>
      <c r="AC33" s="143"/>
      <c r="AD33" s="914" t="s">
        <v>76</v>
      </c>
      <c r="AE33" s="915"/>
      <c r="AF33" s="915"/>
      <c r="AG33" s="917"/>
      <c r="AH33" s="101"/>
      <c r="AI33" s="905"/>
    </row>
    <row r="34" spans="1:35" ht="15.75" hidden="1" customHeight="1" thickBot="1" x14ac:dyDescent="0.35">
      <c r="B34" s="339"/>
      <c r="C34" s="100"/>
      <c r="D34" s="979"/>
      <c r="E34" s="980"/>
      <c r="F34" s="980"/>
      <c r="G34" s="980"/>
      <c r="H34" s="980"/>
      <c r="I34" s="980"/>
      <c r="J34" s="981"/>
      <c r="K34" s="143"/>
      <c r="L34" s="918" t="s">
        <v>92</v>
      </c>
      <c r="M34" s="919"/>
      <c r="N34" s="919"/>
      <c r="O34" s="920"/>
      <c r="P34" s="101"/>
      <c r="Q34" s="905"/>
      <c r="T34" s="339"/>
      <c r="U34" s="100"/>
      <c r="V34" s="979"/>
      <c r="W34" s="980"/>
      <c r="X34" s="980"/>
      <c r="Y34" s="980"/>
      <c r="Z34" s="980"/>
      <c r="AA34" s="980"/>
      <c r="AB34" s="981"/>
      <c r="AC34" s="143"/>
      <c r="AD34" s="918" t="s">
        <v>92</v>
      </c>
      <c r="AE34" s="919"/>
      <c r="AF34" s="919"/>
      <c r="AG34" s="920"/>
      <c r="AH34" s="101"/>
      <c r="AI34" s="905"/>
    </row>
    <row r="35" spans="1:35" ht="19.5" hidden="1" customHeight="1" thickBot="1" x14ac:dyDescent="0.35">
      <c r="B35" s="339"/>
      <c r="C35" s="100"/>
      <c r="D35" s="99"/>
      <c r="E35" s="99"/>
      <c r="F35" s="99"/>
      <c r="G35" s="99"/>
      <c r="H35" s="99"/>
      <c r="I35" s="99"/>
      <c r="J35" s="99"/>
      <c r="K35" s="99"/>
      <c r="L35" s="99"/>
      <c r="M35" s="320"/>
      <c r="N35" s="320"/>
      <c r="O35" s="96"/>
      <c r="P35" s="96"/>
      <c r="Q35" s="905"/>
      <c r="T35" s="339"/>
      <c r="U35" s="100"/>
      <c r="V35" s="99"/>
      <c r="W35" s="99"/>
      <c r="X35" s="99"/>
      <c r="Y35" s="99"/>
      <c r="Z35" s="99"/>
      <c r="AA35" s="99"/>
      <c r="AB35" s="99"/>
      <c r="AC35" s="99"/>
      <c r="AD35" s="99"/>
      <c r="AE35" s="320"/>
      <c r="AF35" s="320"/>
      <c r="AG35" s="96"/>
      <c r="AH35" s="96"/>
      <c r="AI35" s="905"/>
    </row>
    <row r="36" spans="1:35" ht="53.25" customHeight="1" x14ac:dyDescent="0.3">
      <c r="B36" s="339"/>
      <c r="C36" s="885"/>
      <c r="D36" s="886"/>
      <c r="E36" s="886"/>
      <c r="F36" s="886"/>
      <c r="G36" s="886"/>
      <c r="H36" s="886"/>
      <c r="I36" s="886"/>
      <c r="J36" s="956"/>
      <c r="K36" s="956"/>
      <c r="L36" s="956"/>
      <c r="M36" s="327"/>
      <c r="N36" s="957"/>
      <c r="O36" s="958"/>
      <c r="P36" s="96"/>
      <c r="Q36" s="905"/>
      <c r="T36" s="339"/>
      <c r="U36" s="885"/>
      <c r="V36" s="886"/>
      <c r="W36" s="886"/>
      <c r="X36" s="886"/>
      <c r="Y36" s="886"/>
      <c r="Z36" s="886"/>
      <c r="AA36" s="886"/>
      <c r="AB36" s="956"/>
      <c r="AC36" s="956"/>
      <c r="AD36" s="956"/>
      <c r="AE36" s="327"/>
      <c r="AF36" s="957"/>
      <c r="AG36" s="958"/>
      <c r="AH36" s="96"/>
      <c r="AI36" s="905"/>
    </row>
    <row r="37" spans="1:35" ht="15.75" customHeight="1" x14ac:dyDescent="0.3">
      <c r="B37" s="339"/>
      <c r="C37" s="969" t="s">
        <v>231</v>
      </c>
      <c r="D37" s="970"/>
      <c r="E37" s="970"/>
      <c r="F37" s="970"/>
      <c r="G37" s="970"/>
      <c r="H37" s="970"/>
      <c r="I37" s="968" t="s">
        <v>232</v>
      </c>
      <c r="J37" s="968"/>
      <c r="K37" s="968"/>
      <c r="L37" s="968"/>
      <c r="M37" s="968"/>
      <c r="N37" s="950" t="s">
        <v>233</v>
      </c>
      <c r="O37" s="951"/>
      <c r="P37" s="152"/>
      <c r="Q37" s="905"/>
      <c r="T37" s="339"/>
      <c r="U37" s="969" t="s">
        <v>231</v>
      </c>
      <c r="V37" s="970"/>
      <c r="W37" s="970"/>
      <c r="X37" s="970"/>
      <c r="Y37" s="970"/>
      <c r="Z37" s="970"/>
      <c r="AA37" s="968" t="s">
        <v>232</v>
      </c>
      <c r="AB37" s="968"/>
      <c r="AC37" s="968"/>
      <c r="AD37" s="968"/>
      <c r="AE37" s="968"/>
      <c r="AF37" s="950" t="s">
        <v>233</v>
      </c>
      <c r="AG37" s="951"/>
      <c r="AH37" s="152"/>
      <c r="AI37" s="905"/>
    </row>
    <row r="38" spans="1:35" s="350" customFormat="1" ht="17.25" customHeight="1" x14ac:dyDescent="0.3">
      <c r="A38" s="348"/>
      <c r="B38" s="349"/>
      <c r="C38" s="971" t="str">
        <f>IF(DASHBOARD!G8="","",DASHBOARD!G8)</f>
        <v>SUREKHA</v>
      </c>
      <c r="D38" s="952"/>
      <c r="E38" s="952"/>
      <c r="F38" s="952"/>
      <c r="G38" s="952"/>
      <c r="H38" s="952"/>
      <c r="I38" s="142"/>
      <c r="J38" s="889" t="str">
        <f>IF(DASHBOARD!H8="","",DASHBOARD!H8)</f>
        <v>SUREKHA</v>
      </c>
      <c r="K38" s="889"/>
      <c r="L38" s="889"/>
      <c r="M38" s="142"/>
      <c r="N38" s="952" t="s">
        <v>170</v>
      </c>
      <c r="O38" s="953"/>
      <c r="P38" s="319"/>
      <c r="Q38" s="905"/>
      <c r="S38" s="348"/>
      <c r="T38" s="349"/>
      <c r="U38" s="971" t="str">
        <f>IF(DASHBOARD!G8="","",DASHBOARD!G8)</f>
        <v>SUREKHA</v>
      </c>
      <c r="V38" s="952"/>
      <c r="W38" s="952"/>
      <c r="X38" s="952"/>
      <c r="Y38" s="952"/>
      <c r="Z38" s="952"/>
      <c r="AA38" s="142"/>
      <c r="AB38" s="889" t="str">
        <f>IF(DASHBOARD!H8="","",DASHBOARD!H8)</f>
        <v>SUREKHA</v>
      </c>
      <c r="AC38" s="889"/>
      <c r="AD38" s="889"/>
      <c r="AE38" s="142"/>
      <c r="AF38" s="952" t="s">
        <v>170</v>
      </c>
      <c r="AG38" s="953"/>
      <c r="AH38" s="319"/>
      <c r="AI38" s="905"/>
    </row>
    <row r="39" spans="1:35" ht="17.25" customHeight="1" thickBot="1" x14ac:dyDescent="0.35">
      <c r="B39" s="339"/>
      <c r="C39" s="972"/>
      <c r="D39" s="954"/>
      <c r="E39" s="954"/>
      <c r="F39" s="954"/>
      <c r="G39" s="954"/>
      <c r="H39" s="954"/>
      <c r="I39" s="334"/>
      <c r="J39" s="963"/>
      <c r="K39" s="963"/>
      <c r="L39" s="963"/>
      <c r="M39" s="334"/>
      <c r="N39" s="954"/>
      <c r="O39" s="955"/>
      <c r="P39" s="152"/>
      <c r="Q39" s="905"/>
      <c r="T39" s="339"/>
      <c r="U39" s="972"/>
      <c r="V39" s="954"/>
      <c r="W39" s="954"/>
      <c r="X39" s="954"/>
      <c r="Y39" s="954"/>
      <c r="Z39" s="954"/>
      <c r="AA39" s="334"/>
      <c r="AB39" s="963"/>
      <c r="AC39" s="963"/>
      <c r="AD39" s="963"/>
      <c r="AE39" s="334"/>
      <c r="AF39" s="954"/>
      <c r="AG39" s="955"/>
      <c r="AH39" s="152"/>
      <c r="AI39" s="905"/>
    </row>
    <row r="40" spans="1:35" ht="5.25" customHeight="1" thickBot="1" x14ac:dyDescent="0.35">
      <c r="B40" s="351"/>
      <c r="C40" s="967"/>
      <c r="D40" s="967"/>
      <c r="E40" s="967"/>
      <c r="F40" s="967"/>
      <c r="G40" s="967"/>
      <c r="H40" s="967"/>
      <c r="I40" s="967"/>
      <c r="J40" s="967"/>
      <c r="K40" s="967"/>
      <c r="L40" s="967"/>
      <c r="M40" s="967"/>
      <c r="N40" s="967"/>
      <c r="O40" s="967"/>
      <c r="P40" s="352"/>
      <c r="Q40" s="905"/>
      <c r="T40" s="351"/>
      <c r="U40" s="967"/>
      <c r="V40" s="967"/>
      <c r="W40" s="967"/>
      <c r="X40" s="967"/>
      <c r="Y40" s="967"/>
      <c r="Z40" s="967"/>
      <c r="AA40" s="967"/>
      <c r="AB40" s="967"/>
      <c r="AC40" s="967"/>
      <c r="AD40" s="967"/>
      <c r="AE40" s="967"/>
      <c r="AF40" s="967"/>
      <c r="AG40" s="967"/>
      <c r="AH40" s="352"/>
      <c r="AI40" s="905"/>
    </row>
    <row r="41" spans="1:35" ht="25.5" customHeight="1" x14ac:dyDescent="0.3">
      <c r="C41" s="22"/>
      <c r="D41" s="22"/>
      <c r="E41" s="22"/>
      <c r="F41" s="22"/>
      <c r="G41" s="22"/>
      <c r="H41" s="22"/>
      <c r="I41" s="949" t="str">
        <f>IF(DASHBOARD!G17="","",DASHBOARD!G17&amp;DASHBOARD!I17)</f>
        <v>PREPARED BY:- EXAM CELL, SVGMS, AMET</v>
      </c>
      <c r="J41" s="949"/>
      <c r="K41" s="949"/>
      <c r="L41" s="949"/>
      <c r="M41" s="949"/>
      <c r="N41" s="949"/>
      <c r="O41" s="949"/>
      <c r="P41" s="353"/>
      <c r="U41" s="22"/>
      <c r="V41" s="22"/>
      <c r="W41" s="22"/>
      <c r="X41" s="22"/>
      <c r="Y41" s="22"/>
      <c r="Z41" s="22"/>
      <c r="AA41" s="949" t="str">
        <f>IF(DASHBOARD!G17="","",DASHBOARD!G17&amp;DASHBOARD!I17)</f>
        <v>PREPARED BY:- EXAM CELL, SVGMS, AMET</v>
      </c>
      <c r="AB41" s="949"/>
      <c r="AC41" s="949"/>
      <c r="AD41" s="949"/>
      <c r="AE41" s="949"/>
      <c r="AF41" s="949"/>
      <c r="AG41" s="949"/>
      <c r="AH41" s="353"/>
    </row>
  </sheetData>
  <sheetProtection algorithmName="SHA-512" hashValue="uPUsOR/oYMeMK0y7i73Ybxr0icg5QvjrzxYvYbRCnxcAXQwVGbeOkvKVatPStOHh+YghZGk/tpO6gI6hwCa3iA==" saltValue="5V1qrPpoLtHVVEd4SmdbOw==" spinCount="100000" sheet="1" objects="1" scenarios="1" selectLockedCells="1"/>
  <mergeCells count="164">
    <mergeCell ref="N15:N16"/>
    <mergeCell ref="O15:O16"/>
    <mergeCell ref="N21:N22"/>
    <mergeCell ref="O21:O22"/>
    <mergeCell ref="AF15:AF16"/>
    <mergeCell ref="AG15:AG16"/>
    <mergeCell ref="AF21:AF22"/>
    <mergeCell ref="AG21:AG22"/>
    <mergeCell ref="U38:Z39"/>
    <mergeCell ref="AB38:AD39"/>
    <mergeCell ref="AF38:AG39"/>
    <mergeCell ref="U26:Y26"/>
    <mergeCell ref="Z26:AA26"/>
    <mergeCell ref="AB26:AC26"/>
    <mergeCell ref="AD26:AE26"/>
    <mergeCell ref="U27:Y27"/>
    <mergeCell ref="Z27:AA27"/>
    <mergeCell ref="AB27:AC27"/>
    <mergeCell ref="AD27:AE27"/>
    <mergeCell ref="AF27:AG27"/>
    <mergeCell ref="Z24:AA24"/>
    <mergeCell ref="AB24:AC24"/>
    <mergeCell ref="AD24:AE24"/>
    <mergeCell ref="U25:Y25"/>
    <mergeCell ref="U40:AG40"/>
    <mergeCell ref="AA41:AG41"/>
    <mergeCell ref="U36:AA36"/>
    <mergeCell ref="AB36:AD36"/>
    <mergeCell ref="AF36:AG36"/>
    <mergeCell ref="U37:Z37"/>
    <mergeCell ref="AA37:AE37"/>
    <mergeCell ref="AF37:AG37"/>
    <mergeCell ref="V29:AB31"/>
    <mergeCell ref="AD29:AG29"/>
    <mergeCell ref="AD30:AG30"/>
    <mergeCell ref="AD31:AG31"/>
    <mergeCell ref="V32:AB34"/>
    <mergeCell ref="AD32:AG32"/>
    <mergeCell ref="AD33:AG33"/>
    <mergeCell ref="AD34:AG34"/>
    <mergeCell ref="AB16:AC16"/>
    <mergeCell ref="AD16:AE16"/>
    <mergeCell ref="U17:Y17"/>
    <mergeCell ref="Z17:AA17"/>
    <mergeCell ref="AB17:AC17"/>
    <mergeCell ref="AD17:AE17"/>
    <mergeCell ref="Z25:AA25"/>
    <mergeCell ref="AB25:AC25"/>
    <mergeCell ref="AD25:AE25"/>
    <mergeCell ref="Z22:AA22"/>
    <mergeCell ref="AB22:AC22"/>
    <mergeCell ref="AD22:AE22"/>
    <mergeCell ref="U23:Y23"/>
    <mergeCell ref="Z23:AA23"/>
    <mergeCell ref="AB23:AC23"/>
    <mergeCell ref="AD23:AE23"/>
    <mergeCell ref="U1:AG1"/>
    <mergeCell ref="L16:M16"/>
    <mergeCell ref="L26:M26"/>
    <mergeCell ref="L21:M21"/>
    <mergeCell ref="J9:O9"/>
    <mergeCell ref="J10:O10"/>
    <mergeCell ref="J11:O11"/>
    <mergeCell ref="J12:O12"/>
    <mergeCell ref="E6:O6"/>
    <mergeCell ref="J8:O8"/>
    <mergeCell ref="C1:O1"/>
    <mergeCell ref="U18:Y18"/>
    <mergeCell ref="Z18:AA18"/>
    <mergeCell ref="AB18:AC18"/>
    <mergeCell ref="J18:K18"/>
    <mergeCell ref="U20:Y21"/>
    <mergeCell ref="Z20:AG20"/>
    <mergeCell ref="Z21:AA21"/>
    <mergeCell ref="AB21:AC21"/>
    <mergeCell ref="AD21:AE21"/>
    <mergeCell ref="AD18:AE18"/>
    <mergeCell ref="U19:AG19"/>
    <mergeCell ref="U16:Y16"/>
    <mergeCell ref="Z16:AA16"/>
    <mergeCell ref="I41:O41"/>
    <mergeCell ref="N37:O37"/>
    <mergeCell ref="N38:O39"/>
    <mergeCell ref="C36:I36"/>
    <mergeCell ref="J36:L36"/>
    <mergeCell ref="N36:O36"/>
    <mergeCell ref="C17:G17"/>
    <mergeCell ref="H17:I17"/>
    <mergeCell ref="J17:K17"/>
    <mergeCell ref="L17:M17"/>
    <mergeCell ref="H18:I18"/>
    <mergeCell ref="J38:L39"/>
    <mergeCell ref="H26:I26"/>
    <mergeCell ref="J26:K26"/>
    <mergeCell ref="H25:I25"/>
    <mergeCell ref="J25:K25"/>
    <mergeCell ref="L25:M25"/>
    <mergeCell ref="L18:M18"/>
    <mergeCell ref="C40:O40"/>
    <mergeCell ref="I37:M37"/>
    <mergeCell ref="C37:H37"/>
    <mergeCell ref="C38:H39"/>
    <mergeCell ref="D32:J34"/>
    <mergeCell ref="L32:O32"/>
    <mergeCell ref="AI1:AI40"/>
    <mergeCell ref="V3:AG3"/>
    <mergeCell ref="Y4:AG4"/>
    <mergeCell ref="W6:AG6"/>
    <mergeCell ref="AB8:AG8"/>
    <mergeCell ref="AB9:AG9"/>
    <mergeCell ref="AB10:AG10"/>
    <mergeCell ref="H15:I15"/>
    <mergeCell ref="J15:K15"/>
    <mergeCell ref="L15:M15"/>
    <mergeCell ref="H16:I16"/>
    <mergeCell ref="J16:K16"/>
    <mergeCell ref="AB11:AG11"/>
    <mergeCell ref="AB12:AG12"/>
    <mergeCell ref="U13:AG13"/>
    <mergeCell ref="U15:Y15"/>
    <mergeCell ref="Z15:AA15"/>
    <mergeCell ref="AB15:AC15"/>
    <mergeCell ref="AD15:AE15"/>
    <mergeCell ref="H20:O20"/>
    <mergeCell ref="H21:I21"/>
    <mergeCell ref="J21:K21"/>
    <mergeCell ref="U22:Y22"/>
    <mergeCell ref="U24:Y24"/>
    <mergeCell ref="L24:M24"/>
    <mergeCell ref="L33:O33"/>
    <mergeCell ref="L34:O34"/>
    <mergeCell ref="D29:J31"/>
    <mergeCell ref="L29:O29"/>
    <mergeCell ref="L30:O30"/>
    <mergeCell ref="L31:O31"/>
    <mergeCell ref="C27:G27"/>
    <mergeCell ref="H27:I27"/>
    <mergeCell ref="J27:K27"/>
    <mergeCell ref="L27:M27"/>
    <mergeCell ref="N27:O27"/>
    <mergeCell ref="C20:G21"/>
    <mergeCell ref="C26:G26"/>
    <mergeCell ref="W5:AF5"/>
    <mergeCell ref="C18:G18"/>
    <mergeCell ref="C19:O19"/>
    <mergeCell ref="C13:O13"/>
    <mergeCell ref="C15:G15"/>
    <mergeCell ref="C16:G16"/>
    <mergeCell ref="Q1:Q40"/>
    <mergeCell ref="D3:O3"/>
    <mergeCell ref="G4:O4"/>
    <mergeCell ref="C23:G23"/>
    <mergeCell ref="H23:I23"/>
    <mergeCell ref="J23:K23"/>
    <mergeCell ref="L23:M23"/>
    <mergeCell ref="C22:G22"/>
    <mergeCell ref="H22:I22"/>
    <mergeCell ref="J22:K22"/>
    <mergeCell ref="L22:M22"/>
    <mergeCell ref="C25:G25"/>
    <mergeCell ref="E5:N5"/>
    <mergeCell ref="C24:G24"/>
    <mergeCell ref="H24:I24"/>
    <mergeCell ref="J24:K24"/>
  </mergeCells>
  <pageMargins left="0.23" right="0.17" top="0.48" bottom="0.196850393700787" header="0.55000000000000004" footer="0.196850393700787"/>
  <pageSetup paperSize="9" scale="75" fitToHeight="2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E75"/>
  <sheetViews>
    <sheetView topLeftCell="A25" workbookViewId="0">
      <selection activeCell="AC1" sqref="AC1:AC55"/>
    </sheetView>
  </sheetViews>
  <sheetFormatPr defaultColWidth="0" defaultRowHeight="15.6" zeroHeight="1" x14ac:dyDescent="0.3"/>
  <cols>
    <col min="1" max="1" width="3" style="135" customWidth="1"/>
    <col min="2" max="2" width="1.109375" style="2" customWidth="1"/>
    <col min="3" max="3" width="4.109375" style="35" customWidth="1"/>
    <col min="4" max="7" width="3.88671875" style="35" customWidth="1"/>
    <col min="8" max="9" width="4" style="35" customWidth="1"/>
    <col min="10" max="10" width="4.33203125" style="35" customWidth="1"/>
    <col min="11" max="11" width="6.109375" style="35" customWidth="1"/>
    <col min="12" max="19" width="5.109375" style="35" customWidth="1"/>
    <col min="20" max="23" width="5.88671875" style="35" customWidth="1"/>
    <col min="24" max="25" width="3.33203125" style="35" customWidth="1"/>
    <col min="26" max="26" width="4.6640625" style="35" customWidth="1"/>
    <col min="27" max="27" width="4.88671875" style="318" customWidth="1"/>
    <col min="28" max="28" width="1" style="35" customWidth="1"/>
    <col min="29" max="29" width="3.33203125" style="2" customWidth="1"/>
    <col min="30" max="30" width="3.33203125" style="248" hidden="1" customWidth="1"/>
    <col min="31" max="31" width="10" style="248" hidden="1" customWidth="1"/>
    <col min="32" max="16384" width="9.109375" style="248" hidden="1"/>
  </cols>
  <sheetData>
    <row r="1" spans="1:30" ht="14.25" customHeight="1" thickBot="1" x14ac:dyDescent="0.35">
      <c r="B1" s="225"/>
      <c r="C1" s="1038"/>
      <c r="D1" s="1038"/>
      <c r="E1" s="1038"/>
      <c r="F1" s="1038"/>
      <c r="G1" s="1038"/>
      <c r="H1" s="1038"/>
      <c r="I1" s="1038"/>
      <c r="J1" s="1038"/>
      <c r="K1" s="1038"/>
      <c r="L1" s="1038"/>
      <c r="M1" s="1038"/>
      <c r="N1" s="1038"/>
      <c r="O1" s="1038"/>
      <c r="P1" s="1038"/>
      <c r="Q1" s="1038"/>
      <c r="R1" s="1038"/>
      <c r="S1" s="1038"/>
      <c r="T1" s="1038"/>
      <c r="U1" s="1038"/>
      <c r="V1" s="1038"/>
      <c r="W1" s="1038"/>
      <c r="X1" s="1038"/>
      <c r="Y1" s="1038"/>
      <c r="Z1" s="1038"/>
      <c r="AA1" s="1038"/>
      <c r="AB1" s="249"/>
      <c r="AC1" s="1039"/>
    </row>
    <row r="2" spans="1:30" ht="5.25" customHeight="1" thickBot="1" x14ac:dyDescent="0.35">
      <c r="B2" s="251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312"/>
      <c r="AB2" s="253"/>
      <c r="AC2" s="1039"/>
    </row>
    <row r="3" spans="1:30" ht="24" x14ac:dyDescent="0.3">
      <c r="B3" s="254"/>
      <c r="C3" s="90"/>
      <c r="D3" s="1040" t="str">
        <f>IF(DASHBOARD!B2="","",DASHBOARD!B2)</f>
        <v xml:space="preserve">SWAMI VIVEKANAND GOVT. MODEL SCHOOL,  </v>
      </c>
      <c r="E3" s="1040"/>
      <c r="F3" s="1040"/>
      <c r="G3" s="1040"/>
      <c r="H3" s="1040"/>
      <c r="I3" s="1040"/>
      <c r="J3" s="1040"/>
      <c r="K3" s="1040"/>
      <c r="L3" s="1040"/>
      <c r="M3" s="1040"/>
      <c r="N3" s="1040"/>
      <c r="O3" s="1040"/>
      <c r="P3" s="1040"/>
      <c r="Q3" s="1040"/>
      <c r="R3" s="1040"/>
      <c r="S3" s="1040"/>
      <c r="T3" s="1040"/>
      <c r="U3" s="1040"/>
      <c r="V3" s="1040"/>
      <c r="W3" s="1040"/>
      <c r="X3" s="1040"/>
      <c r="Y3" s="1040"/>
      <c r="Z3" s="1040"/>
      <c r="AA3" s="299"/>
      <c r="AB3" s="255"/>
      <c r="AC3" s="1039"/>
    </row>
    <row r="4" spans="1:30" ht="24.6" x14ac:dyDescent="0.3">
      <c r="B4" s="254"/>
      <c r="C4" s="91"/>
      <c r="D4" s="235"/>
      <c r="E4" s="235"/>
      <c r="F4" s="235"/>
      <c r="G4" s="922" t="str">
        <f>IF(DASHBOARD!B3="","",DASHBOARD!B3)</f>
        <v xml:space="preserve">AMET, BLOCK-AMET, RAJSAMAND                                                                </v>
      </c>
      <c r="H4" s="922"/>
      <c r="I4" s="922"/>
      <c r="J4" s="922"/>
      <c r="K4" s="922"/>
      <c r="L4" s="922"/>
      <c r="M4" s="922"/>
      <c r="N4" s="922"/>
      <c r="O4" s="922"/>
      <c r="P4" s="922"/>
      <c r="Q4" s="922"/>
      <c r="R4" s="922"/>
      <c r="S4" s="922"/>
      <c r="T4" s="922"/>
      <c r="U4" s="922"/>
      <c r="V4" s="922"/>
      <c r="W4" s="922"/>
      <c r="X4" s="922"/>
      <c r="Y4" s="235"/>
      <c r="Z4" s="235"/>
      <c r="AA4" s="261"/>
      <c r="AB4" s="149"/>
      <c r="AC4" s="1039"/>
    </row>
    <row r="5" spans="1:30" ht="16.5" customHeight="1" x14ac:dyDescent="0.3">
      <c r="B5" s="254"/>
      <c r="C5" s="92"/>
      <c r="D5" s="93"/>
      <c r="E5" s="94"/>
      <c r="F5" s="95"/>
      <c r="G5" s="95"/>
      <c r="H5" s="889" t="s">
        <v>175</v>
      </c>
      <c r="I5" s="889"/>
      <c r="J5" s="889"/>
      <c r="K5" s="889"/>
      <c r="L5" s="889"/>
      <c r="M5" s="889"/>
      <c r="N5" s="889"/>
      <c r="O5" s="889"/>
      <c r="P5" s="889"/>
      <c r="Q5" s="889"/>
      <c r="R5" s="889"/>
      <c r="S5" s="889"/>
      <c r="T5" s="889"/>
      <c r="U5" s="889"/>
      <c r="V5" s="889"/>
      <c r="W5" s="95"/>
      <c r="X5" s="95"/>
      <c r="Y5" s="95"/>
      <c r="Z5" s="93"/>
      <c r="AA5" s="300"/>
      <c r="AB5" s="102"/>
      <c r="AC5" s="1039"/>
    </row>
    <row r="6" spans="1:30" ht="15.75" customHeight="1" x14ac:dyDescent="0.3">
      <c r="B6" s="254"/>
      <c r="C6" s="92"/>
      <c r="D6" s="97"/>
      <c r="E6" s="142"/>
      <c r="F6" s="142"/>
      <c r="G6" s="142"/>
      <c r="H6" s="889" t="str">
        <f>IF(DASHBOARD!B5="","",DASHBOARD!B5&amp;DASHBOARD!C5)</f>
        <v>AFFILIATION NO. -1720024</v>
      </c>
      <c r="I6" s="889"/>
      <c r="J6" s="889"/>
      <c r="K6" s="889"/>
      <c r="L6" s="889"/>
      <c r="M6" s="889"/>
      <c r="N6" s="889"/>
      <c r="O6" s="889"/>
      <c r="P6" s="889"/>
      <c r="Q6" s="889"/>
      <c r="R6" s="889"/>
      <c r="S6" s="889"/>
      <c r="T6" s="889"/>
      <c r="U6" s="889"/>
      <c r="V6" s="889"/>
      <c r="W6" s="142"/>
      <c r="X6" s="142"/>
      <c r="Y6" s="142"/>
      <c r="Z6" s="97"/>
      <c r="AA6" s="300"/>
      <c r="AB6" s="96"/>
      <c r="AC6" s="1039"/>
    </row>
    <row r="7" spans="1:30" x14ac:dyDescent="0.3">
      <c r="B7" s="254"/>
      <c r="C7" s="92"/>
      <c r="D7" s="97"/>
      <c r="E7" s="142"/>
      <c r="F7" s="142"/>
      <c r="G7" s="142"/>
      <c r="H7" s="217"/>
      <c r="I7" s="217"/>
      <c r="J7" s="217"/>
      <c r="K7" s="889" t="str">
        <f>"       Email Id -" &amp;DASHBOARD!E5</f>
        <v xml:space="preserve">       Email Id -ametsvgms@gmail.com</v>
      </c>
      <c r="L7" s="889"/>
      <c r="M7" s="889"/>
      <c r="N7" s="889"/>
      <c r="O7" s="889"/>
      <c r="P7" s="889"/>
      <c r="Q7" s="889"/>
      <c r="R7" s="889"/>
      <c r="S7" s="889"/>
      <c r="T7" s="889"/>
      <c r="U7" s="217"/>
      <c r="V7" s="217"/>
      <c r="W7" s="142"/>
      <c r="X7" s="142"/>
      <c r="Y7" s="142"/>
      <c r="Z7" s="97"/>
      <c r="AA7" s="300"/>
      <c r="AB7" s="96"/>
      <c r="AC7" s="1039"/>
    </row>
    <row r="8" spans="1:30" x14ac:dyDescent="0.3">
      <c r="B8" s="254"/>
      <c r="C8" s="92"/>
      <c r="D8" s="97"/>
      <c r="E8" s="142"/>
      <c r="F8" s="142"/>
      <c r="G8" s="889" t="str">
        <f>"Website-   " &amp;DASHBOARD!E6</f>
        <v>Website-   https://www.svgmsamet.com</v>
      </c>
      <c r="H8" s="889"/>
      <c r="I8" s="889"/>
      <c r="J8" s="889"/>
      <c r="K8" s="889"/>
      <c r="L8" s="889"/>
      <c r="M8" s="889"/>
      <c r="N8" s="889"/>
      <c r="O8" s="889"/>
      <c r="P8" s="889"/>
      <c r="Q8" s="889"/>
      <c r="R8" s="889"/>
      <c r="S8" s="889"/>
      <c r="T8" s="889"/>
      <c r="U8" s="889"/>
      <c r="V8" s="889"/>
      <c r="W8" s="889"/>
      <c r="X8" s="142"/>
      <c r="Y8" s="142"/>
      <c r="Z8" s="97"/>
      <c r="AA8" s="300"/>
      <c r="AB8" s="96"/>
      <c r="AC8" s="1039"/>
    </row>
    <row r="9" spans="1:30" s="279" customFormat="1" ht="21" customHeight="1" x14ac:dyDescent="0.3">
      <c r="A9" s="247"/>
      <c r="B9" s="221"/>
      <c r="C9" s="1010" t="s">
        <v>181</v>
      </c>
      <c r="D9" s="1011"/>
      <c r="E9" s="1011"/>
      <c r="F9" s="1011"/>
      <c r="G9" s="1011"/>
      <c r="H9" s="1012" t="str">
        <f>IF(DASHBOARD!C6="","",DASHBOARD!C6)</f>
        <v>08250315401</v>
      </c>
      <c r="I9" s="1012"/>
      <c r="J9" s="1012"/>
      <c r="K9" s="1012"/>
      <c r="L9" s="1012"/>
      <c r="M9" s="1012"/>
      <c r="N9" s="1012"/>
      <c r="O9" s="1012"/>
      <c r="P9" s="1012"/>
      <c r="Q9" s="1012"/>
      <c r="R9" s="1012"/>
      <c r="S9" s="1013" t="s">
        <v>182</v>
      </c>
      <c r="T9" s="1013"/>
      <c r="U9" s="1013"/>
      <c r="V9" s="1013"/>
      <c r="W9" s="1014">
        <f>IF(DASHBOARD!I5="","",DASHBOARD!I5)</f>
        <v>12016</v>
      </c>
      <c r="X9" s="1014"/>
      <c r="Y9" s="1014"/>
      <c r="Z9" s="1014"/>
      <c r="AA9" s="1015"/>
      <c r="AB9" s="222"/>
      <c r="AC9" s="1039"/>
      <c r="AD9" s="248"/>
    </row>
    <row r="10" spans="1:30" ht="22.8" x14ac:dyDescent="0.3">
      <c r="B10" s="254"/>
      <c r="C10" s="92"/>
      <c r="D10" s="97"/>
      <c r="E10" s="892" t="s">
        <v>36</v>
      </c>
      <c r="F10" s="892"/>
      <c r="G10" s="892"/>
      <c r="H10" s="892"/>
      <c r="I10" s="892"/>
      <c r="J10" s="892"/>
      <c r="K10" s="892"/>
      <c r="L10" s="892"/>
      <c r="M10" s="892"/>
      <c r="N10" s="892"/>
      <c r="O10" s="892"/>
      <c r="P10" s="892"/>
      <c r="Q10" s="892"/>
      <c r="R10" s="892"/>
      <c r="S10" s="892"/>
      <c r="T10" s="892"/>
      <c r="U10" s="892"/>
      <c r="V10" s="892"/>
      <c r="W10" s="892"/>
      <c r="X10" s="892"/>
      <c r="Y10" s="892"/>
      <c r="Z10" s="97"/>
      <c r="AA10" s="300"/>
      <c r="AB10" s="96"/>
      <c r="AC10" s="1039"/>
    </row>
    <row r="11" spans="1:30" ht="17.399999999999999" x14ac:dyDescent="0.3">
      <c r="B11" s="254"/>
      <c r="C11" s="92"/>
      <c r="D11" s="97"/>
      <c r="E11" s="1041" t="str">
        <f>"ACADEMIC  "&amp;DASHBOARD!B4</f>
        <v>ACADEMIC  SESSION    -  2025-26</v>
      </c>
      <c r="F11" s="1041"/>
      <c r="G11" s="1041"/>
      <c r="H11" s="1041"/>
      <c r="I11" s="1041"/>
      <c r="J11" s="1041"/>
      <c r="K11" s="1041"/>
      <c r="L11" s="1041"/>
      <c r="M11" s="1041"/>
      <c r="N11" s="1041"/>
      <c r="O11" s="1041"/>
      <c r="P11" s="1041"/>
      <c r="Q11" s="1041"/>
      <c r="R11" s="1041"/>
      <c r="S11" s="1041"/>
      <c r="T11" s="1041"/>
      <c r="U11" s="1041"/>
      <c r="V11" s="1041"/>
      <c r="W11" s="1041"/>
      <c r="X11" s="1041"/>
      <c r="Y11" s="1041"/>
      <c r="Z11" s="97"/>
      <c r="AA11" s="300"/>
      <c r="AB11" s="96"/>
      <c r="AC11" s="1039"/>
    </row>
    <row r="12" spans="1:30" ht="10.5" customHeight="1" x14ac:dyDescent="0.3">
      <c r="B12" s="254"/>
      <c r="C12" s="92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8"/>
      <c r="Z12" s="97"/>
      <c r="AA12" s="300"/>
      <c r="AB12" s="96"/>
      <c r="AC12" s="1039"/>
    </row>
    <row r="13" spans="1:30" ht="20.399999999999999" x14ac:dyDescent="0.3">
      <c r="B13" s="254"/>
      <c r="C13" s="265" t="s">
        <v>130</v>
      </c>
      <c r="D13" s="143"/>
      <c r="E13" s="143"/>
      <c r="F13" s="143"/>
      <c r="G13" s="143"/>
      <c r="H13" s="143"/>
      <c r="I13" s="143"/>
      <c r="J13" s="1137">
        <v>1151</v>
      </c>
      <c r="K13" s="1137"/>
      <c r="L13" s="1137"/>
      <c r="M13" s="1137"/>
      <c r="N13" s="1137"/>
      <c r="O13" s="1137"/>
      <c r="P13" s="1137"/>
      <c r="Q13" s="1137"/>
      <c r="R13" s="1137"/>
      <c r="S13" s="1137"/>
      <c r="T13" s="1137"/>
      <c r="U13" s="1137"/>
      <c r="V13" s="1042" t="s">
        <v>129</v>
      </c>
      <c r="W13" s="1042"/>
      <c r="X13" s="1042"/>
      <c r="Y13" s="1042" t="e">
        <f>IF(J13="","",VLOOKUP(J13,'GREEN SHEET'!C7:FK70,2,0))</f>
        <v>#N/A</v>
      </c>
      <c r="Z13" s="1042"/>
      <c r="AA13" s="301"/>
      <c r="AB13" s="150"/>
      <c r="AC13" s="1039"/>
    </row>
    <row r="14" spans="1:30" ht="20.399999999999999" x14ac:dyDescent="0.3">
      <c r="B14" s="254"/>
      <c r="C14" s="265" t="s">
        <v>74</v>
      </c>
      <c r="D14" s="143"/>
      <c r="E14" s="143"/>
      <c r="F14" s="143"/>
      <c r="G14" s="143"/>
      <c r="H14" s="143"/>
      <c r="I14" s="143"/>
      <c r="J14" s="1140" t="e">
        <f>IF(J13="","",VLOOKUP(J13,'GREEN SHEET'!C7:FK70,3,0))</f>
        <v>#N/A</v>
      </c>
      <c r="K14" s="1140"/>
      <c r="L14" s="1140"/>
      <c r="M14" s="1140"/>
      <c r="N14" s="1140"/>
      <c r="O14" s="1140"/>
      <c r="P14" s="1140"/>
      <c r="Q14" s="1140"/>
      <c r="R14" s="1140"/>
      <c r="S14" s="1140"/>
      <c r="T14" s="1140"/>
      <c r="U14" s="1140"/>
      <c r="V14" s="1140"/>
      <c r="W14" s="1140"/>
      <c r="X14" s="1140"/>
      <c r="Y14" s="142"/>
      <c r="Z14" s="144"/>
      <c r="AA14" s="302"/>
      <c r="AB14" s="151"/>
      <c r="AC14" s="1039"/>
    </row>
    <row r="15" spans="1:30" ht="20.399999999999999" x14ac:dyDescent="0.3">
      <c r="B15" s="254"/>
      <c r="C15" s="265" t="s">
        <v>128</v>
      </c>
      <c r="D15" s="143"/>
      <c r="E15" s="143"/>
      <c r="F15" s="143"/>
      <c r="G15" s="143"/>
      <c r="H15" s="143"/>
      <c r="I15" s="143"/>
      <c r="J15" s="1140" t="e">
        <f>IF(J13="","",VLOOKUP(J13,'GREEN SHEET'!C7:FK70,4,0))</f>
        <v>#N/A</v>
      </c>
      <c r="K15" s="1140"/>
      <c r="L15" s="1140"/>
      <c r="M15" s="1140"/>
      <c r="N15" s="1140"/>
      <c r="O15" s="1140"/>
      <c r="P15" s="1140"/>
      <c r="Q15" s="1140"/>
      <c r="R15" s="1140"/>
      <c r="S15" s="1140"/>
      <c r="T15" s="1140"/>
      <c r="U15" s="1140"/>
      <c r="V15" s="1140"/>
      <c r="W15" s="1140"/>
      <c r="X15" s="1140"/>
      <c r="Y15" s="1088"/>
      <c r="Z15" s="1088"/>
      <c r="AA15" s="1089"/>
      <c r="AB15" s="215"/>
      <c r="AC15" s="1039"/>
    </row>
    <row r="16" spans="1:30" ht="20.399999999999999" x14ac:dyDescent="0.3">
      <c r="B16" s="254"/>
      <c r="C16" s="265" t="s">
        <v>79</v>
      </c>
      <c r="D16" s="143"/>
      <c r="E16" s="143"/>
      <c r="F16" s="143"/>
      <c r="G16" s="143"/>
      <c r="H16" s="143"/>
      <c r="I16" s="143"/>
      <c r="J16" s="1141" t="e">
        <f>IF(J13="","",VLOOKUP(J13,'GREEN SHEET'!C7:FK70,6,0))</f>
        <v>#N/A</v>
      </c>
      <c r="K16" s="1141"/>
      <c r="L16" s="1141"/>
      <c r="M16" s="1141"/>
      <c r="N16" s="1141"/>
      <c r="O16" s="1141"/>
      <c r="P16" s="1141"/>
      <c r="Q16" s="1141"/>
      <c r="R16" s="1141"/>
      <c r="S16" s="1141"/>
      <c r="T16" s="1141"/>
      <c r="U16" s="1141"/>
      <c r="V16" s="1141"/>
      <c r="W16" s="1141"/>
      <c r="X16" s="267"/>
      <c r="Y16" s="1088"/>
      <c r="Z16" s="1088"/>
      <c r="AA16" s="1089"/>
      <c r="AB16" s="215"/>
      <c r="AC16" s="1039"/>
    </row>
    <row r="17" spans="2:29" ht="20.25" customHeight="1" thickBot="1" x14ac:dyDescent="0.35">
      <c r="B17" s="254"/>
      <c r="C17" s="266" t="s">
        <v>75</v>
      </c>
      <c r="D17" s="246"/>
      <c r="E17" s="246"/>
      <c r="F17" s="246"/>
      <c r="G17" s="246"/>
      <c r="H17" s="246"/>
      <c r="I17" s="246"/>
      <c r="J17" s="1142" t="str">
        <f>IF(J13="","",DASHBOARD!B8&amp;DASHBOARD!C8)</f>
        <v>XI A</v>
      </c>
      <c r="K17" s="1142"/>
      <c r="L17" s="1142"/>
      <c r="M17" s="1142"/>
      <c r="N17" s="1142"/>
      <c r="O17" s="1142"/>
      <c r="P17" s="1142"/>
      <c r="Q17" s="1142"/>
      <c r="R17" s="1142"/>
      <c r="S17" s="1142"/>
      <c r="T17" s="1142"/>
      <c r="U17" s="1142"/>
      <c r="V17" s="1142"/>
      <c r="W17" s="1142"/>
      <c r="X17" s="268"/>
      <c r="Y17" s="1090"/>
      <c r="Z17" s="1090"/>
      <c r="AA17" s="1091"/>
      <c r="AB17" s="216"/>
      <c r="AC17" s="1039"/>
    </row>
    <row r="18" spans="2:29" ht="17.25" customHeight="1" thickBot="1" x14ac:dyDescent="0.35">
      <c r="B18" s="254"/>
      <c r="C18" s="1110" t="s">
        <v>127</v>
      </c>
      <c r="D18" s="1111"/>
      <c r="E18" s="1111"/>
      <c r="F18" s="1111"/>
      <c r="G18" s="1111"/>
      <c r="H18" s="1111"/>
      <c r="I18" s="1111"/>
      <c r="J18" s="1111"/>
      <c r="K18" s="1111"/>
      <c r="L18" s="1111"/>
      <c r="M18" s="1111"/>
      <c r="N18" s="1111"/>
      <c r="O18" s="1111"/>
      <c r="P18" s="1111"/>
      <c r="Q18" s="1111"/>
      <c r="R18" s="1111"/>
      <c r="S18" s="1111"/>
      <c r="T18" s="1111"/>
      <c r="U18" s="1111"/>
      <c r="V18" s="1111"/>
      <c r="W18" s="1111"/>
      <c r="X18" s="1111"/>
      <c r="Y18" s="1111"/>
      <c r="Z18" s="1111"/>
      <c r="AA18" s="1112"/>
      <c r="AB18" s="245"/>
      <c r="AC18" s="1039"/>
    </row>
    <row r="19" spans="2:29" ht="3.75" customHeight="1" thickBot="1" x14ac:dyDescent="0.35">
      <c r="B19" s="254"/>
      <c r="C19" s="221"/>
      <c r="D19" s="217"/>
      <c r="E19" s="217"/>
      <c r="F19" s="217"/>
      <c r="G19" s="217"/>
      <c r="H19" s="217"/>
      <c r="I19" s="217"/>
      <c r="J19" s="217"/>
      <c r="K19" s="217"/>
      <c r="L19" s="217"/>
      <c r="M19" s="217"/>
      <c r="N19" s="217"/>
      <c r="O19" s="217"/>
      <c r="P19" s="217"/>
      <c r="Q19" s="217"/>
      <c r="R19" s="217"/>
      <c r="S19" s="217"/>
      <c r="T19" s="217"/>
      <c r="U19" s="217"/>
      <c r="V19" s="217"/>
      <c r="W19" s="217"/>
      <c r="X19" s="217"/>
      <c r="Y19" s="217"/>
      <c r="Z19" s="217"/>
      <c r="AA19" s="245"/>
      <c r="AB19" s="245"/>
      <c r="AC19" s="1039"/>
    </row>
    <row r="20" spans="2:29" ht="31.5" customHeight="1" x14ac:dyDescent="0.3">
      <c r="B20" s="254"/>
      <c r="C20" s="901" t="s">
        <v>150</v>
      </c>
      <c r="D20" s="902"/>
      <c r="E20" s="902"/>
      <c r="F20" s="902"/>
      <c r="G20" s="902"/>
      <c r="H20" s="1074" t="s">
        <v>145</v>
      </c>
      <c r="I20" s="1074"/>
      <c r="J20" s="1074"/>
      <c r="K20" s="1074"/>
      <c r="L20" s="1074"/>
      <c r="M20" s="1074"/>
      <c r="N20" s="1074"/>
      <c r="O20" s="1074"/>
      <c r="P20" s="1074"/>
      <c r="Q20" s="1074"/>
      <c r="R20" s="1074"/>
      <c r="S20" s="1060" t="s">
        <v>148</v>
      </c>
      <c r="T20" s="1060"/>
      <c r="U20" s="1060"/>
      <c r="V20" s="1060"/>
      <c r="W20" s="1060"/>
      <c r="X20" s="1074" t="s">
        <v>131</v>
      </c>
      <c r="Y20" s="1074"/>
      <c r="Z20" s="1074"/>
      <c r="AA20" s="1113" t="s">
        <v>159</v>
      </c>
      <c r="AB20" s="256"/>
      <c r="AC20" s="1039"/>
    </row>
    <row r="21" spans="2:29" ht="21.75" customHeight="1" x14ac:dyDescent="0.3">
      <c r="B21" s="254"/>
      <c r="C21" s="1083" t="s">
        <v>93</v>
      </c>
      <c r="D21" s="1084"/>
      <c r="E21" s="1084"/>
      <c r="F21" s="1084"/>
      <c r="G21" s="1084"/>
      <c r="H21" s="916">
        <v>20</v>
      </c>
      <c r="I21" s="916"/>
      <c r="J21" s="916"/>
      <c r="K21" s="916"/>
      <c r="L21" s="916"/>
      <c r="M21" s="916"/>
      <c r="N21" s="916"/>
      <c r="O21" s="916"/>
      <c r="P21" s="916"/>
      <c r="Q21" s="916"/>
      <c r="R21" s="916"/>
      <c r="S21" s="916">
        <v>80</v>
      </c>
      <c r="T21" s="916"/>
      <c r="U21" s="916"/>
      <c r="V21" s="916"/>
      <c r="W21" s="916"/>
      <c r="X21" s="916">
        <v>100</v>
      </c>
      <c r="Y21" s="916"/>
      <c r="Z21" s="916"/>
      <c r="AA21" s="1114"/>
      <c r="AB21" s="256"/>
      <c r="AC21" s="1039"/>
    </row>
    <row r="22" spans="2:29" ht="24.75" customHeight="1" thickBot="1" x14ac:dyDescent="0.35">
      <c r="B22" s="254"/>
      <c r="C22" s="1071" t="s">
        <v>1</v>
      </c>
      <c r="D22" s="1072"/>
      <c r="E22" s="1072"/>
      <c r="F22" s="1072"/>
      <c r="G22" s="1073"/>
      <c r="H22" s="962" t="e">
        <f>IF(J13="","",VLOOKUP(J13,'GREEN SHEET'!C7:FK70,17,0))</f>
        <v>#N/A</v>
      </c>
      <c r="I22" s="962"/>
      <c r="J22" s="962"/>
      <c r="K22" s="962"/>
      <c r="L22" s="962"/>
      <c r="M22" s="962"/>
      <c r="N22" s="962"/>
      <c r="O22" s="962"/>
      <c r="P22" s="962"/>
      <c r="Q22" s="962"/>
      <c r="R22" s="962"/>
      <c r="S22" s="962" t="e">
        <f>IF(VLOOKUP(J13,'GREEN SHEET'!C7:FK70,21,0)="",VLOOKUP(J13,'GREEN SHEET'!C7:FK70,18,0),VLOOKUP(J13,'GREEN SHEET'!C7:FK70,21,0))</f>
        <v>#N/A</v>
      </c>
      <c r="T22" s="962"/>
      <c r="U22" s="962"/>
      <c r="V22" s="962"/>
      <c r="W22" s="962"/>
      <c r="X22" s="962" t="e">
        <f>IF(VLOOKUP(J13,'GREEN SHEET'!C7:FK70,22,0)="",VLOOKUP(J13,'GREEN SHEET'!C7:FK70,19,0),VLOOKUP(J13,'GREEN SHEET'!C7:FK70,22,0))</f>
        <v>#N/A</v>
      </c>
      <c r="Y22" s="962"/>
      <c r="Z22" s="962"/>
      <c r="AA22" s="303" t="e">
        <f>IF(X22="","",IF(J13="","",IF(VLOOKUP(J13,'GREEN SHEET'!C7:FK70,20,0)="","*",VLOOKUP(J13,'GREEN SHEET'!C7:FK70,20,0))))</f>
        <v>#N/A</v>
      </c>
      <c r="AB22" s="257"/>
      <c r="AC22" s="1039"/>
    </row>
    <row r="23" spans="2:29" ht="3.75" customHeight="1" thickBot="1" x14ac:dyDescent="0.35">
      <c r="B23" s="254"/>
      <c r="C23" s="1080"/>
      <c r="D23" s="1081"/>
      <c r="E23" s="1081"/>
      <c r="F23" s="1081"/>
      <c r="G23" s="1081"/>
      <c r="H23" s="1081"/>
      <c r="I23" s="1081"/>
      <c r="J23" s="1081"/>
      <c r="K23" s="1081"/>
      <c r="L23" s="1081"/>
      <c r="M23" s="1081"/>
      <c r="N23" s="1081"/>
      <c r="O23" s="1081"/>
      <c r="P23" s="1081"/>
      <c r="Q23" s="1081"/>
      <c r="R23" s="1081"/>
      <c r="S23" s="1081"/>
      <c r="T23" s="1081"/>
      <c r="U23" s="1081"/>
      <c r="V23" s="1081"/>
      <c r="W23" s="1081"/>
      <c r="X23" s="1081"/>
      <c r="Y23" s="1081"/>
      <c r="Z23" s="1081"/>
      <c r="AA23" s="1082"/>
      <c r="AB23" s="219"/>
      <c r="AC23" s="1039"/>
    </row>
    <row r="24" spans="2:29" ht="32.25" customHeight="1" x14ac:dyDescent="0.3">
      <c r="B24" s="254"/>
      <c r="C24" s="901"/>
      <c r="D24" s="902"/>
      <c r="E24" s="902"/>
      <c r="F24" s="902"/>
      <c r="G24" s="902"/>
      <c r="H24" s="1060" t="s">
        <v>146</v>
      </c>
      <c r="I24" s="1060"/>
      <c r="J24" s="1060"/>
      <c r="K24" s="1060"/>
      <c r="L24" s="1060" t="s">
        <v>147</v>
      </c>
      <c r="M24" s="1060"/>
      <c r="N24" s="1060"/>
      <c r="O24" s="1060"/>
      <c r="P24" s="1060" t="s">
        <v>41</v>
      </c>
      <c r="Q24" s="1060"/>
      <c r="R24" s="1060"/>
      <c r="S24" s="1060"/>
      <c r="T24" s="1060"/>
      <c r="U24" s="1060"/>
      <c r="V24" s="1060"/>
      <c r="W24" s="1060"/>
      <c r="X24" s="1074"/>
      <c r="Y24" s="1074"/>
      <c r="Z24" s="1074"/>
      <c r="AA24" s="1115"/>
      <c r="AB24" s="256"/>
      <c r="AC24" s="1039"/>
    </row>
    <row r="25" spans="2:29" ht="25.5" customHeight="1" x14ac:dyDescent="0.3">
      <c r="B25" s="254"/>
      <c r="C25" s="1062" t="s">
        <v>93</v>
      </c>
      <c r="D25" s="1063"/>
      <c r="E25" s="1063"/>
      <c r="F25" s="1063"/>
      <c r="G25" s="1063"/>
      <c r="H25" s="916">
        <v>10</v>
      </c>
      <c r="I25" s="916"/>
      <c r="J25" s="916"/>
      <c r="K25" s="916"/>
      <c r="L25" s="916">
        <v>10</v>
      </c>
      <c r="M25" s="916"/>
      <c r="N25" s="916"/>
      <c r="O25" s="916"/>
      <c r="P25" s="916">
        <v>20</v>
      </c>
      <c r="Q25" s="916"/>
      <c r="R25" s="916"/>
      <c r="S25" s="916">
        <v>80</v>
      </c>
      <c r="T25" s="916"/>
      <c r="U25" s="916"/>
      <c r="V25" s="916"/>
      <c r="W25" s="916"/>
      <c r="X25" s="1019">
        <v>100</v>
      </c>
      <c r="Y25" s="1019"/>
      <c r="Z25" s="1019"/>
      <c r="AA25" s="1116"/>
      <c r="AB25" s="256"/>
      <c r="AC25" s="1039"/>
    </row>
    <row r="26" spans="2:29" ht="24" customHeight="1" thickBot="1" x14ac:dyDescent="0.35">
      <c r="B26" s="254"/>
      <c r="C26" s="1075" t="s">
        <v>86</v>
      </c>
      <c r="D26" s="1076"/>
      <c r="E26" s="1076"/>
      <c r="F26" s="1076"/>
      <c r="G26" s="1076"/>
      <c r="H26" s="1061" t="e">
        <f>VLOOKUP(J13,'GREEN SHEET'!C7:FK70,32,0)</f>
        <v>#N/A</v>
      </c>
      <c r="I26" s="1061"/>
      <c r="J26" s="1061"/>
      <c r="K26" s="1061"/>
      <c r="L26" s="1061" t="e">
        <f>IF(J13="","",VLOOKUP(J13,'GREEN SHEET'!C7:FK70,36,0))</f>
        <v>#N/A</v>
      </c>
      <c r="M26" s="1061"/>
      <c r="N26" s="1061"/>
      <c r="O26" s="1061"/>
      <c r="P26" s="1061" t="e">
        <f>IF(J13="","",VLOOKUP(J13,'GREEN SHEET'!C7:FK70,37,0))</f>
        <v>#N/A</v>
      </c>
      <c r="Q26" s="1061"/>
      <c r="R26" s="1061"/>
      <c r="S26" s="1061" t="e">
        <f>IF(J13="","",IF(VLOOKUP(J13,'GREEN SHEET'!C7:FK70,41,0)="",VLOOKUP(J13,'GREEN SHEET'!C7:FK70,38,0),VLOOKUP(J13,'GREEN SHEET'!C7:FK70,41,0)))</f>
        <v>#N/A</v>
      </c>
      <c r="T26" s="1061"/>
      <c r="U26" s="1061"/>
      <c r="V26" s="1061"/>
      <c r="W26" s="1061"/>
      <c r="X26" s="1105" t="e">
        <f>IF(J13="","",IF(VLOOKUP(J13,'GREEN SHEET'!C7:FK70,42,0)="",VLOOKUP(J13,'GREEN SHEET'!C7:FK70,39,0),VLOOKUP(J13,'GREEN SHEET'!C7:FK70,42,0)))</f>
        <v>#N/A</v>
      </c>
      <c r="Y26" s="1105"/>
      <c r="Z26" s="1105"/>
      <c r="AA26" s="304" t="e">
        <f>IF(X26="","",IF(J13="","",IF(VLOOKUP(J13,'GREEN SHEET'!C7:FK70,40,0)="","*",VLOOKUP(J13,'GREEN SHEET'!C7:FK70,40,0))))</f>
        <v>#N/A</v>
      </c>
      <c r="AB26" s="258"/>
      <c r="AC26" s="1039"/>
    </row>
    <row r="27" spans="2:29" ht="4.5" customHeight="1" thickBot="1" x14ac:dyDescent="0.35">
      <c r="B27" s="254"/>
      <c r="C27" s="1055"/>
      <c r="D27" s="968"/>
      <c r="E27" s="968"/>
      <c r="F27" s="968"/>
      <c r="G27" s="968"/>
      <c r="H27" s="968"/>
      <c r="I27" s="968"/>
      <c r="J27" s="968"/>
      <c r="K27" s="968"/>
      <c r="L27" s="968"/>
      <c r="M27" s="968"/>
      <c r="N27" s="968"/>
      <c r="O27" s="968"/>
      <c r="P27" s="968"/>
      <c r="Q27" s="968"/>
      <c r="R27" s="968"/>
      <c r="S27" s="968"/>
      <c r="T27" s="968"/>
      <c r="U27" s="968"/>
      <c r="V27" s="968"/>
      <c r="W27" s="968"/>
      <c r="X27" s="968"/>
      <c r="Y27" s="968"/>
      <c r="Z27" s="968"/>
      <c r="AA27" s="1056"/>
      <c r="AB27" s="220"/>
      <c r="AC27" s="1039"/>
    </row>
    <row r="28" spans="2:29" ht="15.75" customHeight="1" x14ac:dyDescent="0.3">
      <c r="B28" s="254"/>
      <c r="C28" s="885" t="s">
        <v>87</v>
      </c>
      <c r="D28" s="886"/>
      <c r="E28" s="886"/>
      <c r="F28" s="886"/>
      <c r="G28" s="887"/>
      <c r="H28" s="987" t="s">
        <v>126</v>
      </c>
      <c r="I28" s="987"/>
      <c r="J28" s="987"/>
      <c r="K28" s="987"/>
      <c r="L28" s="987"/>
      <c r="M28" s="987"/>
      <c r="N28" s="987"/>
      <c r="O28" s="987"/>
      <c r="P28" s="987"/>
      <c r="Q28" s="987"/>
      <c r="R28" s="987"/>
      <c r="S28" s="987"/>
      <c r="T28" s="987"/>
      <c r="U28" s="987"/>
      <c r="V28" s="987"/>
      <c r="W28" s="987"/>
      <c r="X28" s="987"/>
      <c r="Y28" s="987"/>
      <c r="Z28" s="987"/>
      <c r="AA28" s="1107" t="s">
        <v>159</v>
      </c>
      <c r="AB28" s="259"/>
      <c r="AC28" s="1039"/>
    </row>
    <row r="29" spans="2:29" ht="15.75" customHeight="1" x14ac:dyDescent="0.3">
      <c r="B29" s="254"/>
      <c r="C29" s="888"/>
      <c r="D29" s="889"/>
      <c r="E29" s="889"/>
      <c r="F29" s="889"/>
      <c r="G29" s="986"/>
      <c r="H29" s="1016" t="s">
        <v>97</v>
      </c>
      <c r="I29" s="1017"/>
      <c r="J29" s="1017"/>
      <c r="K29" s="1017"/>
      <c r="L29" s="1017"/>
      <c r="M29" s="1017"/>
      <c r="N29" s="1017"/>
      <c r="O29" s="1017"/>
      <c r="P29" s="1016" t="s">
        <v>97</v>
      </c>
      <c r="Q29" s="1017"/>
      <c r="R29" s="1017"/>
      <c r="S29" s="1018"/>
      <c r="T29" s="1043" t="s">
        <v>125</v>
      </c>
      <c r="U29" s="1044"/>
      <c r="V29" s="1044"/>
      <c r="W29" s="1045"/>
      <c r="X29" s="1049" t="s">
        <v>131</v>
      </c>
      <c r="Y29" s="1050"/>
      <c r="Z29" s="1051"/>
      <c r="AA29" s="1108"/>
      <c r="AB29" s="259"/>
      <c r="AC29" s="1039"/>
    </row>
    <row r="30" spans="2:29" ht="36.75" customHeight="1" x14ac:dyDescent="0.3">
      <c r="B30" s="254"/>
      <c r="C30" s="888"/>
      <c r="D30" s="889"/>
      <c r="E30" s="889"/>
      <c r="F30" s="889"/>
      <c r="G30" s="986"/>
      <c r="H30" s="1024" t="s">
        <v>94</v>
      </c>
      <c r="I30" s="1025"/>
      <c r="J30" s="1024" t="s">
        <v>95</v>
      </c>
      <c r="K30" s="1025"/>
      <c r="L30" s="1026" t="s">
        <v>132</v>
      </c>
      <c r="M30" s="1027"/>
      <c r="N30" s="1027"/>
      <c r="O30" s="1028"/>
      <c r="P30" s="1043" t="s">
        <v>96</v>
      </c>
      <c r="Q30" s="1044"/>
      <c r="R30" s="1044"/>
      <c r="S30" s="1045"/>
      <c r="T30" s="1046"/>
      <c r="U30" s="1047"/>
      <c r="V30" s="1047"/>
      <c r="W30" s="1048"/>
      <c r="X30" s="1052"/>
      <c r="Y30" s="1053"/>
      <c r="Z30" s="1054"/>
      <c r="AA30" s="1108"/>
      <c r="AB30" s="259"/>
      <c r="AC30" s="1039"/>
    </row>
    <row r="31" spans="2:29" ht="23.25" customHeight="1" x14ac:dyDescent="0.3">
      <c r="B31" s="254"/>
      <c r="C31" s="1057"/>
      <c r="D31" s="1058"/>
      <c r="E31" s="1058"/>
      <c r="F31" s="1058"/>
      <c r="G31" s="1059"/>
      <c r="H31" s="1022" t="s">
        <v>77</v>
      </c>
      <c r="I31" s="1023"/>
      <c r="J31" s="1020" t="s">
        <v>77</v>
      </c>
      <c r="K31" s="1020"/>
      <c r="L31" s="1020" t="s">
        <v>77</v>
      </c>
      <c r="M31" s="1020"/>
      <c r="N31" s="1020" t="s">
        <v>78</v>
      </c>
      <c r="O31" s="1020"/>
      <c r="P31" s="1020" t="s">
        <v>77</v>
      </c>
      <c r="Q31" s="1020"/>
      <c r="R31" s="1020" t="s">
        <v>78</v>
      </c>
      <c r="S31" s="1020"/>
      <c r="T31" s="1020" t="s">
        <v>77</v>
      </c>
      <c r="U31" s="1020"/>
      <c r="V31" s="1020" t="s">
        <v>78</v>
      </c>
      <c r="W31" s="1020"/>
      <c r="X31" s="1021" t="s">
        <v>133</v>
      </c>
      <c r="Y31" s="1021"/>
      <c r="Z31" s="1021"/>
      <c r="AA31" s="1108"/>
      <c r="AB31" s="259"/>
      <c r="AC31" s="1039"/>
    </row>
    <row r="32" spans="2:29" ht="17.399999999999999" x14ac:dyDescent="0.3">
      <c r="B32" s="254"/>
      <c r="C32" s="1066" t="s">
        <v>93</v>
      </c>
      <c r="D32" s="1067"/>
      <c r="E32" s="1067"/>
      <c r="F32" s="1067"/>
      <c r="G32" s="1067"/>
      <c r="H32" s="1068">
        <v>10</v>
      </c>
      <c r="I32" s="1069"/>
      <c r="J32" s="1155">
        <v>10</v>
      </c>
      <c r="K32" s="1155"/>
      <c r="L32" s="1156">
        <v>21</v>
      </c>
      <c r="M32" s="1156"/>
      <c r="N32" s="1157">
        <v>9</v>
      </c>
      <c r="O32" s="1157"/>
      <c r="P32" s="1034">
        <v>35</v>
      </c>
      <c r="Q32" s="1036"/>
      <c r="R32" s="1034">
        <v>15</v>
      </c>
      <c r="S32" s="1036"/>
      <c r="T32" s="1034">
        <v>76</v>
      </c>
      <c r="U32" s="1036"/>
      <c r="V32" s="1034">
        <v>24</v>
      </c>
      <c r="W32" s="1036"/>
      <c r="X32" s="1034">
        <v>100</v>
      </c>
      <c r="Y32" s="1035"/>
      <c r="Z32" s="1036"/>
      <c r="AA32" s="1109"/>
      <c r="AB32" s="259"/>
      <c r="AC32" s="1039"/>
    </row>
    <row r="33" spans="2:29" ht="22.5" customHeight="1" x14ac:dyDescent="0.3">
      <c r="B33" s="254"/>
      <c r="C33" s="910" t="s">
        <v>88</v>
      </c>
      <c r="D33" s="911"/>
      <c r="E33" s="911"/>
      <c r="F33" s="911"/>
      <c r="G33" s="948"/>
      <c r="H33" s="1008" t="e">
        <f>IF(J13="","",VLOOKUP(J13,'GREEN SHEET'!C7:FK70,49,0))</f>
        <v>#N/A</v>
      </c>
      <c r="I33" s="1009"/>
      <c r="J33" s="1008" t="e">
        <f>IF(J13="","",VLOOKUP(J13,'GREEN SHEET'!C7:FK70,55,0))</f>
        <v>#N/A</v>
      </c>
      <c r="K33" s="1009"/>
      <c r="L33" s="1008" t="e">
        <f>IF(J13="","",VLOOKUP(J13,'GREEN SHEET'!C7:FK70,52,0))</f>
        <v>#N/A</v>
      </c>
      <c r="M33" s="1009"/>
      <c r="N33" s="1064" t="e">
        <f>IF(J13="","",VLOOKUP(J13,'GREEN SHEET'!C7:FK70,53,0))</f>
        <v>#N/A</v>
      </c>
      <c r="O33" s="1065"/>
      <c r="P33" s="1008" t="e">
        <f>IF(VLOOKUP(J13,'GREEN SHEET'!C7:FK70,64,0)="",VLOOKUP(J13,'GREEN SHEET'!C7:FK70,58,0),VLOOKUP(J13,'GREEN SHEET'!C7:FK70,64,0))</f>
        <v>#N/A</v>
      </c>
      <c r="Q33" s="1009"/>
      <c r="R33" s="1008" t="e">
        <f>IF(J13="","",VLOOKUP(J13,'GREEN SHEET'!C7:FK70,59,0))</f>
        <v>#N/A</v>
      </c>
      <c r="S33" s="1009"/>
      <c r="T33" s="1008" t="e">
        <f t="shared" ref="T33:T36" si="0">IF(P33="","",SUM(H33:M33,P33))</f>
        <v>#N/A</v>
      </c>
      <c r="U33" s="1009"/>
      <c r="V33" s="1008" t="e">
        <f>IF(J13="","",VLOOKUP(J13,'GREEN SHEET'!C7:FK70,61,0))</f>
        <v>#N/A</v>
      </c>
      <c r="W33" s="1009"/>
      <c r="X33" s="1008" t="e">
        <f>IF(T33="","",SUM(T33:W33))</f>
        <v>#N/A</v>
      </c>
      <c r="Y33" s="1037"/>
      <c r="Z33" s="1009"/>
      <c r="AA33" s="305" t="e">
        <f>IF(X33="","",IF(VLOOKUP(J13,'GREEN SHEET'!C7:FK70,63,0)="","*",VLOOKUP(J13,'GREEN SHEET'!C7:FK70,63,0)))</f>
        <v>#N/A</v>
      </c>
      <c r="AB33" s="260"/>
      <c r="AC33" s="1039"/>
    </row>
    <row r="34" spans="2:29" ht="22.5" customHeight="1" x14ac:dyDescent="0.3">
      <c r="B34" s="254"/>
      <c r="C34" s="910" t="s">
        <v>83</v>
      </c>
      <c r="D34" s="911"/>
      <c r="E34" s="911"/>
      <c r="F34" s="911"/>
      <c r="G34" s="948"/>
      <c r="H34" s="1008" t="e">
        <f>IF(J13="","",VLOOKUP(J13,'GREEN SHEET'!C7:FK70,68,0))</f>
        <v>#N/A</v>
      </c>
      <c r="I34" s="1009"/>
      <c r="J34" s="1008" t="e">
        <f>IF(J13="","",VLOOKUP(J13,'GREEN SHEET'!C7:FK70,74,0))</f>
        <v>#N/A</v>
      </c>
      <c r="K34" s="1009"/>
      <c r="L34" s="1008" t="e">
        <f>IF(J13="","",VLOOKUP(J13,'GREEN SHEET'!C7:FK70,71,0))</f>
        <v>#N/A</v>
      </c>
      <c r="M34" s="1009"/>
      <c r="N34" s="1064" t="e">
        <f>IF(J13="","",VLOOKUP(J13,'GREEN SHEET'!C7:FK70,72,0))</f>
        <v>#N/A</v>
      </c>
      <c r="O34" s="1065"/>
      <c r="P34" s="1008" t="e">
        <f>IF(VLOOKUP(J13,'GREEN SHEET'!C7:FK70,83,0)="",VLOOKUP(J13,'GREEN SHEET'!C7:FK7,77,0),VLOOKUP(J13,'GREEN SHEET'!C7:FK70,83,0))</f>
        <v>#N/A</v>
      </c>
      <c r="Q34" s="1009"/>
      <c r="R34" s="1008" t="e">
        <f>IF(J13="","",VLOOKUP(J13,'GREEN SHEET'!C7:FK70,78,0))</f>
        <v>#N/A</v>
      </c>
      <c r="S34" s="1009"/>
      <c r="T34" s="1008" t="e">
        <f t="shared" si="0"/>
        <v>#N/A</v>
      </c>
      <c r="U34" s="1009"/>
      <c r="V34" s="1008" t="e">
        <f>IF(J13="","",VLOOKUP(J13,'GREEN SHEET'!C7:FK70,80,0))</f>
        <v>#N/A</v>
      </c>
      <c r="W34" s="1009"/>
      <c r="X34" s="1008" t="e">
        <f t="shared" ref="X34:X36" si="1">IF(T34="","",SUM(T34:W34))</f>
        <v>#N/A</v>
      </c>
      <c r="Y34" s="1037"/>
      <c r="Z34" s="1009"/>
      <c r="AA34" s="305" t="e">
        <f>IF(X34="","",IF(VLOOKUP(J13,'GREEN SHEET'!C7:FK70,82,0)="","*",VLOOKUP(J13,'GREEN SHEET'!C7:FK70,82,0)))</f>
        <v>#N/A</v>
      </c>
      <c r="AB34" s="260"/>
      <c r="AC34" s="1039"/>
    </row>
    <row r="35" spans="2:29" ht="22.5" customHeight="1" x14ac:dyDescent="0.3">
      <c r="B35" s="254"/>
      <c r="C35" s="910" t="s">
        <v>89</v>
      </c>
      <c r="D35" s="911"/>
      <c r="E35" s="911"/>
      <c r="F35" s="911"/>
      <c r="G35" s="948"/>
      <c r="H35" s="1008" t="e">
        <f>IF(J13="","",VLOOKUP(J13,'GREEN SHEET'!C7:FK70,87,0))</f>
        <v>#N/A</v>
      </c>
      <c r="I35" s="1009"/>
      <c r="J35" s="1008" t="e">
        <f>IF(J13="","",VLOOKUP(J13,'GREEN SHEET'!C7:FK70,93,0))</f>
        <v>#N/A</v>
      </c>
      <c r="K35" s="1009"/>
      <c r="L35" s="1008" t="e">
        <f>IF(J13="","",VLOOKUP(J13,'GREEN SHEET'!C7:FK70,90,0))</f>
        <v>#N/A</v>
      </c>
      <c r="M35" s="1009"/>
      <c r="N35" s="1064" t="e">
        <f>IF(J13="","",VLOOKUP(J13,'GREEN SHEET'!C7:FK70,91,0))</f>
        <v>#N/A</v>
      </c>
      <c r="O35" s="1065"/>
      <c r="P35" s="1008" t="e">
        <f>IF(VLOOKUP(J13,'GREEN SHEET'!C7:FK70,102,0)="",VLOOKUP(J13,'GREEN SHEET'!C7:FK70,96,0),VLOOKUP(J13,'GREEN SHEET'!C7:FK70,102,0))</f>
        <v>#N/A</v>
      </c>
      <c r="Q35" s="1009"/>
      <c r="R35" s="1008" t="e">
        <f>IF(J13="","",VLOOKUP(J13,'GREEN SHEET'!C7:FK70,97,0))</f>
        <v>#N/A</v>
      </c>
      <c r="S35" s="1009"/>
      <c r="T35" s="1008" t="e">
        <f t="shared" si="0"/>
        <v>#N/A</v>
      </c>
      <c r="U35" s="1009"/>
      <c r="V35" s="1008" t="e">
        <f>IF(J13="","",VLOOKUP(J13,'GREEN SHEET'!C7:FK70,99,0))</f>
        <v>#N/A</v>
      </c>
      <c r="W35" s="1009"/>
      <c r="X35" s="1008" t="e">
        <f t="shared" si="1"/>
        <v>#N/A</v>
      </c>
      <c r="Y35" s="1037"/>
      <c r="Z35" s="1009"/>
      <c r="AA35" s="313" t="e">
        <f>IF(X35="","",IF(VLOOKUP(J13,'GREEN SHEET'!C7:FK70,101,0)="","*",VLOOKUP(J13,'GREEN SHEET'!C7:FK70,101,0)))</f>
        <v>#N/A</v>
      </c>
      <c r="AB35" s="260"/>
      <c r="AC35" s="1039"/>
    </row>
    <row r="36" spans="2:29" ht="22.5" customHeight="1" thickBot="1" x14ac:dyDescent="0.35">
      <c r="B36" s="254"/>
      <c r="C36" s="890" t="s">
        <v>134</v>
      </c>
      <c r="D36" s="891"/>
      <c r="E36" s="891"/>
      <c r="F36" s="891"/>
      <c r="G36" s="1005"/>
      <c r="H36" s="1032" t="e">
        <f>IF(J13="","",VLOOKUP(J13,'GREEN SHEET'!C7:FK70,106,0))</f>
        <v>#N/A</v>
      </c>
      <c r="I36" s="1033"/>
      <c r="J36" s="1032" t="e">
        <f>IF(J13="","",VLOOKUP(J13,'GREEN SHEET'!C7:FK70,112,0))</f>
        <v>#N/A</v>
      </c>
      <c r="K36" s="1033"/>
      <c r="L36" s="1032" t="e">
        <f>IF(J13="","",VLOOKUP(J13,'GREEN SHEET'!C7:FK70,109,0))</f>
        <v>#N/A</v>
      </c>
      <c r="M36" s="1033"/>
      <c r="N36" s="1120" t="e">
        <f>IF(J13="","",VLOOKUP(J13,'GREEN SHEET'!C7:FK70,110,0))</f>
        <v>#N/A</v>
      </c>
      <c r="O36" s="1121"/>
      <c r="P36" s="1032" t="e">
        <f>IF(VLOOKUP(J13,'GREEN SHEET'!C7:FK70,121,0)="",VLOOKUP(J13,'GREEN SHEET'!C7:FK70,115,0),VLOOKUP(J13,'GREEN SHEET'!C7:FK70,121,0))</f>
        <v>#N/A</v>
      </c>
      <c r="Q36" s="1033"/>
      <c r="R36" s="1032" t="e">
        <f>IF(J13="","",VLOOKUP(J13,'GREEN SHEET'!C7:FK70,116,0))</f>
        <v>#N/A</v>
      </c>
      <c r="S36" s="1033"/>
      <c r="T36" s="1032" t="e">
        <f t="shared" si="0"/>
        <v>#N/A</v>
      </c>
      <c r="U36" s="1033"/>
      <c r="V36" s="1032" t="e">
        <f>IF(J13="","",VLOOKUP(J13,'GREEN SHEET'!C7:FK70,118,0))</f>
        <v>#N/A</v>
      </c>
      <c r="W36" s="1033"/>
      <c r="X36" s="1032" t="e">
        <f t="shared" si="1"/>
        <v>#N/A</v>
      </c>
      <c r="Y36" s="1119"/>
      <c r="Z36" s="1033"/>
      <c r="AA36" s="314" t="e">
        <f>IF(X36="","",IF(VLOOKUP(J13,'GREEN SHEET'!C7:FK70,120,0)="","*",VLOOKUP(J13,'GREEN SHEET'!C7:FK70,120,0)))</f>
        <v>#N/A</v>
      </c>
      <c r="AB36" s="260"/>
      <c r="AC36" s="1039"/>
    </row>
    <row r="37" spans="2:29" ht="21.75" hidden="1" customHeight="1" x14ac:dyDescent="0.3">
      <c r="B37" s="254"/>
      <c r="C37" s="1077" t="e">
        <f>"ADDITIONAL "&amp;"("&amp;VLOOKUP(J13,ADDITIONAL!D8:T52,2,FALSE)&amp;")"</f>
        <v>#N/A</v>
      </c>
      <c r="D37" s="1078"/>
      <c r="E37" s="1078"/>
      <c r="F37" s="1078"/>
      <c r="G37" s="1079"/>
      <c r="H37" s="1029" t="e">
        <f>VLOOKUP(J13,ADDITIONAL!D8:U52,9,FALSE)</f>
        <v>#N/A</v>
      </c>
      <c r="I37" s="1031"/>
      <c r="J37" s="1029" t="e">
        <f>VLOOKUP(J13,ADDITIONAL!D8:U52,12,FALSE)</f>
        <v>#N/A</v>
      </c>
      <c r="K37" s="1031"/>
      <c r="L37" s="1029" t="e">
        <f>VLOOKUP(J13,ADDITIONAL!D8:U52,10,FALSE)</f>
        <v>#N/A</v>
      </c>
      <c r="M37" s="1031"/>
      <c r="N37" s="1117" t="e">
        <f>VLOOKUP(J13,ADDITIONAL!D8:U52,11,FALSE)</f>
        <v>#N/A</v>
      </c>
      <c r="O37" s="1118"/>
      <c r="P37" s="1029" t="e">
        <f>VLOOKUP(J13,ADDITIONAL!D8:U52,13,FALSE)</f>
        <v>#N/A</v>
      </c>
      <c r="Q37" s="1031"/>
      <c r="R37" s="1029" t="e">
        <f>VLOOKUP(J13,ADDITIONAL!D8:U52,14,FALSE)</f>
        <v>#N/A</v>
      </c>
      <c r="S37" s="1031"/>
      <c r="T37" s="1029" t="e">
        <f>VLOOKUP(J13,ADDITIONAL!D8:U52,15,FALSE)</f>
        <v>#N/A</v>
      </c>
      <c r="U37" s="1031"/>
      <c r="V37" s="1029" t="e">
        <f>VLOOKUP(J13,ADDITIONAL!D8:U52,16,FALSE)</f>
        <v>#N/A</v>
      </c>
      <c r="W37" s="1031"/>
      <c r="X37" s="1029" t="e">
        <f>VLOOKUP(J13,ADDITIONAL!D8:U52,17,FALSE)</f>
        <v>#N/A</v>
      </c>
      <c r="Y37" s="1030"/>
      <c r="Z37" s="1031"/>
      <c r="AA37" s="306" t="e">
        <f>VLOOKUP(J13,ADDITIONAL!D8:U52,18,FALSE)</f>
        <v>#N/A</v>
      </c>
      <c r="AB37" s="260"/>
      <c r="AC37" s="1039"/>
    </row>
    <row r="38" spans="2:29" ht="6.75" customHeight="1" thickBot="1" x14ac:dyDescent="0.35">
      <c r="B38" s="254"/>
      <c r="C38" s="381"/>
      <c r="D38" s="382"/>
      <c r="E38" s="382"/>
      <c r="F38" s="382"/>
      <c r="G38" s="382"/>
      <c r="H38" s="384"/>
      <c r="I38" s="384"/>
      <c r="J38" s="384"/>
      <c r="K38" s="384"/>
      <c r="L38" s="384"/>
      <c r="M38" s="384"/>
      <c r="N38" s="385"/>
      <c r="O38" s="385"/>
      <c r="P38" s="384"/>
      <c r="Q38" s="384"/>
      <c r="R38" s="384"/>
      <c r="S38" s="384"/>
      <c r="T38" s="384"/>
      <c r="U38" s="384"/>
      <c r="V38" s="384"/>
      <c r="W38" s="384"/>
      <c r="X38" s="384"/>
      <c r="Y38" s="384"/>
      <c r="Z38" s="384"/>
      <c r="AA38" s="364"/>
      <c r="AB38" s="383"/>
      <c r="AC38" s="1039"/>
    </row>
    <row r="39" spans="2:29" ht="21" customHeight="1" thickBot="1" x14ac:dyDescent="0.35">
      <c r="B39" s="254"/>
      <c r="C39" s="386"/>
      <c r="D39" s="387"/>
      <c r="E39" s="387"/>
      <c r="F39" s="387"/>
      <c r="G39" s="387"/>
      <c r="H39" s="387"/>
      <c r="I39" s="387"/>
      <c r="J39" s="387"/>
      <c r="K39" s="387"/>
      <c r="L39" s="387"/>
      <c r="M39" s="387"/>
      <c r="N39" s="387"/>
      <c r="O39" s="387"/>
      <c r="P39" s="387"/>
      <c r="Q39" s="387"/>
      <c r="R39" s="387"/>
      <c r="S39" s="387"/>
      <c r="T39" s="387"/>
      <c r="U39" s="387"/>
      <c r="V39" s="387"/>
      <c r="W39" s="387"/>
      <c r="X39" s="387"/>
      <c r="Y39" s="387"/>
      <c r="Z39" s="387"/>
      <c r="AA39" s="388"/>
      <c r="AB39" s="261"/>
      <c r="AC39" s="1039"/>
    </row>
    <row r="40" spans="2:29" ht="18" thickBot="1" x14ac:dyDescent="0.35">
      <c r="B40" s="254"/>
      <c r="C40" s="104"/>
      <c r="D40" s="1150" t="s">
        <v>257</v>
      </c>
      <c r="E40" s="1040"/>
      <c r="F40" s="1040"/>
      <c r="G40" s="1040"/>
      <c r="H40" s="1040"/>
      <c r="I40" s="1040"/>
      <c r="J40" s="1151"/>
      <c r="K40" s="105"/>
      <c r="L40" s="1152" t="s">
        <v>90</v>
      </c>
      <c r="M40" s="1153"/>
      <c r="N40" s="1153"/>
      <c r="O40" s="1153"/>
      <c r="P40" s="1153"/>
      <c r="Q40" s="1153"/>
      <c r="R40" s="1153"/>
      <c r="S40" s="1153"/>
      <c r="T40" s="1153"/>
      <c r="U40" s="1153"/>
      <c r="V40" s="1153"/>
      <c r="W40" s="1153"/>
      <c r="X40" s="1153"/>
      <c r="Y40" s="1153"/>
      <c r="Z40" s="1154"/>
      <c r="AA40" s="302"/>
      <c r="AB40" s="220"/>
      <c r="AC40" s="1039"/>
    </row>
    <row r="41" spans="2:29" x14ac:dyDescent="0.3">
      <c r="B41" s="254"/>
      <c r="C41" s="103"/>
      <c r="D41" s="921"/>
      <c r="E41" s="922"/>
      <c r="F41" s="922"/>
      <c r="G41" s="922"/>
      <c r="H41" s="922"/>
      <c r="I41" s="922"/>
      <c r="J41" s="923"/>
      <c r="K41" s="105"/>
      <c r="L41" s="930" t="s">
        <v>150</v>
      </c>
      <c r="M41" s="931"/>
      <c r="N41" s="931"/>
      <c r="O41" s="931"/>
      <c r="P41" s="931"/>
      <c r="Q41" s="931"/>
      <c r="R41" s="931"/>
      <c r="S41" s="931"/>
      <c r="T41" s="931"/>
      <c r="U41" s="931"/>
      <c r="V41" s="1148" t="s">
        <v>159</v>
      </c>
      <c r="W41" s="1148"/>
      <c r="X41" s="1148"/>
      <c r="Y41" s="1148"/>
      <c r="Z41" s="1149"/>
      <c r="AA41" s="302"/>
      <c r="AB41" s="220"/>
      <c r="AC41" s="1039"/>
    </row>
    <row r="42" spans="2:29" ht="18" thickBot="1" x14ac:dyDescent="0.35">
      <c r="B42" s="254"/>
      <c r="C42" s="100"/>
      <c r="D42" s="924"/>
      <c r="E42" s="925"/>
      <c r="F42" s="925"/>
      <c r="G42" s="925"/>
      <c r="H42" s="925"/>
      <c r="I42" s="925"/>
      <c r="J42" s="926"/>
      <c r="K42" s="143"/>
      <c r="L42" s="914" t="s">
        <v>91</v>
      </c>
      <c r="M42" s="915"/>
      <c r="N42" s="915"/>
      <c r="O42" s="915"/>
      <c r="P42" s="915"/>
      <c r="Q42" s="915"/>
      <c r="R42" s="915"/>
      <c r="S42" s="915"/>
      <c r="T42" s="915"/>
      <c r="U42" s="915"/>
      <c r="V42" s="915" t="e">
        <f>IF(VLOOKUP(J13,'CO-SCHOLOSTIC'!D7:H51,2,0)="","",VLOOKUP(J13,'CO-SCHOLOSTIC'!D7:H51,2,0))</f>
        <v>#N/A</v>
      </c>
      <c r="W42" s="915"/>
      <c r="X42" s="915"/>
      <c r="Y42" s="915"/>
      <c r="Z42" s="917"/>
      <c r="AA42" s="302"/>
      <c r="AB42" s="220"/>
      <c r="AC42" s="1039"/>
    </row>
    <row r="43" spans="2:29" ht="17.399999999999999" x14ac:dyDescent="0.3">
      <c r="B43" s="254"/>
      <c r="C43" s="100"/>
      <c r="D43" s="973" t="e">
        <f>IF(J13="","",IF(VLOOKUP(J13,ADDITIONAL!D8:E52,2,0)="","NIL",VLOOKUP(J13,ADDITIONAL!D8:E52,2,0)))</f>
        <v>#N/A</v>
      </c>
      <c r="E43" s="974"/>
      <c r="F43" s="974"/>
      <c r="G43" s="974"/>
      <c r="H43" s="974"/>
      <c r="I43" s="974"/>
      <c r="J43" s="975"/>
      <c r="K43" s="143"/>
      <c r="L43" s="914" t="s">
        <v>37</v>
      </c>
      <c r="M43" s="915"/>
      <c r="N43" s="915"/>
      <c r="O43" s="915"/>
      <c r="P43" s="915"/>
      <c r="Q43" s="915"/>
      <c r="R43" s="915"/>
      <c r="S43" s="915"/>
      <c r="T43" s="915"/>
      <c r="U43" s="915"/>
      <c r="V43" s="915" t="e">
        <f>IF(VLOOKUP(J13,'CO-SCHOLOSTIC'!D7:H51,3,0)="","",VLOOKUP(J13,'CO-SCHOLOSTIC'!D7:H51,3,0))</f>
        <v>#N/A</v>
      </c>
      <c r="W43" s="915"/>
      <c r="X43" s="915"/>
      <c r="Y43" s="915"/>
      <c r="Z43" s="917"/>
      <c r="AA43" s="300"/>
      <c r="AB43" s="96"/>
      <c r="AC43" s="1039"/>
    </row>
    <row r="44" spans="2:29" ht="15" customHeight="1" x14ac:dyDescent="0.3">
      <c r="B44" s="254"/>
      <c r="C44" s="100"/>
      <c r="D44" s="976"/>
      <c r="E44" s="977"/>
      <c r="F44" s="977"/>
      <c r="G44" s="977"/>
      <c r="H44" s="977"/>
      <c r="I44" s="977"/>
      <c r="J44" s="978"/>
      <c r="K44" s="143"/>
      <c r="L44" s="914" t="s">
        <v>76</v>
      </c>
      <c r="M44" s="915"/>
      <c r="N44" s="915"/>
      <c r="O44" s="915"/>
      <c r="P44" s="915"/>
      <c r="Q44" s="915"/>
      <c r="R44" s="915"/>
      <c r="S44" s="915"/>
      <c r="T44" s="915"/>
      <c r="U44" s="915"/>
      <c r="V44" s="915" t="e">
        <f>IF(VLOOKUP(J13,'CO-SCHOLOSTIC'!D7:H51,4,0)="","",VLOOKUP(J13,'CO-SCHOLOSTIC'!D7:H51,4,0))</f>
        <v>#N/A</v>
      </c>
      <c r="W44" s="915"/>
      <c r="X44" s="915"/>
      <c r="Y44" s="915"/>
      <c r="Z44" s="917"/>
      <c r="AA44" s="380"/>
      <c r="AB44" s="101"/>
      <c r="AC44" s="1039"/>
    </row>
    <row r="45" spans="2:29" ht="15.75" customHeight="1" thickBot="1" x14ac:dyDescent="0.35">
      <c r="B45" s="254"/>
      <c r="C45" s="100"/>
      <c r="D45" s="979"/>
      <c r="E45" s="980"/>
      <c r="F45" s="980"/>
      <c r="G45" s="980"/>
      <c r="H45" s="980"/>
      <c r="I45" s="980"/>
      <c r="J45" s="981"/>
      <c r="K45" s="143"/>
      <c r="L45" s="918" t="s">
        <v>92</v>
      </c>
      <c r="M45" s="919"/>
      <c r="N45" s="919"/>
      <c r="O45" s="919"/>
      <c r="P45" s="919"/>
      <c r="Q45" s="919"/>
      <c r="R45" s="919"/>
      <c r="S45" s="919"/>
      <c r="T45" s="919"/>
      <c r="U45" s="919"/>
      <c r="V45" s="919" t="e">
        <f>IF(VLOOKUP(J13,'CO-SCHOLOSTIC'!D7:H51,5,0)="","",VLOOKUP(J13,'CO-SCHOLOSTIC'!D7:H51,5,0))</f>
        <v>#N/A</v>
      </c>
      <c r="W45" s="919"/>
      <c r="X45" s="919"/>
      <c r="Y45" s="919"/>
      <c r="Z45" s="920"/>
      <c r="AA45" s="380"/>
      <c r="AB45" s="101"/>
      <c r="AC45" s="1039"/>
    </row>
    <row r="46" spans="2:29" ht="19.5" customHeight="1" thickBot="1" x14ac:dyDescent="0.35">
      <c r="B46" s="254"/>
      <c r="C46" s="389"/>
      <c r="D46" s="390"/>
      <c r="E46" s="390"/>
      <c r="F46" s="390"/>
      <c r="G46" s="390"/>
      <c r="H46" s="390"/>
      <c r="I46" s="390"/>
      <c r="J46" s="390"/>
      <c r="K46" s="390"/>
      <c r="L46" s="390"/>
      <c r="M46" s="148"/>
      <c r="N46" s="148"/>
      <c r="O46" s="148"/>
      <c r="P46" s="148"/>
      <c r="Q46" s="391"/>
      <c r="R46" s="391"/>
      <c r="S46" s="391"/>
      <c r="T46" s="391"/>
      <c r="U46" s="274"/>
      <c r="V46" s="274"/>
      <c r="W46" s="274"/>
      <c r="X46" s="274"/>
      <c r="Y46" s="274"/>
      <c r="Z46" s="274"/>
      <c r="AA46" s="392"/>
      <c r="AB46" s="96"/>
      <c r="AC46" s="1039"/>
    </row>
    <row r="47" spans="2:29" ht="17.25" customHeight="1" x14ac:dyDescent="0.3">
      <c r="B47" s="254"/>
      <c r="C47" s="1131" t="s">
        <v>198</v>
      </c>
      <c r="D47" s="1132"/>
      <c r="E47" s="1132"/>
      <c r="F47" s="1085" t="e">
        <f>IF(VLOOKUP(J13,'GREEN SHEET'!C7:FK70,161,0)="",VLOOKUP(J13,'GREEN SHEET'!C7:FK70,139,0),VLOOKUP(J13,'GREEN SHEET'!C7:FK70,161,0))</f>
        <v>#N/A</v>
      </c>
      <c r="G47" s="1085"/>
      <c r="H47" s="1085"/>
      <c r="I47" s="1085"/>
      <c r="J47" s="1085"/>
      <c r="K47" s="1122" t="e">
        <f>IF(F47="COMPARTMENT","COMPARTMENT IN SUBJECT:-","")</f>
        <v>#N/A</v>
      </c>
      <c r="L47" s="1122"/>
      <c r="M47" s="1122"/>
      <c r="N47" s="1122"/>
      <c r="O47" s="1122"/>
      <c r="P47" s="1122"/>
      <c r="Q47" s="1125" t="e">
        <f>IF(K47="","",VLOOKUP(J13,'GREEN SHEET'!C7:FK70,146,0))</f>
        <v>#N/A</v>
      </c>
      <c r="R47" s="1125"/>
      <c r="S47" s="1125"/>
      <c r="T47" s="1125"/>
      <c r="U47" s="1125"/>
      <c r="V47" s="1125"/>
      <c r="W47" s="1125"/>
      <c r="X47" s="1125"/>
      <c r="Y47" s="1125"/>
      <c r="Z47" s="1125"/>
      <c r="AA47" s="1126"/>
      <c r="AB47" s="262"/>
      <c r="AC47" s="1039"/>
    </row>
    <row r="48" spans="2:29" ht="15" hidden="1" customHeight="1" x14ac:dyDescent="0.3">
      <c r="B48" s="254"/>
      <c r="C48" s="1133"/>
      <c r="D48" s="1134"/>
      <c r="E48" s="1134"/>
      <c r="F48" s="1086"/>
      <c r="G48" s="1086"/>
      <c r="H48" s="1086"/>
      <c r="I48" s="1086"/>
      <c r="J48" s="1086"/>
      <c r="K48" s="1123"/>
      <c r="L48" s="1123"/>
      <c r="M48" s="1123"/>
      <c r="N48" s="1123"/>
      <c r="O48" s="1123"/>
      <c r="P48" s="1123"/>
      <c r="Q48" s="1127"/>
      <c r="R48" s="1127"/>
      <c r="S48" s="1127"/>
      <c r="T48" s="1127"/>
      <c r="U48" s="1127"/>
      <c r="V48" s="1127"/>
      <c r="W48" s="1127"/>
      <c r="X48" s="1127"/>
      <c r="Y48" s="1127"/>
      <c r="Z48" s="1127"/>
      <c r="AA48" s="1128"/>
      <c r="AB48" s="262"/>
      <c r="AC48" s="1039"/>
    </row>
    <row r="49" spans="1:29" ht="30.75" customHeight="1" thickBot="1" x14ac:dyDescent="0.35">
      <c r="B49" s="254"/>
      <c r="C49" s="1135"/>
      <c r="D49" s="1136"/>
      <c r="E49" s="1136"/>
      <c r="F49" s="1087"/>
      <c r="G49" s="1087"/>
      <c r="H49" s="1087"/>
      <c r="I49" s="1087"/>
      <c r="J49" s="1087"/>
      <c r="K49" s="1124"/>
      <c r="L49" s="1124"/>
      <c r="M49" s="1124"/>
      <c r="N49" s="1124"/>
      <c r="O49" s="1124"/>
      <c r="P49" s="1124"/>
      <c r="Q49" s="1129"/>
      <c r="R49" s="1129"/>
      <c r="S49" s="1129"/>
      <c r="T49" s="1129"/>
      <c r="U49" s="1129"/>
      <c r="V49" s="1129"/>
      <c r="W49" s="1129"/>
      <c r="X49" s="1129"/>
      <c r="Y49" s="1129"/>
      <c r="Z49" s="1129"/>
      <c r="AA49" s="1130"/>
      <c r="AB49" s="262"/>
      <c r="AC49" s="1039"/>
    </row>
    <row r="50" spans="1:29" ht="30" customHeight="1" x14ac:dyDescent="0.3">
      <c r="B50" s="254"/>
      <c r="C50" s="885" t="s">
        <v>174</v>
      </c>
      <c r="D50" s="886"/>
      <c r="E50" s="886" t="str">
        <f>IF(DASHBOARD!I17="","",DASHBOARD!I17)</f>
        <v/>
      </c>
      <c r="F50" s="886"/>
      <c r="G50" s="886"/>
      <c r="H50" s="886"/>
      <c r="I50" s="886"/>
      <c r="J50" s="290"/>
      <c r="K50" s="291"/>
      <c r="L50" s="291"/>
      <c r="M50" s="291"/>
      <c r="N50" s="291"/>
      <c r="O50" s="291"/>
      <c r="P50" s="291"/>
      <c r="Q50" s="291"/>
      <c r="R50" s="291"/>
      <c r="S50" s="291"/>
      <c r="T50" s="291"/>
      <c r="U50" s="291"/>
      <c r="V50" s="291"/>
      <c r="W50" s="291"/>
      <c r="X50" s="291"/>
      <c r="Y50" s="291"/>
      <c r="Z50" s="291"/>
      <c r="AA50" s="315"/>
      <c r="AB50" s="96"/>
      <c r="AC50" s="1039"/>
    </row>
    <row r="51" spans="1:29" ht="15.75" customHeight="1" x14ac:dyDescent="0.3">
      <c r="B51" s="254"/>
      <c r="C51" s="969" t="s">
        <v>256</v>
      </c>
      <c r="D51" s="970"/>
      <c r="E51" s="889" t="e">
        <f>IF(F47="PASSED WITH COMPARTMENT",DASHBOARD!C18,DASHBOARD!C17)</f>
        <v>#N/A</v>
      </c>
      <c r="F51" s="889"/>
      <c r="G51" s="889"/>
      <c r="H51" s="889"/>
      <c r="I51" s="968" t="s">
        <v>231</v>
      </c>
      <c r="J51" s="968"/>
      <c r="K51" s="968"/>
      <c r="L51" s="968"/>
      <c r="M51" s="968"/>
      <c r="N51" s="968"/>
      <c r="O51" s="968"/>
      <c r="P51" s="145"/>
      <c r="Q51" s="968" t="s">
        <v>232</v>
      </c>
      <c r="R51" s="968"/>
      <c r="S51" s="968"/>
      <c r="T51" s="968"/>
      <c r="U51" s="968"/>
      <c r="V51" s="968" t="s">
        <v>233</v>
      </c>
      <c r="W51" s="968"/>
      <c r="X51" s="968"/>
      <c r="Y51" s="968"/>
      <c r="Z51" s="968"/>
      <c r="AA51" s="1056"/>
      <c r="AB51" s="152"/>
      <c r="AC51" s="1039"/>
    </row>
    <row r="52" spans="1:29" s="283" customFormat="1" ht="17.25" customHeight="1" x14ac:dyDescent="0.3">
      <c r="A52" s="280"/>
      <c r="B52" s="281"/>
      <c r="C52" s="292"/>
      <c r="E52" s="889"/>
      <c r="F52" s="889"/>
      <c r="G52" s="889"/>
      <c r="H52" s="889"/>
      <c r="I52" s="889" t="str">
        <f>IF(DASHBOARD!G8="","",DASHBOARD!G8)</f>
        <v>SUREKHA</v>
      </c>
      <c r="J52" s="889"/>
      <c r="K52" s="889"/>
      <c r="L52" s="889"/>
      <c r="M52" s="889"/>
      <c r="N52" s="889"/>
      <c r="O52" s="889"/>
      <c r="P52" s="224"/>
      <c r="Q52" s="889" t="str">
        <f>IF(DASHBOARD!H8="","",DASHBOARD!H8)</f>
        <v>SUREKHA</v>
      </c>
      <c r="R52" s="889"/>
      <c r="S52" s="889"/>
      <c r="T52" s="889"/>
      <c r="U52" s="889"/>
      <c r="V52" s="1146" t="str">
        <f>IF(DASHBOARD!D8="","",DASHBOARD!D8)</f>
        <v>NILESH KUMAR KHATIK</v>
      </c>
      <c r="W52" s="1146"/>
      <c r="X52" s="1146"/>
      <c r="Y52" s="1146"/>
      <c r="Z52" s="1146"/>
      <c r="AA52" s="1147"/>
      <c r="AB52" s="282"/>
      <c r="AC52" s="1039"/>
    </row>
    <row r="53" spans="1:29" ht="12" customHeight="1" x14ac:dyDescent="0.3">
      <c r="B53" s="254"/>
      <c r="C53" s="141"/>
      <c r="D53" s="93"/>
      <c r="E53" s="93"/>
      <c r="F53" s="93"/>
      <c r="G53" s="93"/>
      <c r="H53" s="93"/>
      <c r="I53" s="218"/>
      <c r="J53" s="218"/>
      <c r="K53" s="218"/>
      <c r="L53" s="218"/>
      <c r="M53" s="218"/>
      <c r="N53" s="218"/>
      <c r="O53" s="218"/>
      <c r="P53" s="145"/>
      <c r="Q53" s="218"/>
      <c r="R53" s="218"/>
      <c r="S53" s="218"/>
      <c r="T53" s="218"/>
      <c r="U53" s="218"/>
      <c r="V53" s="145"/>
      <c r="W53" s="218"/>
      <c r="X53" s="218"/>
      <c r="Y53" s="218"/>
      <c r="Z53" s="218"/>
      <c r="AA53" s="302"/>
      <c r="AB53" s="152"/>
      <c r="AC53" s="1039"/>
    </row>
    <row r="54" spans="1:29" ht="45" customHeight="1" thickBot="1" x14ac:dyDescent="0.35">
      <c r="B54" s="254"/>
      <c r="C54" s="146"/>
      <c r="D54" s="147"/>
      <c r="E54" s="147"/>
      <c r="F54" s="147"/>
      <c r="G54" s="147"/>
      <c r="H54" s="147"/>
      <c r="I54" s="148"/>
      <c r="J54" s="148"/>
      <c r="K54" s="148"/>
      <c r="L54" s="148"/>
      <c r="M54" s="148"/>
      <c r="N54" s="148"/>
      <c r="O54" s="148"/>
      <c r="P54" s="147"/>
      <c r="Q54" s="148"/>
      <c r="R54" s="148"/>
      <c r="S54" s="148"/>
      <c r="T54" s="148"/>
      <c r="U54" s="148"/>
      <c r="V54" s="147"/>
      <c r="W54" s="148"/>
      <c r="X54" s="148"/>
      <c r="Y54" s="148"/>
      <c r="Z54" s="148"/>
      <c r="AA54" s="307"/>
      <c r="AB54" s="220"/>
      <c r="AC54" s="1039"/>
    </row>
    <row r="55" spans="1:29" ht="5.25" customHeight="1" thickBot="1" x14ac:dyDescent="0.35">
      <c r="B55" s="263"/>
      <c r="C55" s="1070"/>
      <c r="D55" s="1070"/>
      <c r="E55" s="1070"/>
      <c r="F55" s="1070"/>
      <c r="G55" s="1070"/>
      <c r="H55" s="1070"/>
      <c r="I55" s="1070"/>
      <c r="J55" s="1070"/>
      <c r="K55" s="1070"/>
      <c r="L55" s="1070"/>
      <c r="M55" s="1070"/>
      <c r="N55" s="1070"/>
      <c r="O55" s="1070"/>
      <c r="P55" s="1070"/>
      <c r="Q55" s="1070"/>
      <c r="R55" s="1070"/>
      <c r="S55" s="1070"/>
      <c r="T55" s="1070"/>
      <c r="U55" s="1070"/>
      <c r="V55" s="1070"/>
      <c r="W55" s="1070"/>
      <c r="X55" s="1070"/>
      <c r="Y55" s="1070"/>
      <c r="Z55" s="1070"/>
      <c r="AA55" s="1070"/>
      <c r="AB55" s="264"/>
      <c r="AC55" s="1039"/>
    </row>
    <row r="56" spans="1:29" ht="25.5" customHeight="1" x14ac:dyDescent="0.3"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1106" t="str">
        <f>IF(DASHBOARD!G17="","",DASHBOARD!G17&amp;DASHBOARD!I17)</f>
        <v>PREPARED BY:- EXAM CELL, SVGMS, AMET</v>
      </c>
      <c r="Q56" s="1106"/>
      <c r="R56" s="1106"/>
      <c r="S56" s="1106"/>
      <c r="T56" s="1106"/>
      <c r="U56" s="1106"/>
      <c r="V56" s="1106"/>
      <c r="W56" s="1106"/>
      <c r="X56" s="1106"/>
      <c r="Y56" s="1106"/>
      <c r="Z56" s="1106"/>
      <c r="AA56" s="1106"/>
      <c r="AB56" s="250"/>
    </row>
    <row r="57" spans="1:29" ht="22.5" customHeight="1" thickBot="1" x14ac:dyDescent="0.35"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316"/>
      <c r="AB57" s="42"/>
    </row>
    <row r="58" spans="1:29" s="238" customFormat="1" ht="5.25" customHeight="1" thickBot="1" x14ac:dyDescent="0.35">
      <c r="A58" s="229"/>
      <c r="B58" s="271"/>
      <c r="C58" s="232"/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308"/>
      <c r="AB58" s="241"/>
      <c r="AC58" s="229"/>
    </row>
    <row r="59" spans="1:29" s="238" customFormat="1" ht="18" customHeight="1" thickBot="1" x14ac:dyDescent="0.35">
      <c r="A59" s="229"/>
      <c r="B59" s="275"/>
      <c r="C59" s="231"/>
      <c r="D59" s="232"/>
      <c r="E59" s="232"/>
      <c r="F59" s="232"/>
      <c r="G59" s="232"/>
      <c r="H59" s="232"/>
      <c r="I59" s="232"/>
      <c r="J59" s="232"/>
      <c r="K59" s="232"/>
      <c r="L59" s="232"/>
      <c r="M59" s="232"/>
      <c r="N59" s="232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299"/>
      <c r="AB59" s="276"/>
      <c r="AC59" s="229"/>
    </row>
    <row r="60" spans="1:29" s="239" customFormat="1" ht="24" customHeight="1" thickBot="1" x14ac:dyDescent="0.35">
      <c r="A60" s="227"/>
      <c r="B60" s="272"/>
      <c r="C60" s="92"/>
      <c r="D60" s="228"/>
      <c r="E60" s="236"/>
      <c r="F60" s="1143" t="s">
        <v>234</v>
      </c>
      <c r="G60" s="1144"/>
      <c r="H60" s="1144"/>
      <c r="I60" s="1144"/>
      <c r="J60" s="1144"/>
      <c r="K60" s="1144"/>
      <c r="L60" s="1144"/>
      <c r="M60" s="1144"/>
      <c r="N60" s="1144"/>
      <c r="O60" s="1144"/>
      <c r="P60" s="1144"/>
      <c r="Q60" s="1144"/>
      <c r="R60" s="1144"/>
      <c r="S60" s="1144"/>
      <c r="T60" s="1144"/>
      <c r="U60" s="1144"/>
      <c r="V60" s="1144"/>
      <c r="W60" s="1144"/>
      <c r="X60" s="1144"/>
      <c r="Y60" s="1144"/>
      <c r="Z60" s="1145"/>
      <c r="AA60" s="261"/>
      <c r="AB60" s="242"/>
      <c r="AC60" s="227"/>
    </row>
    <row r="61" spans="1:29" s="239" customFormat="1" ht="35.25" customHeight="1" x14ac:dyDescent="0.3">
      <c r="A61" s="227"/>
      <c r="B61" s="272"/>
      <c r="C61" s="92"/>
      <c r="D61" s="228"/>
      <c r="E61" s="233"/>
      <c r="F61" s="1092" t="s">
        <v>235</v>
      </c>
      <c r="G61" s="1093"/>
      <c r="H61" s="1093"/>
      <c r="I61" s="1093"/>
      <c r="J61" s="1093"/>
      <c r="K61" s="1093" t="s">
        <v>236</v>
      </c>
      <c r="L61" s="1093"/>
      <c r="M61" s="1093"/>
      <c r="N61" s="1093"/>
      <c r="O61" s="1093"/>
      <c r="P61" s="1094" t="s">
        <v>237</v>
      </c>
      <c r="Q61" s="1094"/>
      <c r="R61" s="1094"/>
      <c r="S61" s="1094"/>
      <c r="T61" s="1094"/>
      <c r="U61" s="1094"/>
      <c r="V61" s="1094"/>
      <c r="W61" s="1094"/>
      <c r="X61" s="1094"/>
      <c r="Y61" s="1094"/>
      <c r="Z61" s="1095"/>
      <c r="AA61" s="261"/>
      <c r="AB61" s="242"/>
      <c r="AC61" s="227"/>
    </row>
    <row r="62" spans="1:29" s="239" customFormat="1" ht="18.75" customHeight="1" x14ac:dyDescent="0.3">
      <c r="A62" s="227"/>
      <c r="B62" s="272"/>
      <c r="C62" s="92"/>
      <c r="D62" s="228"/>
      <c r="E62" s="233"/>
      <c r="F62" s="1092" t="s">
        <v>38</v>
      </c>
      <c r="G62" s="1093"/>
      <c r="H62" s="1093"/>
      <c r="I62" s="1093"/>
      <c r="J62" s="1093"/>
      <c r="K62" s="1093" t="s">
        <v>173</v>
      </c>
      <c r="L62" s="1093"/>
      <c r="M62" s="1093"/>
      <c r="N62" s="1093"/>
      <c r="O62" s="1093"/>
      <c r="P62" s="1096" t="s">
        <v>238</v>
      </c>
      <c r="Q62" s="1096"/>
      <c r="R62" s="1096"/>
      <c r="S62" s="1096"/>
      <c r="T62" s="1096"/>
      <c r="U62" s="1096"/>
      <c r="V62" s="1096"/>
      <c r="W62" s="1096"/>
      <c r="X62" s="1096"/>
      <c r="Y62" s="1096"/>
      <c r="Z62" s="1097"/>
      <c r="AA62" s="261"/>
      <c r="AB62" s="242"/>
      <c r="AC62" s="227"/>
    </row>
    <row r="63" spans="1:29" s="239" customFormat="1" ht="18.75" customHeight="1" x14ac:dyDescent="0.3">
      <c r="A63" s="227"/>
      <c r="B63" s="272"/>
      <c r="C63" s="92"/>
      <c r="D63" s="228"/>
      <c r="E63" s="233"/>
      <c r="F63" s="1092" t="s">
        <v>39</v>
      </c>
      <c r="G63" s="1093"/>
      <c r="H63" s="1093"/>
      <c r="I63" s="1093"/>
      <c r="J63" s="1093"/>
      <c r="K63" s="1093" t="s">
        <v>239</v>
      </c>
      <c r="L63" s="1093"/>
      <c r="M63" s="1093"/>
      <c r="N63" s="1093"/>
      <c r="O63" s="1093"/>
      <c r="P63" s="1093" t="s">
        <v>236</v>
      </c>
      <c r="Q63" s="1093"/>
      <c r="R63" s="1093"/>
      <c r="S63" s="1093"/>
      <c r="T63" s="1093"/>
      <c r="U63" s="1093"/>
      <c r="V63" s="1093"/>
      <c r="W63" s="1093"/>
      <c r="X63" s="1093"/>
      <c r="Y63" s="1093"/>
      <c r="Z63" s="1102"/>
      <c r="AA63" s="261"/>
      <c r="AB63" s="242"/>
      <c r="AC63" s="227"/>
    </row>
    <row r="64" spans="1:29" s="239" customFormat="1" ht="18.75" customHeight="1" x14ac:dyDescent="0.3">
      <c r="A64" s="227"/>
      <c r="B64" s="272"/>
      <c r="C64" s="92"/>
      <c r="D64" s="228"/>
      <c r="E64" s="233"/>
      <c r="F64" s="1092" t="s">
        <v>240</v>
      </c>
      <c r="G64" s="1093"/>
      <c r="H64" s="1093"/>
      <c r="I64" s="1093"/>
      <c r="J64" s="1093"/>
      <c r="K64" s="1093" t="s">
        <v>228</v>
      </c>
      <c r="L64" s="1093"/>
      <c r="M64" s="1093"/>
      <c r="N64" s="1093"/>
      <c r="O64" s="1093"/>
      <c r="P64" s="1093" t="s">
        <v>0</v>
      </c>
      <c r="Q64" s="1093"/>
      <c r="R64" s="1093"/>
      <c r="S64" s="1093"/>
      <c r="T64" s="1093"/>
      <c r="U64" s="1093" t="s">
        <v>241</v>
      </c>
      <c r="V64" s="1093"/>
      <c r="W64" s="1093"/>
      <c r="X64" s="1093"/>
      <c r="Y64" s="1093"/>
      <c r="Z64" s="1102"/>
      <c r="AA64" s="261"/>
      <c r="AB64" s="242"/>
      <c r="AC64" s="227"/>
    </row>
    <row r="65" spans="1:29" s="239" customFormat="1" ht="18.75" customHeight="1" x14ac:dyDescent="0.3">
      <c r="A65" s="227"/>
      <c r="B65" s="272"/>
      <c r="C65" s="92"/>
      <c r="D65" s="228"/>
      <c r="E65" s="233"/>
      <c r="F65" s="1092" t="s">
        <v>242</v>
      </c>
      <c r="G65" s="1093"/>
      <c r="H65" s="1093"/>
      <c r="I65" s="1093"/>
      <c r="J65" s="1093"/>
      <c r="K65" s="1093" t="s">
        <v>243</v>
      </c>
      <c r="L65" s="1093"/>
      <c r="M65" s="1093"/>
      <c r="N65" s="1093"/>
      <c r="O65" s="1093"/>
      <c r="P65" s="1093" t="s">
        <v>244</v>
      </c>
      <c r="Q65" s="1093"/>
      <c r="R65" s="1093"/>
      <c r="S65" s="1093"/>
      <c r="T65" s="1093"/>
      <c r="U65" s="1093" t="s">
        <v>245</v>
      </c>
      <c r="V65" s="1093"/>
      <c r="W65" s="1093"/>
      <c r="X65" s="1093"/>
      <c r="Y65" s="1093"/>
      <c r="Z65" s="1102"/>
      <c r="AA65" s="261"/>
      <c r="AB65" s="242"/>
      <c r="AC65" s="227"/>
    </row>
    <row r="66" spans="1:29" s="239" customFormat="1" ht="18.75" customHeight="1" x14ac:dyDescent="0.3">
      <c r="A66" s="227"/>
      <c r="B66" s="272"/>
      <c r="C66" s="92"/>
      <c r="D66" s="228"/>
      <c r="E66" s="233"/>
      <c r="F66" s="1092" t="s">
        <v>246</v>
      </c>
      <c r="G66" s="1093"/>
      <c r="H66" s="1093"/>
      <c r="I66" s="1093"/>
      <c r="J66" s="1093"/>
      <c r="K66" s="1093" t="s">
        <v>247</v>
      </c>
      <c r="L66" s="1093"/>
      <c r="M66" s="1093"/>
      <c r="N66" s="1093"/>
      <c r="O66" s="1093"/>
      <c r="P66" s="1093" t="s">
        <v>248</v>
      </c>
      <c r="Q66" s="1093"/>
      <c r="R66" s="1093"/>
      <c r="S66" s="1093"/>
      <c r="T66" s="1093"/>
      <c r="U66" s="1093" t="s">
        <v>249</v>
      </c>
      <c r="V66" s="1093"/>
      <c r="W66" s="1093"/>
      <c r="X66" s="1093"/>
      <c r="Y66" s="1093"/>
      <c r="Z66" s="1102"/>
      <c r="AA66" s="261"/>
      <c r="AB66" s="242"/>
      <c r="AC66" s="227"/>
    </row>
    <row r="67" spans="1:29" s="239" customFormat="1" ht="18.75" customHeight="1" x14ac:dyDescent="0.3">
      <c r="A67" s="227"/>
      <c r="B67" s="272"/>
      <c r="C67" s="92"/>
      <c r="D67" s="228"/>
      <c r="E67" s="233"/>
      <c r="F67" s="1092" t="s">
        <v>40</v>
      </c>
      <c r="G67" s="1093"/>
      <c r="H67" s="1093"/>
      <c r="I67" s="1093"/>
      <c r="J67" s="1093"/>
      <c r="K67" s="1093" t="s">
        <v>250</v>
      </c>
      <c r="L67" s="1093"/>
      <c r="M67" s="1093"/>
      <c r="N67" s="1093"/>
      <c r="O67" s="1093"/>
      <c r="P67" s="1103" t="s">
        <v>251</v>
      </c>
      <c r="Q67" s="1103"/>
      <c r="R67" s="1103"/>
      <c r="S67" s="1103"/>
      <c r="T67" s="1103"/>
      <c r="U67" s="1098" t="s">
        <v>252</v>
      </c>
      <c r="V67" s="1098"/>
      <c r="W67" s="1098"/>
      <c r="X67" s="1098"/>
      <c r="Y67" s="1098"/>
      <c r="Z67" s="1099"/>
      <c r="AA67" s="261"/>
      <c r="AB67" s="242"/>
      <c r="AC67" s="227"/>
    </row>
    <row r="68" spans="1:29" s="239" customFormat="1" ht="18.75" customHeight="1" x14ac:dyDescent="0.3">
      <c r="A68" s="227"/>
      <c r="B68" s="272"/>
      <c r="C68" s="92"/>
      <c r="D68" s="228"/>
      <c r="E68" s="233"/>
      <c r="F68" s="1092" t="s">
        <v>253</v>
      </c>
      <c r="G68" s="1093"/>
      <c r="H68" s="1093"/>
      <c r="I68" s="1093"/>
      <c r="J68" s="1093"/>
      <c r="K68" s="1093" t="s">
        <v>20</v>
      </c>
      <c r="L68" s="1093"/>
      <c r="M68" s="1093"/>
      <c r="N68" s="1093"/>
      <c r="O68" s="1093"/>
      <c r="P68" s="1103"/>
      <c r="Q68" s="1103"/>
      <c r="R68" s="1103"/>
      <c r="S68" s="1103"/>
      <c r="T68" s="1103"/>
      <c r="U68" s="1098"/>
      <c r="V68" s="1098"/>
      <c r="W68" s="1098"/>
      <c r="X68" s="1098"/>
      <c r="Y68" s="1098"/>
      <c r="Z68" s="1099"/>
      <c r="AA68" s="261"/>
      <c r="AB68" s="242"/>
      <c r="AC68" s="227"/>
    </row>
    <row r="69" spans="1:29" s="239" customFormat="1" ht="18.75" customHeight="1" thickBot="1" x14ac:dyDescent="0.35">
      <c r="A69" s="227"/>
      <c r="B69" s="272"/>
      <c r="C69" s="92"/>
      <c r="D69" s="228"/>
      <c r="E69" s="233"/>
      <c r="F69" s="1139" t="s">
        <v>254</v>
      </c>
      <c r="G69" s="1138"/>
      <c r="H69" s="1138"/>
      <c r="I69" s="1138"/>
      <c r="J69" s="1138"/>
      <c r="K69" s="1138" t="s">
        <v>255</v>
      </c>
      <c r="L69" s="1138"/>
      <c r="M69" s="1138"/>
      <c r="N69" s="1138"/>
      <c r="O69" s="1138"/>
      <c r="P69" s="1104"/>
      <c r="Q69" s="1104"/>
      <c r="R69" s="1104"/>
      <c r="S69" s="1104"/>
      <c r="T69" s="1104"/>
      <c r="U69" s="1100"/>
      <c r="V69" s="1100"/>
      <c r="W69" s="1100"/>
      <c r="X69" s="1100"/>
      <c r="Y69" s="1100"/>
      <c r="Z69" s="1101"/>
      <c r="AA69" s="261"/>
      <c r="AB69" s="242"/>
      <c r="AC69" s="227"/>
    </row>
    <row r="70" spans="1:29" s="239" customFormat="1" ht="18.75" customHeight="1" thickBot="1" x14ac:dyDescent="0.35">
      <c r="A70" s="227"/>
      <c r="B70" s="272"/>
      <c r="C70" s="277"/>
      <c r="D70" s="230"/>
      <c r="E70" s="278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69"/>
      <c r="Q70" s="269"/>
      <c r="R70" s="269"/>
      <c r="S70" s="269"/>
      <c r="T70" s="269"/>
      <c r="U70" s="270"/>
      <c r="V70" s="270"/>
      <c r="W70" s="270"/>
      <c r="X70" s="270"/>
      <c r="Y70" s="270"/>
      <c r="Z70" s="270"/>
      <c r="AA70" s="309"/>
      <c r="AB70" s="242"/>
      <c r="AC70" s="227"/>
    </row>
    <row r="71" spans="1:29" s="239" customFormat="1" ht="4.5" customHeight="1" thickBot="1" x14ac:dyDescent="0.35">
      <c r="A71" s="227"/>
      <c r="B71" s="273"/>
      <c r="C71" s="274"/>
      <c r="D71" s="230"/>
      <c r="E71" s="234"/>
      <c r="F71" s="234"/>
      <c r="G71" s="234"/>
      <c r="H71" s="234"/>
      <c r="I71" s="230"/>
      <c r="J71" s="230"/>
      <c r="K71" s="230"/>
      <c r="L71" s="230"/>
      <c r="M71" s="230"/>
      <c r="N71" s="230"/>
      <c r="O71" s="243"/>
      <c r="P71" s="243"/>
      <c r="Q71" s="243"/>
      <c r="R71" s="243"/>
      <c r="S71" s="243"/>
      <c r="T71" s="243"/>
      <c r="U71" s="243"/>
      <c r="V71" s="243"/>
      <c r="W71" s="243"/>
      <c r="X71" s="243"/>
      <c r="Y71" s="243"/>
      <c r="Z71" s="243"/>
      <c r="AA71" s="310"/>
      <c r="AB71" s="244"/>
      <c r="AC71" s="227"/>
    </row>
    <row r="72" spans="1:29" s="239" customFormat="1" ht="15.75" customHeight="1" x14ac:dyDescent="0.3">
      <c r="A72" s="227"/>
      <c r="B72" s="4"/>
      <c r="C72" s="49"/>
      <c r="D72" s="49"/>
      <c r="E72" s="49"/>
      <c r="F72" s="49"/>
      <c r="G72" s="49"/>
      <c r="H72" s="49"/>
      <c r="I72" s="982"/>
      <c r="J72" s="982"/>
      <c r="K72" s="982"/>
      <c r="L72" s="982"/>
      <c r="M72" s="982"/>
      <c r="N72" s="982"/>
      <c r="O72" s="227"/>
      <c r="P72" s="227"/>
      <c r="Q72" s="227"/>
      <c r="R72" s="227"/>
      <c r="S72" s="227"/>
      <c r="T72" s="227"/>
      <c r="U72" s="227"/>
      <c r="V72" s="227"/>
      <c r="W72" s="227"/>
      <c r="X72" s="227"/>
      <c r="Y72" s="227"/>
      <c r="Z72" s="227"/>
      <c r="AA72" s="311"/>
      <c r="AB72" s="227"/>
      <c r="AC72" s="227"/>
    </row>
    <row r="73" spans="1:29" hidden="1" x14ac:dyDescent="0.3">
      <c r="P73" s="237"/>
      <c r="Q73" s="237"/>
      <c r="R73" s="237"/>
      <c r="S73" s="237"/>
      <c r="T73" s="237"/>
      <c r="U73" s="237"/>
      <c r="V73" s="237"/>
      <c r="W73" s="237"/>
      <c r="X73" s="237"/>
      <c r="Y73" s="237"/>
      <c r="Z73" s="237"/>
      <c r="AA73" s="317"/>
      <c r="AB73" s="237"/>
    </row>
    <row r="74" spans="1:29" hidden="1" x14ac:dyDescent="0.3"/>
    <row r="75" spans="1:29" x14ac:dyDescent="0.3"/>
  </sheetData>
  <sheetProtection algorithmName="SHA-512" hashValue="ncfE2eTCDxshAVdeLnw4/Xxd7pnUbqMbNAru088n3Aa31EUZp9FXSHSCe1EKdtMceunFmYma7be5CLIvevjLnA==" saltValue="4Yacdk+i/6tNf828g+UXWw==" spinCount="100000" sheet="1" objects="1" scenarios="1" selectLockedCells="1"/>
  <mergeCells count="200">
    <mergeCell ref="J14:X14"/>
    <mergeCell ref="J15:X15"/>
    <mergeCell ref="J16:W16"/>
    <mergeCell ref="J17:W17"/>
    <mergeCell ref="F60:Z60"/>
    <mergeCell ref="V52:AA52"/>
    <mergeCell ref="V51:AA51"/>
    <mergeCell ref="V41:Z41"/>
    <mergeCell ref="V42:Z42"/>
    <mergeCell ref="D40:J42"/>
    <mergeCell ref="D43:J45"/>
    <mergeCell ref="V43:Z43"/>
    <mergeCell ref="V44:Z44"/>
    <mergeCell ref="V45:Z45"/>
    <mergeCell ref="L41:U41"/>
    <mergeCell ref="L42:U42"/>
    <mergeCell ref="L43:U43"/>
    <mergeCell ref="L44:U44"/>
    <mergeCell ref="L45:U45"/>
    <mergeCell ref="L40:Z40"/>
    <mergeCell ref="J32:K32"/>
    <mergeCell ref="L32:M32"/>
    <mergeCell ref="N32:O32"/>
    <mergeCell ref="P32:Q32"/>
    <mergeCell ref="K62:O62"/>
    <mergeCell ref="K66:O66"/>
    <mergeCell ref="K65:O65"/>
    <mergeCell ref="K64:O64"/>
    <mergeCell ref="K63:O63"/>
    <mergeCell ref="K69:O69"/>
    <mergeCell ref="K68:O68"/>
    <mergeCell ref="K67:O67"/>
    <mergeCell ref="F69:J69"/>
    <mergeCell ref="F68:J68"/>
    <mergeCell ref="F66:J66"/>
    <mergeCell ref="F65:J65"/>
    <mergeCell ref="F64:J64"/>
    <mergeCell ref="F63:J63"/>
    <mergeCell ref="K7:T7"/>
    <mergeCell ref="P56:AA56"/>
    <mergeCell ref="AA28:AA32"/>
    <mergeCell ref="Q51:U51"/>
    <mergeCell ref="C18:AA18"/>
    <mergeCell ref="AA20:AA21"/>
    <mergeCell ref="AA24:AA25"/>
    <mergeCell ref="I51:O51"/>
    <mergeCell ref="N37:O37"/>
    <mergeCell ref="L37:M37"/>
    <mergeCell ref="J37:K37"/>
    <mergeCell ref="H37:I37"/>
    <mergeCell ref="T36:U36"/>
    <mergeCell ref="V36:W36"/>
    <mergeCell ref="X36:Z36"/>
    <mergeCell ref="J36:K36"/>
    <mergeCell ref="L36:M36"/>
    <mergeCell ref="N36:O36"/>
    <mergeCell ref="P36:Q36"/>
    <mergeCell ref="R36:S36"/>
    <mergeCell ref="K47:P49"/>
    <mergeCell ref="Q47:AA49"/>
    <mergeCell ref="C47:E49"/>
    <mergeCell ref="J13:U13"/>
    <mergeCell ref="I72:N72"/>
    <mergeCell ref="F47:J49"/>
    <mergeCell ref="Y15:AA16"/>
    <mergeCell ref="Y17:AA17"/>
    <mergeCell ref="F67:J67"/>
    <mergeCell ref="P61:Z61"/>
    <mergeCell ref="P62:Z62"/>
    <mergeCell ref="U67:Z69"/>
    <mergeCell ref="U66:Z66"/>
    <mergeCell ref="U65:Z65"/>
    <mergeCell ref="U64:Z64"/>
    <mergeCell ref="U63:Z63"/>
    <mergeCell ref="P66:T66"/>
    <mergeCell ref="P65:T65"/>
    <mergeCell ref="P63:T63"/>
    <mergeCell ref="P64:T64"/>
    <mergeCell ref="P67:T69"/>
    <mergeCell ref="F61:J61"/>
    <mergeCell ref="H26:K26"/>
    <mergeCell ref="X24:Z24"/>
    <mergeCell ref="X26:Z26"/>
    <mergeCell ref="H20:R20"/>
    <mergeCell ref="F62:J62"/>
    <mergeCell ref="K61:O61"/>
    <mergeCell ref="C55:AA55"/>
    <mergeCell ref="C22:G22"/>
    <mergeCell ref="X20:Z20"/>
    <mergeCell ref="I52:O52"/>
    <mergeCell ref="Q52:U52"/>
    <mergeCell ref="X34:Z34"/>
    <mergeCell ref="C35:G35"/>
    <mergeCell ref="H35:I35"/>
    <mergeCell ref="J35:K35"/>
    <mergeCell ref="N35:O35"/>
    <mergeCell ref="P35:Q35"/>
    <mergeCell ref="R35:S35"/>
    <mergeCell ref="C26:G26"/>
    <mergeCell ref="H34:I34"/>
    <mergeCell ref="L26:O26"/>
    <mergeCell ref="S25:W25"/>
    <mergeCell ref="H24:K24"/>
    <mergeCell ref="L24:O24"/>
    <mergeCell ref="P24:R24"/>
    <mergeCell ref="C37:G37"/>
    <mergeCell ref="C20:G20"/>
    <mergeCell ref="C23:AA23"/>
    <mergeCell ref="C21:G21"/>
    <mergeCell ref="X22:Z22"/>
    <mergeCell ref="X21:Z21"/>
    <mergeCell ref="C25:G25"/>
    <mergeCell ref="S24:W24"/>
    <mergeCell ref="C34:G34"/>
    <mergeCell ref="C24:G24"/>
    <mergeCell ref="L25:O25"/>
    <mergeCell ref="J34:K34"/>
    <mergeCell ref="L34:M34"/>
    <mergeCell ref="N34:O34"/>
    <mergeCell ref="P34:Q34"/>
    <mergeCell ref="R34:S34"/>
    <mergeCell ref="T34:U34"/>
    <mergeCell ref="X33:Z33"/>
    <mergeCell ref="C32:G32"/>
    <mergeCell ref="H32:I32"/>
    <mergeCell ref="J33:K33"/>
    <mergeCell ref="L33:M33"/>
    <mergeCell ref="N33:O33"/>
    <mergeCell ref="P33:Q33"/>
    <mergeCell ref="R33:S33"/>
    <mergeCell ref="T33:U33"/>
    <mergeCell ref="V33:W33"/>
    <mergeCell ref="C33:G33"/>
    <mergeCell ref="S21:W21"/>
    <mergeCell ref="H22:R22"/>
    <mergeCell ref="P30:S30"/>
    <mergeCell ref="P26:R26"/>
    <mergeCell ref="S26:W26"/>
    <mergeCell ref="T32:U32"/>
    <mergeCell ref="V32:W32"/>
    <mergeCell ref="P25:R25"/>
    <mergeCell ref="S22:W22"/>
    <mergeCell ref="R32:S32"/>
    <mergeCell ref="X32:Z32"/>
    <mergeCell ref="X35:Z35"/>
    <mergeCell ref="V34:W34"/>
    <mergeCell ref="L35:M35"/>
    <mergeCell ref="C1:AA1"/>
    <mergeCell ref="AC1:AC55"/>
    <mergeCell ref="D3:Z3"/>
    <mergeCell ref="G4:X4"/>
    <mergeCell ref="H5:V5"/>
    <mergeCell ref="H6:V6"/>
    <mergeCell ref="E10:Y10"/>
    <mergeCell ref="E11:Y11"/>
    <mergeCell ref="V13:X13"/>
    <mergeCell ref="Y13:Z13"/>
    <mergeCell ref="T29:W30"/>
    <mergeCell ref="X29:Z30"/>
    <mergeCell ref="H30:I30"/>
    <mergeCell ref="C27:AA27"/>
    <mergeCell ref="C28:G31"/>
    <mergeCell ref="H28:Z28"/>
    <mergeCell ref="H29:O29"/>
    <mergeCell ref="S20:W20"/>
    <mergeCell ref="H21:R21"/>
    <mergeCell ref="E51:H51"/>
    <mergeCell ref="T35:U35"/>
    <mergeCell ref="V35:W35"/>
    <mergeCell ref="X37:Z37"/>
    <mergeCell ref="V37:W37"/>
    <mergeCell ref="T37:U37"/>
    <mergeCell ref="R37:S37"/>
    <mergeCell ref="P37:Q37"/>
    <mergeCell ref="C36:G36"/>
    <mergeCell ref="H36:I36"/>
    <mergeCell ref="H33:I33"/>
    <mergeCell ref="E52:H52"/>
    <mergeCell ref="C51:D51"/>
    <mergeCell ref="G8:W8"/>
    <mergeCell ref="C9:G9"/>
    <mergeCell ref="H9:R9"/>
    <mergeCell ref="E50:I50"/>
    <mergeCell ref="S9:V9"/>
    <mergeCell ref="W9:AA9"/>
    <mergeCell ref="P29:S29"/>
    <mergeCell ref="X25:Z25"/>
    <mergeCell ref="H25:K25"/>
    <mergeCell ref="T31:U31"/>
    <mergeCell ref="V31:W31"/>
    <mergeCell ref="X31:Z31"/>
    <mergeCell ref="H31:I31"/>
    <mergeCell ref="J31:K31"/>
    <mergeCell ref="L31:M31"/>
    <mergeCell ref="N31:O31"/>
    <mergeCell ref="P31:Q31"/>
    <mergeCell ref="R31:S31"/>
    <mergeCell ref="J30:K30"/>
    <mergeCell ref="L30:O30"/>
    <mergeCell ref="C50:D50"/>
  </mergeCells>
  <pageMargins left="0.37" right="0.15748031496063" top="0.38" bottom="0.196850393700787" header="0.15748031496063" footer="0.196850393700787"/>
  <pageSetup paperSize="9" scale="77" fitToHeight="2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00B050"/>
  </sheetPr>
  <dimension ref="A1:JX95"/>
  <sheetViews>
    <sheetView view="pageBreakPreview" zoomScale="70" zoomScaleNormal="80" zoomScaleSheetLayoutView="70" zoomScalePageLayoutView="30" workbookViewId="0">
      <selection activeCell="Z7" sqref="Z7"/>
    </sheetView>
  </sheetViews>
  <sheetFormatPr defaultColWidth="0" defaultRowHeight="14.4" zeroHeight="1" x14ac:dyDescent="0.3"/>
  <cols>
    <col min="1" max="1" width="6.44140625" style="9" customWidth="1"/>
    <col min="2" max="2" width="5.6640625" style="59" bestFit="1" customWidth="1"/>
    <col min="3" max="3" width="9.109375" style="59" bestFit="1" customWidth="1"/>
    <col min="4" max="4" width="7.33203125" style="59" bestFit="1" customWidth="1"/>
    <col min="5" max="5" width="34.33203125" style="59" bestFit="1" customWidth="1"/>
    <col min="6" max="6" width="35.109375" style="59" bestFit="1" customWidth="1"/>
    <col min="7" max="7" width="27.33203125" style="59" bestFit="1" customWidth="1"/>
    <col min="8" max="8" width="15.44140625" style="59" bestFit="1" customWidth="1"/>
    <col min="9" max="9" width="9.109375" style="59" customWidth="1"/>
    <col min="10" max="10" width="10.5546875" style="59" customWidth="1"/>
    <col min="11" max="11" width="16.109375" style="59" hidden="1" customWidth="1"/>
    <col min="12" max="12" width="3.88671875" style="59" bestFit="1" customWidth="1"/>
    <col min="13" max="13" width="4.44140625" style="59" bestFit="1" customWidth="1"/>
    <col min="14" max="14" width="3.88671875" style="59" customWidth="1"/>
    <col min="15" max="15" width="5.44140625" style="59" bestFit="1" customWidth="1"/>
    <col min="16" max="16" width="3.88671875" style="59" bestFit="1" customWidth="1"/>
    <col min="17" max="17" width="5.44140625" style="59" bestFit="1" customWidth="1"/>
    <col min="18" max="19" width="3.33203125" style="59" bestFit="1" customWidth="1"/>
    <col min="20" max="20" width="6.88671875" style="59" bestFit="1" customWidth="1"/>
    <col min="21" max="22" width="4.5546875" style="59" bestFit="1" customWidth="1"/>
    <col min="23" max="23" width="3.88671875" style="59" bestFit="1" customWidth="1"/>
    <col min="24" max="24" width="5.6640625" style="59" bestFit="1" customWidth="1"/>
    <col min="25" max="25" width="5.109375" style="59" bestFit="1" customWidth="1"/>
    <col min="26" max="26" width="6.88671875" style="59" bestFit="1" customWidth="1"/>
    <col min="27" max="27" width="3.88671875" style="59" bestFit="1" customWidth="1"/>
    <col min="28" max="28" width="8.5546875" style="59" bestFit="1" customWidth="1"/>
    <col min="29" max="29" width="7.88671875" style="59" bestFit="1" customWidth="1"/>
    <col min="30" max="30" width="8.5546875" style="59" bestFit="1" customWidth="1"/>
    <col min="31" max="31" width="7" style="207" bestFit="1" customWidth="1"/>
    <col min="32" max="32" width="4.5546875" style="59" bestFit="1" customWidth="1"/>
    <col min="33" max="33" width="7" style="207" bestFit="1" customWidth="1"/>
    <col min="34" max="34" width="3.88671875" style="59" bestFit="1" customWidth="1"/>
    <col min="35" max="35" width="7.33203125" style="207" bestFit="1" customWidth="1"/>
    <col min="36" max="38" width="5.109375" style="59" bestFit="1" customWidth="1"/>
    <col min="39" max="40" width="8.109375" style="59" bestFit="1" customWidth="1"/>
    <col min="41" max="41" width="3.44140625" style="59" bestFit="1" customWidth="1"/>
    <col min="42" max="43" width="5.6640625" style="59" bestFit="1" customWidth="1"/>
    <col min="44" max="44" width="9" style="59" bestFit="1" customWidth="1"/>
    <col min="45" max="45" width="5.109375" style="59" bestFit="1" customWidth="1"/>
    <col min="46" max="46" width="4.33203125" style="59" bestFit="1" customWidth="1"/>
    <col min="47" max="47" width="3.88671875" style="59" bestFit="1" customWidth="1"/>
    <col min="48" max="48" width="5.109375" style="59" bestFit="1" customWidth="1"/>
    <col min="49" max="49" width="4.109375" style="59" bestFit="1" customWidth="1"/>
    <col min="50" max="50" width="7.88671875" style="59" bestFit="1" customWidth="1"/>
    <col min="51" max="51" width="5.6640625" style="59" bestFit="1" customWidth="1"/>
    <col min="52" max="52" width="4.5546875" style="59" bestFit="1" customWidth="1"/>
    <col min="53" max="53" width="3.88671875" style="59" bestFit="1" customWidth="1"/>
    <col min="54" max="54" width="5.6640625" style="59" bestFit="1" customWidth="1"/>
    <col min="55" max="55" width="6.88671875" style="59" bestFit="1" customWidth="1"/>
    <col min="56" max="56" width="4.5546875" style="59" bestFit="1" customWidth="1"/>
    <col min="57" max="57" width="7" style="59" bestFit="1" customWidth="1"/>
    <col min="58" max="58" width="5.6640625" style="59" bestFit="1" customWidth="1"/>
    <col min="59" max="59" width="3.88671875" style="59" bestFit="1" customWidth="1"/>
    <col min="60" max="60" width="7" style="59" bestFit="1" customWidth="1"/>
    <col min="61" max="63" width="3.88671875" style="59" bestFit="1" customWidth="1"/>
    <col min="64" max="64" width="5.109375" style="59" bestFit="1" customWidth="1"/>
    <col min="65" max="65" width="4.33203125" style="59" bestFit="1" customWidth="1"/>
    <col min="66" max="66" width="3.88671875" style="59" bestFit="1" customWidth="1"/>
    <col min="67" max="67" width="5.109375" style="59" bestFit="1" customWidth="1"/>
    <col min="68" max="68" width="4.109375" style="59" bestFit="1" customWidth="1"/>
    <col min="69" max="69" width="8.5546875" style="59" customWidth="1"/>
    <col min="70" max="70" width="7" style="59" bestFit="1" customWidth="1"/>
    <col min="71" max="71" width="4.5546875" style="59" bestFit="1" customWidth="1"/>
    <col min="72" max="72" width="3.88671875" style="59" bestFit="1" customWidth="1"/>
    <col min="73" max="73" width="5.6640625" style="59" bestFit="1" customWidth="1"/>
    <col min="74" max="74" width="6.88671875" style="59" bestFit="1" customWidth="1"/>
    <col min="75" max="75" width="4.5546875" style="59" bestFit="1" customWidth="1"/>
    <col min="76" max="76" width="7" style="59" bestFit="1" customWidth="1"/>
    <col min="77" max="78" width="3.88671875" style="59" bestFit="1" customWidth="1"/>
    <col min="79" max="79" width="6.88671875" style="59" bestFit="1" customWidth="1"/>
    <col min="80" max="82" width="3.88671875" style="59" bestFit="1" customWidth="1"/>
    <col min="83" max="83" width="5.109375" style="59" bestFit="1" customWidth="1"/>
    <col min="84" max="84" width="4.33203125" style="59" bestFit="1" customWidth="1"/>
    <col min="85" max="85" width="3.88671875" style="59" bestFit="1" customWidth="1"/>
    <col min="86" max="86" width="5.109375" style="59" bestFit="1" customWidth="1"/>
    <col min="87" max="87" width="4.109375" style="59" bestFit="1" customWidth="1"/>
    <col min="88" max="88" width="8.5546875" style="59" customWidth="1"/>
    <col min="89" max="90" width="4.5546875" style="59" bestFit="1" customWidth="1"/>
    <col min="91" max="91" width="3.88671875" style="59" bestFit="1" customWidth="1"/>
    <col min="92" max="92" width="5.6640625" style="59" bestFit="1" customWidth="1"/>
    <col min="93" max="93" width="6.88671875" style="59" customWidth="1"/>
    <col min="94" max="95" width="4.5546875" style="59" bestFit="1" customWidth="1"/>
    <col min="96" max="97" width="3.88671875" style="59" bestFit="1" customWidth="1"/>
    <col min="98" max="98" width="6.88671875" style="59" customWidth="1"/>
    <col min="99" max="101" width="3.88671875" style="59" bestFit="1" customWidth="1"/>
    <col min="102" max="102" width="5.109375" style="59" bestFit="1" customWidth="1"/>
    <col min="103" max="103" width="4.33203125" style="59" bestFit="1" customWidth="1"/>
    <col min="104" max="104" width="3.88671875" style="59" bestFit="1" customWidth="1"/>
    <col min="105" max="105" width="5.109375" style="59" bestFit="1" customWidth="1"/>
    <col min="106" max="106" width="4.109375" style="59" bestFit="1" customWidth="1"/>
    <col min="107" max="107" width="8.5546875" style="59" customWidth="1"/>
    <col min="108" max="108" width="5.6640625" style="59" bestFit="1" customWidth="1"/>
    <col min="109" max="109" width="4.5546875" style="59" bestFit="1" customWidth="1"/>
    <col min="110" max="110" width="3.88671875" style="59" bestFit="1" customWidth="1"/>
    <col min="111" max="111" width="11.44140625" style="59" bestFit="1" customWidth="1"/>
    <col min="112" max="112" width="6.88671875" style="59" bestFit="1" customWidth="1"/>
    <col min="113" max="113" width="4.5546875" style="59" bestFit="1" customWidth="1"/>
    <col min="114" max="114" width="7" style="59" bestFit="1" customWidth="1"/>
    <col min="115" max="115" width="5.6640625" style="59" customWidth="1"/>
    <col min="116" max="116" width="3.88671875" style="59" bestFit="1" customWidth="1"/>
    <col min="117" max="117" width="7" style="59" bestFit="1" customWidth="1"/>
    <col min="118" max="120" width="3.88671875" style="59" bestFit="1" customWidth="1"/>
    <col min="121" max="121" width="5.109375" style="59" bestFit="1" customWidth="1"/>
    <col min="122" max="122" width="4.33203125" style="59" bestFit="1" customWidth="1"/>
    <col min="123" max="123" width="3.88671875" style="59" bestFit="1" customWidth="1"/>
    <col min="124" max="124" width="5.109375" style="59" bestFit="1" customWidth="1"/>
    <col min="125" max="125" width="4.109375" style="59" bestFit="1" customWidth="1"/>
    <col min="126" max="137" width="4.88671875" style="59" hidden="1" customWidth="1"/>
    <col min="138" max="140" width="6.6640625" style="59" customWidth="1"/>
    <col min="141" max="141" width="22" style="59" customWidth="1"/>
    <col min="142" max="142" width="8" style="59" hidden="1" customWidth="1"/>
    <col min="143" max="143" width="11.33203125" style="59" hidden="1" customWidth="1"/>
    <col min="144" max="144" width="11" style="59" customWidth="1"/>
    <col min="145" max="145" width="9.33203125" style="59" bestFit="1" customWidth="1"/>
    <col min="146" max="147" width="3.44140625" style="59" hidden="1" customWidth="1"/>
    <col min="148" max="148" width="12.88671875" style="59" hidden="1" customWidth="1"/>
    <col min="149" max="149" width="16.6640625" style="59" hidden="1" customWidth="1"/>
    <col min="150" max="151" width="3.44140625" style="59" hidden="1" customWidth="1"/>
    <col min="152" max="152" width="34.33203125" style="59" bestFit="1" customWidth="1"/>
    <col min="153" max="160" width="3.44140625" style="59" hidden="1" customWidth="1"/>
    <col min="161" max="161" width="22.6640625" style="59" hidden="1" customWidth="1"/>
    <col min="162" max="162" width="34.33203125" style="59" hidden="1" customWidth="1"/>
    <col min="163" max="163" width="39.33203125" style="59" bestFit="1" customWidth="1"/>
    <col min="164" max="165" width="23.5546875" style="59" bestFit="1" customWidth="1"/>
    <col min="166" max="166" width="26.5546875" style="59" customWidth="1"/>
    <col min="167" max="167" width="24.109375" style="59" hidden="1" customWidth="1"/>
    <col min="168" max="168" width="6.6640625" style="59" bestFit="1" customWidth="1"/>
    <col min="169" max="169" width="5.6640625" style="59" bestFit="1" customWidth="1"/>
    <col min="170" max="170" width="4.6640625" style="592" customWidth="1"/>
    <col min="171" max="280" width="9.109375" style="593" hidden="1" customWidth="1"/>
    <col min="281" max="284" width="16.44140625" style="593" hidden="1" customWidth="1"/>
    <col min="285" max="16384" width="9.109375" style="593" hidden="1"/>
  </cols>
  <sheetData>
    <row r="1" spans="1:169" ht="24.75" customHeight="1" x14ac:dyDescent="0.3">
      <c r="A1" s="8" t="s">
        <v>20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61"/>
      <c r="AF1" s="49"/>
      <c r="AG1" s="61"/>
      <c r="AH1" s="49"/>
      <c r="AI1" s="61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49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49"/>
      <c r="EE1" s="49"/>
      <c r="EF1" s="49"/>
      <c r="EG1" s="49"/>
      <c r="EH1" s="49"/>
      <c r="EI1" s="49"/>
      <c r="EJ1" s="49"/>
      <c r="EK1" s="49"/>
      <c r="EL1" s="49"/>
      <c r="EM1" s="49"/>
      <c r="EN1" s="49"/>
      <c r="EO1" s="49"/>
      <c r="EP1" s="49"/>
      <c r="EQ1" s="49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49"/>
      <c r="FE1" s="49"/>
      <c r="FF1" s="49"/>
      <c r="FG1" s="49"/>
      <c r="FH1" s="49"/>
      <c r="FI1" s="49"/>
      <c r="FJ1" s="49"/>
      <c r="FK1" s="49"/>
      <c r="FL1" s="49"/>
      <c r="FM1" s="49"/>
    </row>
    <row r="2" spans="1:169" ht="35.25" customHeight="1" x14ac:dyDescent="0.3">
      <c r="A2" s="6"/>
      <c r="B2" s="883" t="str">
        <f>DASHBOARD!B2&amp;DASHBOARD!B3</f>
        <v xml:space="preserve">SWAMI VIVEKANAND GOVT. MODEL SCHOOL,  AMET, BLOCK-AMET, RAJSAMAND                                                                </v>
      </c>
      <c r="C2" s="883"/>
      <c r="D2" s="883"/>
      <c r="E2" s="883"/>
      <c r="F2" s="883"/>
      <c r="G2" s="883"/>
      <c r="H2" s="883"/>
      <c r="I2" s="883"/>
      <c r="J2" s="883"/>
      <c r="K2" s="884"/>
      <c r="L2" s="1198" t="str">
        <f>DASHBOARD!B12</f>
        <v>ENGLISH</v>
      </c>
      <c r="M2" s="1199"/>
      <c r="N2" s="1199"/>
      <c r="O2" s="1199"/>
      <c r="P2" s="1199"/>
      <c r="Q2" s="1199"/>
      <c r="R2" s="1199"/>
      <c r="S2" s="1199"/>
      <c r="T2" s="1199"/>
      <c r="U2" s="1199"/>
      <c r="V2" s="1199"/>
      <c r="W2" s="1199"/>
      <c r="X2" s="1199"/>
      <c r="Y2" s="1199"/>
      <c r="Z2" s="1199"/>
      <c r="AA2" s="1199"/>
      <c r="AB2" s="1199"/>
      <c r="AC2" s="1200"/>
      <c r="AD2" s="1204" t="str">
        <f>DASHBOARD!B13</f>
        <v>MATHS</v>
      </c>
      <c r="AE2" s="1205"/>
      <c r="AF2" s="1205"/>
      <c r="AG2" s="1205"/>
      <c r="AH2" s="1205"/>
      <c r="AI2" s="1205"/>
      <c r="AJ2" s="1205"/>
      <c r="AK2" s="1205"/>
      <c r="AL2" s="1205"/>
      <c r="AM2" s="1205"/>
      <c r="AN2" s="1205"/>
      <c r="AO2" s="1205"/>
      <c r="AP2" s="1205"/>
      <c r="AQ2" s="1205"/>
      <c r="AR2" s="1205"/>
      <c r="AS2" s="1205"/>
      <c r="AT2" s="1205"/>
      <c r="AU2" s="1205"/>
      <c r="AV2" s="1205"/>
      <c r="AW2" s="1206"/>
      <c r="AX2" s="1198" t="str">
        <f>DASHBOARD!D12</f>
        <v xml:space="preserve">PHYSICS </v>
      </c>
      <c r="AY2" s="1199"/>
      <c r="AZ2" s="1199"/>
      <c r="BA2" s="1199"/>
      <c r="BB2" s="1199"/>
      <c r="BC2" s="1199"/>
      <c r="BD2" s="1199"/>
      <c r="BE2" s="1199"/>
      <c r="BF2" s="1199"/>
      <c r="BG2" s="1199"/>
      <c r="BH2" s="1199"/>
      <c r="BI2" s="1199"/>
      <c r="BJ2" s="1199"/>
      <c r="BK2" s="1199"/>
      <c r="BL2" s="1199"/>
      <c r="BM2" s="1199"/>
      <c r="BN2" s="1199"/>
      <c r="BO2" s="1199"/>
      <c r="BP2" s="1200"/>
      <c r="BQ2" s="1204" t="str">
        <f>DASHBOARD!D13</f>
        <v>CHEMISTRY</v>
      </c>
      <c r="BR2" s="1205"/>
      <c r="BS2" s="1205"/>
      <c r="BT2" s="1205"/>
      <c r="BU2" s="1205"/>
      <c r="BV2" s="1205"/>
      <c r="BW2" s="1205"/>
      <c r="BX2" s="1205"/>
      <c r="BY2" s="1205"/>
      <c r="BZ2" s="1205"/>
      <c r="CA2" s="1205"/>
      <c r="CB2" s="1205"/>
      <c r="CC2" s="1205"/>
      <c r="CD2" s="1205"/>
      <c r="CE2" s="1205"/>
      <c r="CF2" s="1205"/>
      <c r="CG2" s="1205"/>
      <c r="CH2" s="1205"/>
      <c r="CI2" s="1206"/>
      <c r="CJ2" s="1198" t="str">
        <f>DASHBOARD!D14</f>
        <v xml:space="preserve">BIOLOGY </v>
      </c>
      <c r="CK2" s="1199"/>
      <c r="CL2" s="1199"/>
      <c r="CM2" s="1199"/>
      <c r="CN2" s="1199"/>
      <c r="CO2" s="1199"/>
      <c r="CP2" s="1199"/>
      <c r="CQ2" s="1199"/>
      <c r="CR2" s="1199"/>
      <c r="CS2" s="1199"/>
      <c r="CT2" s="1199"/>
      <c r="CU2" s="1199"/>
      <c r="CV2" s="1199"/>
      <c r="CW2" s="1199"/>
      <c r="CX2" s="1199"/>
      <c r="CY2" s="1199"/>
      <c r="CZ2" s="1199"/>
      <c r="DA2" s="1199"/>
      <c r="DB2" s="1200"/>
      <c r="DC2" s="1204" t="str">
        <f>DASHBOARD!D15</f>
        <v xml:space="preserve">PHYSICAL EDUCATION </v>
      </c>
      <c r="DD2" s="1205"/>
      <c r="DE2" s="1205"/>
      <c r="DF2" s="1205"/>
      <c r="DG2" s="1205"/>
      <c r="DH2" s="1205"/>
      <c r="DI2" s="1205"/>
      <c r="DJ2" s="1205"/>
      <c r="DK2" s="1205"/>
      <c r="DL2" s="1205"/>
      <c r="DM2" s="1205"/>
      <c r="DN2" s="1205"/>
      <c r="DO2" s="1205"/>
      <c r="DP2" s="1205"/>
      <c r="DQ2" s="1205"/>
      <c r="DR2" s="1205"/>
      <c r="DS2" s="1205"/>
      <c r="DT2" s="1205"/>
      <c r="DU2" s="1206"/>
      <c r="DV2" s="454"/>
      <c r="DW2" s="454"/>
      <c r="DX2" s="454"/>
      <c r="DY2" s="454"/>
      <c r="DZ2" s="454"/>
      <c r="EA2" s="454"/>
      <c r="EB2" s="456"/>
      <c r="EC2" s="456"/>
      <c r="ED2" s="456"/>
      <c r="EE2" s="456"/>
      <c r="EF2" s="456"/>
      <c r="EG2" s="456"/>
      <c r="EH2" s="1164" t="s">
        <v>279</v>
      </c>
      <c r="EI2" s="1165"/>
      <c r="EJ2" s="1165"/>
      <c r="EK2" s="1165"/>
      <c r="EL2" s="1165"/>
      <c r="EM2" s="1165"/>
      <c r="EN2" s="1165"/>
      <c r="EO2" s="1165"/>
      <c r="EP2" s="1165"/>
      <c r="EQ2" s="1165"/>
      <c r="ER2" s="1165"/>
      <c r="ES2" s="1165"/>
      <c r="ET2" s="1165"/>
      <c r="EU2" s="1165"/>
      <c r="EV2" s="1165"/>
      <c r="EW2" s="1168" t="s">
        <v>205</v>
      </c>
      <c r="EX2" s="1168"/>
      <c r="EY2" s="1168"/>
      <c r="EZ2" s="1168"/>
      <c r="FA2" s="1168"/>
      <c r="FB2" s="1168"/>
      <c r="FC2" s="1168"/>
      <c r="FD2" s="1168"/>
      <c r="FE2" s="1168"/>
      <c r="FF2" s="1168"/>
      <c r="FG2" s="1168"/>
      <c r="FH2" s="1168"/>
      <c r="FI2" s="1168"/>
      <c r="FJ2" s="1168"/>
      <c r="FK2" s="1168"/>
      <c r="FL2" s="1168"/>
      <c r="FM2" s="1169"/>
    </row>
    <row r="3" spans="1:169" ht="35.25" customHeight="1" thickBot="1" x14ac:dyDescent="0.35">
      <c r="A3" s="6"/>
      <c r="B3" s="1194"/>
      <c r="C3" s="1194"/>
      <c r="D3" s="1194"/>
      <c r="E3" s="1194"/>
      <c r="F3" s="1194"/>
      <c r="G3" s="1194"/>
      <c r="H3" s="1194"/>
      <c r="I3" s="1194"/>
      <c r="J3" s="1194"/>
      <c r="K3" s="1195"/>
      <c r="L3" s="1201" t="str">
        <f>IF(DASHBOARD!C12="","",DASHBOARD!C12)</f>
        <v>SUREKHA</v>
      </c>
      <c r="M3" s="1202"/>
      <c r="N3" s="1202"/>
      <c r="O3" s="1202"/>
      <c r="P3" s="1202"/>
      <c r="Q3" s="1202"/>
      <c r="R3" s="1202"/>
      <c r="S3" s="1202"/>
      <c r="T3" s="1202"/>
      <c r="U3" s="1202"/>
      <c r="V3" s="1202"/>
      <c r="W3" s="1202"/>
      <c r="X3" s="1202"/>
      <c r="Y3" s="1202"/>
      <c r="Z3" s="1202"/>
      <c r="AA3" s="1202"/>
      <c r="AB3" s="1202"/>
      <c r="AC3" s="1203"/>
      <c r="AD3" s="1207" t="str">
        <f>IF(DASHBOARD!C13="","",DASHBOARD!C13)</f>
        <v>NILESH KUMAR KHATIK</v>
      </c>
      <c r="AE3" s="1208"/>
      <c r="AF3" s="1208"/>
      <c r="AG3" s="1208"/>
      <c r="AH3" s="1208"/>
      <c r="AI3" s="1208"/>
      <c r="AJ3" s="1208"/>
      <c r="AK3" s="1208"/>
      <c r="AL3" s="1208"/>
      <c r="AM3" s="1208"/>
      <c r="AN3" s="1208"/>
      <c r="AO3" s="1208"/>
      <c r="AP3" s="1208"/>
      <c r="AQ3" s="1208"/>
      <c r="AR3" s="1208"/>
      <c r="AS3" s="1208"/>
      <c r="AT3" s="1208"/>
      <c r="AU3" s="1208"/>
      <c r="AV3" s="1208"/>
      <c r="AW3" s="1209"/>
      <c r="AX3" s="1201" t="str">
        <f>IF(DASHBOARD!E12="","",DASHBOARD!E12)</f>
        <v>KAMLESH KUMAR</v>
      </c>
      <c r="AY3" s="1202"/>
      <c r="AZ3" s="1202"/>
      <c r="BA3" s="1202"/>
      <c r="BB3" s="1202"/>
      <c r="BC3" s="1202"/>
      <c r="BD3" s="1202"/>
      <c r="BE3" s="1202"/>
      <c r="BF3" s="1202"/>
      <c r="BG3" s="1202"/>
      <c r="BH3" s="1202"/>
      <c r="BI3" s="1202"/>
      <c r="BJ3" s="1202"/>
      <c r="BK3" s="1202"/>
      <c r="BL3" s="1202"/>
      <c r="BM3" s="1202"/>
      <c r="BN3" s="1202"/>
      <c r="BO3" s="1202"/>
      <c r="BP3" s="1203"/>
      <c r="BQ3" s="1207" t="str">
        <f>IF(DASHBOARD!E13="","",DASHBOARD!E13)</f>
        <v>KAMLESH KUMAR</v>
      </c>
      <c r="BR3" s="1208"/>
      <c r="BS3" s="1208"/>
      <c r="BT3" s="1208"/>
      <c r="BU3" s="1208"/>
      <c r="BV3" s="1208"/>
      <c r="BW3" s="1208"/>
      <c r="BX3" s="1208"/>
      <c r="BY3" s="1208"/>
      <c r="BZ3" s="1208"/>
      <c r="CA3" s="1208"/>
      <c r="CB3" s="1208"/>
      <c r="CC3" s="1208"/>
      <c r="CD3" s="1208"/>
      <c r="CE3" s="1208"/>
      <c r="CF3" s="1208"/>
      <c r="CG3" s="1208"/>
      <c r="CH3" s="1208"/>
      <c r="CI3" s="1209"/>
      <c r="CJ3" s="1201" t="str">
        <f>IF(DASHBOARD!E14="","",DASHBOARD!E14)</f>
        <v>BIOLOGY</v>
      </c>
      <c r="CK3" s="1202"/>
      <c r="CL3" s="1202"/>
      <c r="CM3" s="1202"/>
      <c r="CN3" s="1202"/>
      <c r="CO3" s="1202"/>
      <c r="CP3" s="1202"/>
      <c r="CQ3" s="1202"/>
      <c r="CR3" s="1202"/>
      <c r="CS3" s="1202"/>
      <c r="CT3" s="1202"/>
      <c r="CU3" s="1202"/>
      <c r="CV3" s="1202"/>
      <c r="CW3" s="1202"/>
      <c r="CX3" s="1202"/>
      <c r="CY3" s="1202"/>
      <c r="CZ3" s="1202"/>
      <c r="DA3" s="1202"/>
      <c r="DB3" s="1203"/>
      <c r="DC3" s="1207" t="str">
        <f>IF(DASHBOARD!E15 ="","",DASHBOARD!E15)</f>
        <v>SUREKHA</v>
      </c>
      <c r="DD3" s="1208"/>
      <c r="DE3" s="1208"/>
      <c r="DF3" s="1208"/>
      <c r="DG3" s="1208"/>
      <c r="DH3" s="1208"/>
      <c r="DI3" s="1208"/>
      <c r="DJ3" s="1208"/>
      <c r="DK3" s="1208"/>
      <c r="DL3" s="1208"/>
      <c r="DM3" s="1208"/>
      <c r="DN3" s="1208"/>
      <c r="DO3" s="1208"/>
      <c r="DP3" s="1208"/>
      <c r="DQ3" s="1208"/>
      <c r="DR3" s="1208"/>
      <c r="DS3" s="1208"/>
      <c r="DT3" s="1208"/>
      <c r="DU3" s="1209"/>
      <c r="DV3" s="455"/>
      <c r="DW3" s="455"/>
      <c r="DX3" s="455"/>
      <c r="DY3" s="455"/>
      <c r="DZ3" s="455"/>
      <c r="EA3" s="455"/>
      <c r="EB3" s="457"/>
      <c r="EC3" s="457"/>
      <c r="ED3" s="457"/>
      <c r="EE3" s="457"/>
      <c r="EF3" s="457"/>
      <c r="EG3" s="457"/>
      <c r="EH3" s="1166"/>
      <c r="EI3" s="1167"/>
      <c r="EJ3" s="1167"/>
      <c r="EK3" s="1167"/>
      <c r="EL3" s="1167"/>
      <c r="EM3" s="1167"/>
      <c r="EN3" s="1167"/>
      <c r="EO3" s="1167"/>
      <c r="EP3" s="1167"/>
      <c r="EQ3" s="1167"/>
      <c r="ER3" s="1167"/>
      <c r="ES3" s="1167"/>
      <c r="ET3" s="1167"/>
      <c r="EU3" s="1167"/>
      <c r="EV3" s="1167"/>
      <c r="EW3" s="1170"/>
      <c r="EX3" s="1170"/>
      <c r="EY3" s="1170"/>
      <c r="EZ3" s="1170"/>
      <c r="FA3" s="1170"/>
      <c r="FB3" s="1170"/>
      <c r="FC3" s="1170"/>
      <c r="FD3" s="1170"/>
      <c r="FE3" s="1170"/>
      <c r="FF3" s="1170"/>
      <c r="FG3" s="1170"/>
      <c r="FH3" s="1170"/>
      <c r="FI3" s="1170"/>
      <c r="FJ3" s="1170"/>
      <c r="FK3" s="1170"/>
      <c r="FL3" s="1170"/>
      <c r="FM3" s="1171"/>
    </row>
    <row r="4" spans="1:169" ht="126" customHeight="1" thickBot="1" x14ac:dyDescent="0.35">
      <c r="A4" s="6"/>
      <c r="B4" s="1188" t="str">
        <f>"MASTER DATA SHEET       "&amp;DASHBOARD!B4</f>
        <v>MASTER DATA SHEET       SESSION    -  2025-26</v>
      </c>
      <c r="C4" s="1189"/>
      <c r="D4" s="1189"/>
      <c r="E4" s="1189"/>
      <c r="F4" s="1189"/>
      <c r="G4" s="1189"/>
      <c r="H4" s="1190"/>
      <c r="I4" s="1191" t="str">
        <f>IF(DASHBOARD!B8="","","CLASS :- "&amp;DASHBOARD!B8&amp; DASHBOARD!C8)</f>
        <v>CLASS :- XI A</v>
      </c>
      <c r="J4" s="1192"/>
      <c r="K4" s="1193"/>
      <c r="L4" s="62" t="s">
        <v>106</v>
      </c>
      <c r="M4" s="642" t="s">
        <v>112</v>
      </c>
      <c r="N4" s="641" t="s">
        <v>107</v>
      </c>
      <c r="O4" s="641" t="s">
        <v>313</v>
      </c>
      <c r="P4" s="641" t="s">
        <v>108</v>
      </c>
      <c r="Q4" s="641" t="s">
        <v>116</v>
      </c>
      <c r="R4" s="62" t="s">
        <v>142</v>
      </c>
      <c r="S4" s="62" t="s">
        <v>143</v>
      </c>
      <c r="T4" s="62" t="s">
        <v>140</v>
      </c>
      <c r="U4" s="62" t="s">
        <v>141</v>
      </c>
      <c r="V4" s="62" t="s">
        <v>41</v>
      </c>
      <c r="W4" s="62" t="s">
        <v>18</v>
      </c>
      <c r="X4" s="62" t="s">
        <v>266</v>
      </c>
      <c r="Y4" s="62" t="s">
        <v>72</v>
      </c>
      <c r="Z4" s="62" t="s">
        <v>159</v>
      </c>
      <c r="AA4" s="63" t="s">
        <v>122</v>
      </c>
      <c r="AB4" s="62" t="s">
        <v>41</v>
      </c>
      <c r="AC4" s="62" t="s">
        <v>159</v>
      </c>
      <c r="AD4" s="64" t="s">
        <v>106</v>
      </c>
      <c r="AE4" s="65" t="s">
        <v>112</v>
      </c>
      <c r="AF4" s="64" t="s">
        <v>107</v>
      </c>
      <c r="AG4" s="65" t="s">
        <v>113</v>
      </c>
      <c r="AH4" s="64" t="s">
        <v>108</v>
      </c>
      <c r="AI4" s="65" t="s">
        <v>114</v>
      </c>
      <c r="AJ4" s="64" t="s">
        <v>264</v>
      </c>
      <c r="AK4" s="64" t="s">
        <v>265</v>
      </c>
      <c r="AL4" s="64" t="s">
        <v>138</v>
      </c>
      <c r="AM4" s="66" t="str">
        <f>IF(MATHS!H5="","",MATHS!H5)</f>
        <v>Activity Performed throughout year and record keeping</v>
      </c>
      <c r="AN4" s="66" t="str">
        <f>IF(MATHS!I5="","",MATHS!I5)</f>
        <v>YEAR END ASSESSMENT OF ACTIVITY</v>
      </c>
      <c r="AO4" s="66" t="str">
        <f>IF(MATHS!J5="","",MATHS!J5)</f>
        <v>VIVA-VOCE</v>
      </c>
      <c r="AP4" s="66" t="s">
        <v>149</v>
      </c>
      <c r="AQ4" s="66" t="s">
        <v>151</v>
      </c>
      <c r="AR4" s="64" t="s">
        <v>67</v>
      </c>
      <c r="AS4" s="64" t="s">
        <v>72</v>
      </c>
      <c r="AT4" s="64" t="s">
        <v>159</v>
      </c>
      <c r="AU4" s="63" t="s">
        <v>122</v>
      </c>
      <c r="AV4" s="64" t="s">
        <v>41</v>
      </c>
      <c r="AW4" s="64" t="s">
        <v>159</v>
      </c>
      <c r="AX4" s="62" t="s">
        <v>106</v>
      </c>
      <c r="AY4" s="62" t="s">
        <v>112</v>
      </c>
      <c r="AZ4" s="1210" t="s">
        <v>107</v>
      </c>
      <c r="BA4" s="1211"/>
      <c r="BB4" s="1210" t="s">
        <v>115</v>
      </c>
      <c r="BC4" s="1212"/>
      <c r="BD4" s="62" t="s">
        <v>109</v>
      </c>
      <c r="BE4" s="62" t="s">
        <v>116</v>
      </c>
      <c r="BF4" s="1210" t="s">
        <v>67</v>
      </c>
      <c r="BG4" s="1212"/>
      <c r="BH4" s="1210" t="s">
        <v>117</v>
      </c>
      <c r="BI4" s="1212"/>
      <c r="BJ4" s="1210" t="s">
        <v>41</v>
      </c>
      <c r="BK4" s="1212"/>
      <c r="BL4" s="62" t="s">
        <v>72</v>
      </c>
      <c r="BM4" s="62" t="s">
        <v>159</v>
      </c>
      <c r="BN4" s="63" t="s">
        <v>122</v>
      </c>
      <c r="BO4" s="62" t="s">
        <v>41</v>
      </c>
      <c r="BP4" s="62" t="s">
        <v>159</v>
      </c>
      <c r="BQ4" s="64" t="s">
        <v>106</v>
      </c>
      <c r="BR4" s="64" t="s">
        <v>112</v>
      </c>
      <c r="BS4" s="1196" t="s">
        <v>107</v>
      </c>
      <c r="BT4" s="1216"/>
      <c r="BU4" s="1196" t="s">
        <v>115</v>
      </c>
      <c r="BV4" s="1197"/>
      <c r="BW4" s="64" t="s">
        <v>109</v>
      </c>
      <c r="BX4" s="64" t="s">
        <v>116</v>
      </c>
      <c r="BY4" s="1196" t="s">
        <v>67</v>
      </c>
      <c r="BZ4" s="1197"/>
      <c r="CA4" s="1196" t="s">
        <v>117</v>
      </c>
      <c r="CB4" s="1197"/>
      <c r="CC4" s="1196" t="s">
        <v>68</v>
      </c>
      <c r="CD4" s="1197"/>
      <c r="CE4" s="64" t="s">
        <v>72</v>
      </c>
      <c r="CF4" s="64" t="s">
        <v>159</v>
      </c>
      <c r="CG4" s="63" t="s">
        <v>122</v>
      </c>
      <c r="CH4" s="64" t="s">
        <v>41</v>
      </c>
      <c r="CI4" s="64" t="s">
        <v>159</v>
      </c>
      <c r="CJ4" s="62" t="s">
        <v>106</v>
      </c>
      <c r="CK4" s="62" t="s">
        <v>112</v>
      </c>
      <c r="CL4" s="1210" t="s">
        <v>107</v>
      </c>
      <c r="CM4" s="1211"/>
      <c r="CN4" s="1210" t="s">
        <v>115</v>
      </c>
      <c r="CO4" s="1212"/>
      <c r="CP4" s="62" t="s">
        <v>109</v>
      </c>
      <c r="CQ4" s="62" t="s">
        <v>116</v>
      </c>
      <c r="CR4" s="1210" t="s">
        <v>67</v>
      </c>
      <c r="CS4" s="1212"/>
      <c r="CT4" s="1210" t="s">
        <v>117</v>
      </c>
      <c r="CU4" s="1212"/>
      <c r="CV4" s="1210" t="s">
        <v>41</v>
      </c>
      <c r="CW4" s="1212"/>
      <c r="CX4" s="62" t="s">
        <v>72</v>
      </c>
      <c r="CY4" s="62" t="s">
        <v>159</v>
      </c>
      <c r="CZ4" s="63" t="s">
        <v>122</v>
      </c>
      <c r="DA4" s="62" t="s">
        <v>41</v>
      </c>
      <c r="DB4" s="62" t="s">
        <v>159</v>
      </c>
      <c r="DC4" s="64" t="s">
        <v>106</v>
      </c>
      <c r="DD4" s="64" t="s">
        <v>112</v>
      </c>
      <c r="DE4" s="1196" t="s">
        <v>107</v>
      </c>
      <c r="DF4" s="1216"/>
      <c r="DG4" s="1196" t="s">
        <v>115</v>
      </c>
      <c r="DH4" s="1197"/>
      <c r="DI4" s="64" t="s">
        <v>109</v>
      </c>
      <c r="DJ4" s="64" t="s">
        <v>116</v>
      </c>
      <c r="DK4" s="1196" t="s">
        <v>67</v>
      </c>
      <c r="DL4" s="1197"/>
      <c r="DM4" s="1196" t="s">
        <v>117</v>
      </c>
      <c r="DN4" s="1197"/>
      <c r="DO4" s="1196" t="s">
        <v>41</v>
      </c>
      <c r="DP4" s="1197"/>
      <c r="DQ4" s="64" t="s">
        <v>72</v>
      </c>
      <c r="DR4" s="64" t="s">
        <v>159</v>
      </c>
      <c r="DS4" s="63" t="s">
        <v>122</v>
      </c>
      <c r="DT4" s="64" t="s">
        <v>41</v>
      </c>
      <c r="DU4" s="64" t="s">
        <v>159</v>
      </c>
      <c r="DV4" s="62" t="s">
        <v>1</v>
      </c>
      <c r="DW4" s="62" t="s">
        <v>46</v>
      </c>
      <c r="DX4" s="62" t="s">
        <v>88</v>
      </c>
      <c r="DY4" s="62" t="s">
        <v>83</v>
      </c>
      <c r="DZ4" s="62" t="s">
        <v>89</v>
      </c>
      <c r="EA4" s="62" t="s">
        <v>171</v>
      </c>
      <c r="EB4" s="64" t="s">
        <v>1</v>
      </c>
      <c r="EC4" s="64" t="s">
        <v>46</v>
      </c>
      <c r="ED4" s="64" t="s">
        <v>88</v>
      </c>
      <c r="EE4" s="64" t="s">
        <v>83</v>
      </c>
      <c r="EF4" s="64" t="s">
        <v>89</v>
      </c>
      <c r="EG4" s="64" t="s">
        <v>171</v>
      </c>
      <c r="EH4" s="67" t="s">
        <v>119</v>
      </c>
      <c r="EI4" s="67" t="s">
        <v>121</v>
      </c>
      <c r="EJ4" s="67" t="s">
        <v>159</v>
      </c>
      <c r="EK4" s="67" t="s">
        <v>45</v>
      </c>
      <c r="EL4" s="67" t="s">
        <v>121</v>
      </c>
      <c r="EM4" s="67"/>
      <c r="EN4" s="67" t="s">
        <v>73</v>
      </c>
      <c r="EO4" s="67" t="s">
        <v>118</v>
      </c>
      <c r="EP4" s="87" t="str">
        <f>IF(DASHBOARD!B12="","",DASHBOARD!B12)</f>
        <v>ENGLISH</v>
      </c>
      <c r="EQ4" s="87" t="str">
        <f>IF(DASHBOARD!B13="","",DASHBOARD!B13)</f>
        <v>MATHS</v>
      </c>
      <c r="ER4" s="87" t="str">
        <f>IF(DASHBOARD!D12="","",DASHBOARD!D12)</f>
        <v xml:space="preserve">PHYSICS </v>
      </c>
      <c r="ES4" s="87" t="str">
        <f>IF(DASHBOARD!D13="","",DASHBOARD!D13)</f>
        <v>CHEMISTRY</v>
      </c>
      <c r="ET4" s="87" t="str">
        <f>IF(DASHBOARD!D14="","",DASHBOARD!D14)</f>
        <v xml:space="preserve">BIOLOGY </v>
      </c>
      <c r="EU4" s="87" t="str">
        <f>IF(DASHBOARD!D15="","",DASHBOARD!D15)</f>
        <v xml:space="preserve">PHYSICAL EDUCATION </v>
      </c>
      <c r="EV4" s="491" t="s">
        <v>204</v>
      </c>
      <c r="EW4" s="87" t="str">
        <f>IF(EP4="","",EP4)</f>
        <v>ENGLISH</v>
      </c>
      <c r="EX4" s="87" t="str">
        <f t="shared" ref="EX4:FB4" si="0">IF(EQ4="","",EQ4)</f>
        <v>MATHS</v>
      </c>
      <c r="EY4" s="87" t="str">
        <f t="shared" si="0"/>
        <v xml:space="preserve">PHYSICS </v>
      </c>
      <c r="EZ4" s="87" t="str">
        <f t="shared" si="0"/>
        <v>CHEMISTRY</v>
      </c>
      <c r="FA4" s="87" t="str">
        <f t="shared" si="0"/>
        <v xml:space="preserve">BIOLOGY </v>
      </c>
      <c r="FB4" s="87" t="str">
        <f t="shared" si="0"/>
        <v xml:space="preserve">PHYSICAL EDUCATION </v>
      </c>
      <c r="FC4" s="68" t="s">
        <v>120</v>
      </c>
      <c r="FD4" s="68" t="s">
        <v>120</v>
      </c>
      <c r="FE4" s="68" t="s">
        <v>120</v>
      </c>
      <c r="FF4" s="487" t="s">
        <v>204</v>
      </c>
      <c r="FG4" s="89" t="s">
        <v>205</v>
      </c>
      <c r="FH4" s="89" t="s">
        <v>281</v>
      </c>
      <c r="FI4" s="89" t="s">
        <v>282</v>
      </c>
      <c r="FJ4" s="89" t="s">
        <v>283</v>
      </c>
      <c r="FK4" s="493" t="s">
        <v>206</v>
      </c>
      <c r="FL4" s="486" t="s">
        <v>278</v>
      </c>
      <c r="FM4" s="486" t="s">
        <v>277</v>
      </c>
    </row>
    <row r="5" spans="1:169" ht="20.25" customHeight="1" thickBot="1" x14ac:dyDescent="0.35">
      <c r="A5" s="6"/>
      <c r="B5" s="122"/>
      <c r="C5" s="115"/>
      <c r="D5" s="115"/>
      <c r="E5" s="115"/>
      <c r="F5" s="115"/>
      <c r="G5" s="115"/>
      <c r="H5" s="115"/>
      <c r="I5" s="115"/>
      <c r="J5" s="115"/>
      <c r="K5" s="116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8"/>
      <c r="AF5" s="117"/>
      <c r="AG5" s="118"/>
      <c r="AH5" s="117"/>
      <c r="AI5" s="118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9" t="s">
        <v>110</v>
      </c>
      <c r="BA5" s="594" t="s">
        <v>111</v>
      </c>
      <c r="BB5" s="119" t="s">
        <v>110</v>
      </c>
      <c r="BC5" s="119" t="s">
        <v>111</v>
      </c>
      <c r="BD5" s="117"/>
      <c r="BE5" s="117"/>
      <c r="BF5" s="119" t="s">
        <v>110</v>
      </c>
      <c r="BG5" s="119" t="s">
        <v>111</v>
      </c>
      <c r="BH5" s="119" t="s">
        <v>110</v>
      </c>
      <c r="BI5" s="119" t="s">
        <v>111</v>
      </c>
      <c r="BJ5" s="119" t="s">
        <v>110</v>
      </c>
      <c r="BK5" s="119" t="s">
        <v>111</v>
      </c>
      <c r="BL5" s="117"/>
      <c r="BM5" s="117"/>
      <c r="BN5" s="117"/>
      <c r="BO5" s="117"/>
      <c r="BP5" s="117"/>
      <c r="BQ5" s="117"/>
      <c r="BR5" s="117"/>
      <c r="BS5" s="119" t="s">
        <v>110</v>
      </c>
      <c r="BT5" s="594" t="s">
        <v>111</v>
      </c>
      <c r="BU5" s="119" t="s">
        <v>110</v>
      </c>
      <c r="BV5" s="119" t="s">
        <v>111</v>
      </c>
      <c r="BW5" s="117"/>
      <c r="BX5" s="117"/>
      <c r="BY5" s="119" t="s">
        <v>110</v>
      </c>
      <c r="BZ5" s="119" t="s">
        <v>111</v>
      </c>
      <c r="CA5" s="119" t="s">
        <v>110</v>
      </c>
      <c r="CB5" s="119" t="s">
        <v>111</v>
      </c>
      <c r="CC5" s="119" t="s">
        <v>110</v>
      </c>
      <c r="CD5" s="119" t="s">
        <v>111</v>
      </c>
      <c r="CE5" s="117"/>
      <c r="CF5" s="117"/>
      <c r="CG5" s="117"/>
      <c r="CH5" s="117"/>
      <c r="CI5" s="117"/>
      <c r="CJ5" s="117"/>
      <c r="CK5" s="117"/>
      <c r="CL5" s="119" t="s">
        <v>110</v>
      </c>
      <c r="CM5" s="594" t="s">
        <v>111</v>
      </c>
      <c r="CN5" s="119" t="s">
        <v>110</v>
      </c>
      <c r="CO5" s="119" t="s">
        <v>111</v>
      </c>
      <c r="CP5" s="117"/>
      <c r="CQ5" s="117"/>
      <c r="CR5" s="119" t="s">
        <v>110</v>
      </c>
      <c r="CS5" s="119" t="s">
        <v>111</v>
      </c>
      <c r="CT5" s="119"/>
      <c r="CU5" s="119"/>
      <c r="CV5" s="119" t="s">
        <v>110</v>
      </c>
      <c r="CW5" s="119" t="s">
        <v>111</v>
      </c>
      <c r="CX5" s="117"/>
      <c r="CY5" s="117"/>
      <c r="CZ5" s="117"/>
      <c r="DA5" s="117"/>
      <c r="DB5" s="117"/>
      <c r="DC5" s="117"/>
      <c r="DD5" s="117"/>
      <c r="DE5" s="119" t="s">
        <v>110</v>
      </c>
      <c r="DF5" s="594" t="s">
        <v>111</v>
      </c>
      <c r="DG5" s="119" t="s">
        <v>110</v>
      </c>
      <c r="DH5" s="119" t="s">
        <v>111</v>
      </c>
      <c r="DI5" s="117"/>
      <c r="DJ5" s="117"/>
      <c r="DK5" s="119" t="s">
        <v>110</v>
      </c>
      <c r="DL5" s="119" t="s">
        <v>111</v>
      </c>
      <c r="DM5" s="119" t="s">
        <v>110</v>
      </c>
      <c r="DN5" s="119" t="s">
        <v>111</v>
      </c>
      <c r="DO5" s="119" t="s">
        <v>110</v>
      </c>
      <c r="DP5" s="119" t="s">
        <v>111</v>
      </c>
      <c r="DQ5" s="117"/>
      <c r="DR5" s="117"/>
      <c r="DS5" s="117"/>
      <c r="DT5" s="117"/>
      <c r="DU5" s="117"/>
      <c r="DV5" s="1229" t="s">
        <v>172</v>
      </c>
      <c r="DW5" s="1230"/>
      <c r="DX5" s="1230"/>
      <c r="DY5" s="1230"/>
      <c r="DZ5" s="1230"/>
      <c r="EA5" s="1231"/>
      <c r="EB5" s="1229" t="s">
        <v>159</v>
      </c>
      <c r="EC5" s="1230"/>
      <c r="ED5" s="1230"/>
      <c r="EE5" s="1230"/>
      <c r="EF5" s="1230"/>
      <c r="EG5" s="1231"/>
      <c r="EH5" s="120"/>
      <c r="EI5" s="120"/>
      <c r="EJ5" s="120"/>
      <c r="EK5" s="120"/>
      <c r="EL5" s="120"/>
      <c r="EM5" s="120"/>
      <c r="EN5" s="120"/>
      <c r="EO5" s="121"/>
      <c r="EP5" s="1232" t="s">
        <v>168</v>
      </c>
      <c r="EQ5" s="1233"/>
      <c r="ER5" s="1233"/>
      <c r="ES5" s="1233"/>
      <c r="ET5" s="1233"/>
      <c r="EU5" s="1234"/>
      <c r="EV5" s="460"/>
      <c r="EW5" s="1226" t="s">
        <v>169</v>
      </c>
      <c r="EX5" s="1227"/>
      <c r="EY5" s="1227"/>
      <c r="EZ5" s="1227"/>
      <c r="FA5" s="1227"/>
      <c r="FB5" s="1228"/>
      <c r="FC5" s="1247" t="s">
        <v>168</v>
      </c>
      <c r="FD5" s="1248"/>
      <c r="FE5" s="461" t="s">
        <v>169</v>
      </c>
      <c r="FF5" s="458"/>
      <c r="FG5" s="459"/>
      <c r="FH5" s="459"/>
      <c r="FI5" s="459"/>
      <c r="FJ5" s="459"/>
      <c r="FK5" s="117"/>
      <c r="FL5" s="117"/>
      <c r="FM5" s="117"/>
    </row>
    <row r="6" spans="1:169" ht="28.5" customHeight="1" x14ac:dyDescent="0.3">
      <c r="A6" s="6"/>
      <c r="B6" s="69" t="s">
        <v>2</v>
      </c>
      <c r="C6" s="69" t="s">
        <v>3</v>
      </c>
      <c r="D6" s="69" t="s">
        <v>4</v>
      </c>
      <c r="E6" s="69" t="s">
        <v>5</v>
      </c>
      <c r="F6" s="69" t="s">
        <v>6</v>
      </c>
      <c r="G6" s="69" t="s">
        <v>7</v>
      </c>
      <c r="H6" s="69" t="s">
        <v>8</v>
      </c>
      <c r="I6" s="69" t="s">
        <v>9</v>
      </c>
      <c r="J6" s="69" t="s">
        <v>10</v>
      </c>
      <c r="K6" s="69" t="s">
        <v>11</v>
      </c>
      <c r="L6" s="70">
        <f>IF(ENGLISH!E6="","",ENGLISH!E6)</f>
        <v>10</v>
      </c>
      <c r="M6" s="85">
        <f>IF(OR(L6="",L6="AB"),"",(L6/$L$6)*5)</f>
        <v>5</v>
      </c>
      <c r="N6" s="70">
        <f>IF(ENGLISH!F6="","",ENGLISH!F6)</f>
        <v>80</v>
      </c>
      <c r="O6" s="85">
        <f>IF(OR(N6="",N6="AB"),"",(N6/$N$6)*30)</f>
        <v>30</v>
      </c>
      <c r="P6" s="70">
        <f>IF(ENGLISH!G6="","",ENGLISH!G6)</f>
        <v>10</v>
      </c>
      <c r="Q6" s="85">
        <f>IF(OR(P6="",P6="AB"),"",(P6/$P$6)*5)</f>
        <v>5</v>
      </c>
      <c r="R6" s="70">
        <f>IF(ENGLISH!H6="","",ENGLISH!H6)</f>
        <v>5</v>
      </c>
      <c r="S6" s="70">
        <f>IF(ENGLISH!I6="","",ENGLISH!I6)</f>
        <v>5</v>
      </c>
      <c r="T6" s="70">
        <f>IF(ENGLISH!J6="","",ENGLISH!J6)</f>
        <v>5</v>
      </c>
      <c r="U6" s="70">
        <f>IF(ENGLISH!K6="","",ENGLISH!K6)</f>
        <v>5</v>
      </c>
      <c r="V6" s="70">
        <f>IF(AND(L6="",N6="",P6="",R6="",S6="",T6="",U6=""),"",ROUNDUP(SUM(R6:U6),0))</f>
        <v>20</v>
      </c>
      <c r="W6" s="71">
        <f>IF(ENGLISH!L6="","",ENGLISH!L6)</f>
        <v>80</v>
      </c>
      <c r="X6" s="85">
        <f>IF(OR(W6="",W6="AB"),"",(W6/$W$6)*40)</f>
        <v>40</v>
      </c>
      <c r="Y6" s="70">
        <f>IF(OR(D6="TC",V6="",W6=""),"",ROUNDUP(SUM(M6,Q6,V6,O6,X6),0))</f>
        <v>100</v>
      </c>
      <c r="Z6" s="70" t="str">
        <f>IF(Y6="","",IF((Y6)&lt;33,"E",IF(AND((Y6)&gt;=33,(Y6)&lt;41),"D",IF(AND((Y6)&gt;=41,(Y6)&lt;51),"C2",IF(AND((Y6)&gt;=51,(Y6)&lt;61),"C1",IF(AND((Y6)&gt;=61,(Y6)&lt;71),"B2",IF(AND((Y6)&gt;=71,(Y6)&lt;81),"B1",IF(AND((Y6)&gt;=81,(Y6)&lt;91),"A2",IF(AND((Y6)&gt;=91,(Y6)&lt;=100),"A1")))))))))</f>
        <v>A1</v>
      </c>
      <c r="AA6" s="70">
        <f>IF(ENGLISH!O6="","",ENGLISH!O6*40/ENGLISH!$O$6)</f>
        <v>40</v>
      </c>
      <c r="AB6" s="70">
        <f>IF(OR(D6="TC",V6="",W6="",AA6=""),"",ROUNDUP(SUM(M6,Q6,V6,O6,AA6),0))</f>
        <v>100</v>
      </c>
      <c r="AC6" s="70" t="str">
        <f t="shared" ref="AC6" si="1">IF(AB6="","",IF((AB6)&lt;33,"E",IF(AND((AB6)&gt;=33,(AB6)&lt;41),"D",IF(AND((AB6)&gt;=41,(AB6)&lt;51),"C2",IF(AND((AB6)&gt;=51,(AB6)&lt;61),"C1",IF(AND((AB6)&gt;=61,(AB6)&lt;71),"B2",IF(AND((AB6)&gt;=71,(AB6)&lt;81),"B1",IF(AND((AB6)&gt;=81,(AB6)&lt;91),"A2",IF(AND((AB6)&gt;=91,(AB6)&lt;=100),"A1")))))))))</f>
        <v>A1</v>
      </c>
      <c r="AD6" s="84">
        <f>IF(MATHS!E6="","",MATHS!E6)</f>
        <v>10</v>
      </c>
      <c r="AE6" s="85">
        <f>IF(OR(AD6="",AD6="AB"),"",(AD6/$AD$6)*5)</f>
        <v>5</v>
      </c>
      <c r="AF6" s="84">
        <f>IF(MATHS!F6="","",MATHS!F6)</f>
        <v>80</v>
      </c>
      <c r="AG6" s="85">
        <f>IF(OR(AF6="AB",AF6=""),"",(AF6/$AF$6)*30)</f>
        <v>30</v>
      </c>
      <c r="AH6" s="84">
        <f>IF(MATHS!G6="","",MATHS!G6)</f>
        <v>10</v>
      </c>
      <c r="AI6" s="84">
        <f>IF(OR(AH6="AB",AH6=""),"",(AH6/$AH$6)*5)</f>
        <v>5</v>
      </c>
      <c r="AJ6" s="85">
        <f>IF(AE6="","",AE6)</f>
        <v>5</v>
      </c>
      <c r="AK6" s="85">
        <f>IF(AI6="","",AI6)</f>
        <v>5</v>
      </c>
      <c r="AL6" s="85">
        <f>IF(AND(AJ6="",AK6=""),"",SUM(AJ6:AK6))</f>
        <v>10</v>
      </c>
      <c r="AM6" s="85">
        <f>IF(MATHS!H6="","",MATHS!H6)</f>
        <v>5</v>
      </c>
      <c r="AN6" s="85">
        <f>IF(MATHS!I6="","",MATHS!I6)</f>
        <v>3</v>
      </c>
      <c r="AO6" s="85">
        <f>IF(MATHS!J6="","",MATHS!J6)</f>
        <v>2</v>
      </c>
      <c r="AP6" s="85">
        <f>IF(AND(AM6="",AN6="",AO6=""),"",ROUNDUP(SUM(AM6:AO6),0))</f>
        <v>10</v>
      </c>
      <c r="AQ6" s="85">
        <f>IF(AND(AL6="",AP6=""),"",SUM(AL6,AP6))</f>
        <v>20</v>
      </c>
      <c r="AR6" s="85">
        <f>IF(MATHS!K6="","",MATHS!K6*50/MATHS!$K$6)</f>
        <v>50</v>
      </c>
      <c r="AS6" s="70">
        <f>IF(C6="TC","",IF(AND(AP6="",AR6="",AI6="",AG6="",AE6=""),"",ROUNDUP(SUM(AP6,AR6,AI6,AG6,AE6),0)))</f>
        <v>100</v>
      </c>
      <c r="AT6" s="70" t="str">
        <f>IF(AS6="","",IF((AS6)&lt;33,"E",IF(AND((AS6)&gt;=33,(AS6)&lt;41),"D",IF(AND((AS6)&gt;=41,(AS6)&lt;51),"C2",IF(AND((AS6)&gt;=51,(AS6)&lt;61),"C1",IF(AND((AS6)&gt;=61,(AS6)&lt;71),"B2",IF(AND((AS6)&gt;=71,(AS6)&lt;81),"B1",IF(AND((AS6)&gt;=81,(AS6)&lt;91),"A2",IF(AND((AS6)&gt;=91,(AS6)&lt;=100),"A1")))))))))</f>
        <v>A1</v>
      </c>
      <c r="AU6" s="70">
        <f>IF(MATHS!O6="","",MATHS!O6*50/MATHS!$O$6)</f>
        <v>50</v>
      </c>
      <c r="AV6" s="70">
        <f>IF(AU6="","",IF(C6="TC","",IF(AND(AP6="",AR6="",AI6="",AG6="",AE6=""),"",ROUNDUP(SUM(AP6,AU6,AI6,AG6,AE6),0))))</f>
        <v>100</v>
      </c>
      <c r="AW6" s="70" t="str">
        <f>IF(AV6="","",IF((AV6)&lt;33,"E",IF(AND((AV6)&gt;=33,(AV6)&lt;41),"D",IF(AND((AV6)&gt;=41,(AV6)&lt;51),"C2",IF(AND((AV6)&gt;=51,(AV6)&lt;61),"C1",IF(AND((AV6)&gt;=61,(AV6)&lt;71),"B2",IF(AND((AV6)&gt;=71,(AV6)&lt;81),"B1",IF(AND((AV6)&gt;=81,(AV6)&lt;91),"A2",IF(AND((AV6)&gt;=91,(AV6)&lt;=100),"A1")))))))))</f>
        <v>A1</v>
      </c>
      <c r="AX6" s="70">
        <f>IF(PHYSICS!E7="","",PHYSICS!E7)</f>
        <v>10</v>
      </c>
      <c r="AY6" s="71">
        <f>IF(OR(AX6="",AX6="AB"),"",ROUNDUP((AX6/$AX$6)*10,0))</f>
        <v>10</v>
      </c>
      <c r="AZ6" s="70">
        <f>IF(PHYSICS!F7="","",PHYSICS!F7)</f>
        <v>70</v>
      </c>
      <c r="BA6" s="70">
        <f>IF(PHYSICS!G7="","",PHYSICS!G7)</f>
        <v>30</v>
      </c>
      <c r="BB6" s="70">
        <f>IF(AZ6="","",ROUNDUP((AZ6/$AZ$6)*21,0))</f>
        <v>21</v>
      </c>
      <c r="BC6" s="70">
        <f>IF(BA6="","",ROUNDUP((BA6/$BA$6)*9,0))</f>
        <v>9</v>
      </c>
      <c r="BD6" s="70">
        <f>IF(PHYSICS!H7="","",PHYSICS!H7)</f>
        <v>10</v>
      </c>
      <c r="BE6" s="70">
        <f>IF(BD6="","",ROUNDUP((BD6/$BD$6)*10,0))</f>
        <v>10</v>
      </c>
      <c r="BF6" s="70">
        <f>IF(PHYSICS!I7="","",PHYSICS!I7)</f>
        <v>70</v>
      </c>
      <c r="BG6" s="70">
        <f>IF(PHYSICS!J7="","",PHYSICS!J7)</f>
        <v>30</v>
      </c>
      <c r="BH6" s="70">
        <f>IF(BF6="","",ROUNDUP((BF6/$BF$6)*35,0))</f>
        <v>35</v>
      </c>
      <c r="BI6" s="70">
        <f>IF(BG6="","",ROUNDUP((BG6/$BG$6)*15,0))</f>
        <v>15</v>
      </c>
      <c r="BJ6" s="70">
        <f>IF(AND(AY6="",BB6="",BE6="",BH6=""),"",ROUNDUP(SUM(AY6,BB6,BE6,BH6),0))</f>
        <v>76</v>
      </c>
      <c r="BK6" s="70">
        <f>IF(AND(BC6="",BI6=""),"",ROUNDUP(SUM(BC6,BI6),0))</f>
        <v>24</v>
      </c>
      <c r="BL6" s="70">
        <f t="shared" ref="BL6:BL7" si="2">IF(OR(D6="TC",BJ6="",BK6=""),"",SUM(BJ6:BK6))</f>
        <v>100</v>
      </c>
      <c r="BM6" s="70" t="str">
        <f>IF(BL6="","",IF((BL6)&lt;33,"E",IF(AND((BL6)&gt;=33,(BL6)&lt;41),"D",IF(AND((BL6)&gt;=41,(BL6)&lt;51),"C2",IF(AND((BL6)&gt;=51,(BL6)&lt;61),"C1",IF(AND((BL6)&gt;=61,(BL6)&lt;71),"B2",IF(AND((BL6)&gt;=71,(BL6)&lt;81),"B1",IF(AND((BL6)&gt;=81,(BL6)&lt;91),"A2",IF(AND((BL6)&gt;=91,(BL6)&lt;=100),"A1")))))))))</f>
        <v>A1</v>
      </c>
      <c r="BN6" s="70">
        <f>IF(PHYSICS!M7="","",PHYSICS!M7*35/PHYSICS!$M$7)</f>
        <v>35</v>
      </c>
      <c r="BO6" s="70">
        <f>IF(OR(AU6="TC",BJ6="",BK6="",BN6=""),"",ROUNDUP(SUM(AY6,BB6,BE6,BN6,BK6),0))</f>
        <v>100</v>
      </c>
      <c r="BP6" s="70" t="str">
        <f>IF(BO6="","",IF((BO6)&lt;33,"E",IF(AND((BO6)&gt;=33,(BO6)&lt;41),"D",IF(AND((BO6)&gt;=41,(BO6)&lt;51),"C2",IF(AND((BO6)&gt;=51,(BO6)&lt;61),"C1",IF(AND((BO6)&gt;=61,(BO6)&lt;71),"B2",IF(AND((BO6)&gt;=71,(BO6)&lt;81),"B1",IF(AND((BO6)&gt;=81,(BO6)&lt;91),"A2",IF(AND((BO6)&gt;=91,(BO6)&lt;=100),"A1")))))))))</f>
        <v>A1</v>
      </c>
      <c r="BQ6" s="70">
        <f>IF(CHEMISTRY!E7="","",CHEMISTRY!E7)</f>
        <v>10</v>
      </c>
      <c r="BR6" s="70">
        <f>IF(BQ6="","",ROUNDUP((BQ6/$BQ$6)*10,0))</f>
        <v>10</v>
      </c>
      <c r="BS6" s="70">
        <f>IF(CHEMISTRY!F7="","",CHEMISTRY!F7)</f>
        <v>70</v>
      </c>
      <c r="BT6" s="70">
        <f>IF(CHEMISTRY!G7="","",CHEMISTRY!G7)</f>
        <v>30</v>
      </c>
      <c r="BU6" s="70">
        <f>IF(BS6="","",ROUNDUP((BS6/$BS$6)*21,0))</f>
        <v>21</v>
      </c>
      <c r="BV6" s="70">
        <f>IF(BT6="","",ROUNDUP((BT6/$BT$6)*9,0))</f>
        <v>9</v>
      </c>
      <c r="BW6" s="70">
        <f>IF(CHEMISTRY!H7="","",CHEMISTRY!H7)</f>
        <v>10</v>
      </c>
      <c r="BX6" s="70">
        <f>IF(BW6="","",ROUNDUP((BW6/$BW$6)*10,0))</f>
        <v>10</v>
      </c>
      <c r="BY6" s="70">
        <f>IF(CHEMISTRY!I7="","",CHEMISTRY!I7)</f>
        <v>70</v>
      </c>
      <c r="BZ6" s="70">
        <f>IF(CHEMISTRY!J7="","",CHEMISTRY!J7)</f>
        <v>30</v>
      </c>
      <c r="CA6" s="70">
        <f>IF(BY6="","",ROUNDUP((BY6/$BY$6)*35,0))</f>
        <v>35</v>
      </c>
      <c r="CB6" s="70">
        <f>IF(BZ6="","",ROUNDUP((BZ6/$BZ$6)*15,0))</f>
        <v>15</v>
      </c>
      <c r="CC6" s="70">
        <f>IF(AND(BR6="",BU6="",BX6="",CA6=""),"",ROUNDUP(SUM(BR6,BU6,BX6,CA6),0))</f>
        <v>76</v>
      </c>
      <c r="CD6" s="70">
        <f>IF(AND(BV6="",CB6=""),"",ROUNDUP(SUM(BV6,CB6),0))</f>
        <v>24</v>
      </c>
      <c r="CE6" s="70">
        <f t="shared" ref="CE6:CE7" si="3">IF(OR(D6="TC",CC6="",CD6=""),"",SUM(CC6,CD6))</f>
        <v>100</v>
      </c>
      <c r="CF6" s="70" t="str">
        <f>IF(CE6="","",IF((CE6)&lt;33,"E",IF(AND((CE6)&gt;=33,(CE6)&lt;41),"D",IF(AND((CE6)&gt;=41,(CE6)&lt;51),"C2",IF(AND((CE6)&gt;=51,(CE6)&lt;61),"C1",IF(AND((CE6)&gt;=61,(CE6)&lt;71),"B2",IF(AND((CE6)&gt;=71,(CE6)&lt;81),"B1",IF(AND((CE6)&gt;=81,(CE6)&lt;91),"A2",IF(AND((CE6)&gt;=91,(CE6)&lt;=100),"A1")))))))))</f>
        <v>A1</v>
      </c>
      <c r="CG6" s="70">
        <f>IF(CHEMISTRY!M7="","",CHEMISTRY!M7*35/CHEMISTRY!$M$7)</f>
        <v>35</v>
      </c>
      <c r="CH6" s="70">
        <f>IF(OR(BN6="TC",CC6="",CD6="",CG6=""),"",ROUNDUP(SUM(BR6,BU6,BX6,CG6,CD6),0))</f>
        <v>100</v>
      </c>
      <c r="CI6" s="70" t="str">
        <f>IF(CH6="","",IF((CH6)&lt;33,"E",IF(AND((CH6)&gt;=33,(CH6)&lt;41),"D",IF(AND((CH6)&gt;=41,(CH6)&lt;51),"C2",IF(AND((CH6)&gt;=51,(CH6)&lt;61),"C1",IF(AND((CH6)&gt;=61,(CH6)&lt;71),"B2",IF(AND((CH6)&gt;=71,(CH6)&lt;81),"B1",IF(AND((CH6)&gt;=81,(CH6)&lt;91),"A2",IF(AND((CH6)&gt;=91,(CH6)&lt;=100),"A1")))))))))</f>
        <v>A1</v>
      </c>
      <c r="CJ6" s="70">
        <f>IF(BIOLOGY!E7="","",BIOLOGY!E7)</f>
        <v>10</v>
      </c>
      <c r="CK6" s="70">
        <f>IF(CJ6="","",ROUNDUP((CJ6/$CJ$6)*10,0))</f>
        <v>10</v>
      </c>
      <c r="CL6" s="70">
        <f>IF(BIOLOGY!F7="","",BIOLOGY!F7)</f>
        <v>70</v>
      </c>
      <c r="CM6" s="70">
        <f>IF(BIOLOGY!G7="","",BIOLOGY!G7)</f>
        <v>30</v>
      </c>
      <c r="CN6" s="70">
        <f>IF(CL6="","",ROUNDUP((CL6/$CL$6)*21,0))</f>
        <v>21</v>
      </c>
      <c r="CO6" s="70">
        <f>IF(CM6="","",ROUNDUP((CM6/$CM$6)*9,0))</f>
        <v>9</v>
      </c>
      <c r="CP6" s="70">
        <f>IF(BIOLOGY!H7="","",BIOLOGY!H7)</f>
        <v>10</v>
      </c>
      <c r="CQ6" s="70">
        <f>IF(CP6="","",ROUNDUP((CP6/$CP$6)*10,0))</f>
        <v>10</v>
      </c>
      <c r="CR6" s="70">
        <f>IF(BIOLOGY!I7="","",BIOLOGY!I7)</f>
        <v>70</v>
      </c>
      <c r="CS6" s="70">
        <f>IF(BIOLOGY!J7="","",BIOLOGY!J7)</f>
        <v>30</v>
      </c>
      <c r="CT6" s="70">
        <f>IF(CR6="","",ROUNDUP((CR6/$CR$6)*35,0))</f>
        <v>35</v>
      </c>
      <c r="CU6" s="70">
        <f>IF(CS6="","",ROUNDUP((CS6/$CS$6)*15,0))</f>
        <v>15</v>
      </c>
      <c r="CV6" s="70">
        <f>IF(AND(CK6="",CN6="",CQ6="",CT6=""),"",ROUNDUP(SUM(CK6,CN6,CQ6,CT6),0))</f>
        <v>76</v>
      </c>
      <c r="CW6" s="70">
        <f>IF(AND(CO6="",CU6=""),"",ROUNDUP(SUM(CO6,CU6),0))</f>
        <v>24</v>
      </c>
      <c r="CX6" s="70">
        <f t="shared" ref="CX6" si="4">IF(OR(D6="TC",CV6="",CW6=""),"",SUM(CV6:CW6))</f>
        <v>100</v>
      </c>
      <c r="CY6" s="70" t="str">
        <f>IF(CX6="","",IF((CX6)&lt;33,"E",IF(AND((CX6)&gt;=33,(CX6)&lt;41),"D",IF(AND((CX6)&gt;=41,(CX6)&lt;51),"C2",IF(AND((CX6)&gt;=51,(CX6)&lt;61),"C1",IF(AND((CX6)&gt;=61,(CX6)&lt;71),"B2",IF(AND((CX6)&gt;=71,(CX6)&lt;81),"B1",IF(AND((CX6)&gt;=81,(CX6)&lt;91),"A2",IF(AND((CX6)&gt;=91,(CX6)&lt;=100),"A1")))))))))</f>
        <v>A1</v>
      </c>
      <c r="CZ6" s="70">
        <f>IF(BIOLOGY!M7="","",BIOLOGY!M7*35/BIOLOGY!$M$7)</f>
        <v>35</v>
      </c>
      <c r="DA6" s="70">
        <f>IF(OR(CG6="TC",CV6="",CW6="",CZ6=""),"",ROUNDUP(SUM(CK6,CN6,CQ6,CZ6,CW6),0))</f>
        <v>100</v>
      </c>
      <c r="DB6" s="70" t="str">
        <f>IF(DA6="","",IF((DA6)&lt;33,"E",IF(AND((DA6)&gt;=33,(DA6)&lt;41),"D",IF(AND((DA6)&gt;=41,(DA6)&lt;51),"C2",IF(AND((DA6)&gt;=51,(DA6)&lt;61),"C1",IF(AND((DA6)&gt;=61,(DA6)&lt;71),"B2",IF(AND((DA6)&gt;=71,(DA6)&lt;81),"B1",IF(AND((DA6)&gt;=81,(DA6)&lt;91),"A2",IF(AND((DA6)&gt;=91,(DA6)&lt;=100),"A1")))))))))</f>
        <v>A1</v>
      </c>
      <c r="DC6" s="70">
        <f>IF('PHY EDU '!E7="","",'PHY EDU '!E7)</f>
        <v>10</v>
      </c>
      <c r="DD6" s="70">
        <f>IF(DC6="","",ROUNDUP((DC6/$DC$6)*10,0))</f>
        <v>10</v>
      </c>
      <c r="DE6" s="70">
        <f>IF('PHY EDU '!F7="","",'PHY EDU '!F7)</f>
        <v>70</v>
      </c>
      <c r="DF6" s="70">
        <f>IF('PHY EDU '!G7="","",'PHY EDU '!G7)</f>
        <v>30</v>
      </c>
      <c r="DG6" s="70">
        <f>IF(DE6="","",ROUNDUP((DE6/$DE$6)*21,0))</f>
        <v>21</v>
      </c>
      <c r="DH6" s="70">
        <f>IF(DF6="","",ROUNDUP((DF6/$DF$6)*9,0))</f>
        <v>9</v>
      </c>
      <c r="DI6" s="70">
        <f>IF('PHY EDU '!H7="","",'PHY EDU '!H7)</f>
        <v>10</v>
      </c>
      <c r="DJ6" s="70">
        <f>IF(DI6="","",ROUNDUP((DI6/$DI$6)*10,0))</f>
        <v>10</v>
      </c>
      <c r="DK6" s="70">
        <f>IF('PHY EDU '!I7="","",'PHY EDU '!I7)</f>
        <v>70</v>
      </c>
      <c r="DL6" s="70">
        <f>IF('PHY EDU '!J7="","",'PHY EDU '!J7)</f>
        <v>30</v>
      </c>
      <c r="DM6" s="70">
        <f>IF(DK6="","",ROUNDUP((DK6/$DK$6)*35,0))</f>
        <v>35</v>
      </c>
      <c r="DN6" s="70">
        <f>IF(DL6="","",ROUNDUP((DL6/$DL$6)*15,0))</f>
        <v>15</v>
      </c>
      <c r="DO6" s="70">
        <f>IF(AND(DD6="",DG6="",DJ6="",DM6=""),"",ROUNDUP(SUM(DD6,DG6,DJ6,DM6),0))</f>
        <v>76</v>
      </c>
      <c r="DP6" s="70">
        <f>IF(AND(DH6="",DN6=""),"",ROUNDUP(SUM(DH6,DN6),0))</f>
        <v>24</v>
      </c>
      <c r="DQ6" s="70">
        <f t="shared" ref="DQ6:DQ7" si="5">IF(OR(D6="TC",DO6="",DP6=""),"",SUM(DO6:DP6))</f>
        <v>100</v>
      </c>
      <c r="DR6" s="70" t="str">
        <f>IF(DQ6="","",IF((DQ6)&lt;33,"E",IF(AND((DQ6)&gt;=33,(DQ6)&lt;41),"D",IF(AND((DQ6)&gt;=41,(DQ6)&lt;51),"C2",IF(AND((DQ6)&gt;=51,(DQ6)&lt;61),"C1",IF(AND((DQ6)&gt;=61,(DQ6)&lt;71),"B2",IF(AND((DQ6)&gt;=71,(DQ6)&lt;81),"B1",IF(AND((DQ6)&gt;=81,(DQ6)&lt;91),"A2",IF(AND((DQ6)&gt;=91,(DQ6)&lt;=100),"A1")))))))))</f>
        <v>A1</v>
      </c>
      <c r="DS6" s="70">
        <f>IF('PHY EDU '!M7="","",'PHY EDU '!M7*35/'PHY EDU '!$M$7)</f>
        <v>35</v>
      </c>
      <c r="DT6" s="70">
        <f>IF(OR(CZ6="TC",DO6="",DP6="",DS6=""),"",ROUNDUP(SUM(DD6,DG6,DJ6,DS6,DP6),0))</f>
        <v>100</v>
      </c>
      <c r="DU6" s="70" t="str">
        <f>IF(DT6="","",IF((DT6)&lt;33,"E",IF(AND((DT6)&gt;=33,(DT6)&lt;41),"D",IF(AND((DT6)&gt;=41,(DT6)&lt;51),"C2",IF(AND((DT6)&gt;=51,(DT6)&lt;61),"C1",IF(AND((DT6)&gt;=61,(DT6)&lt;71),"B2",IF(AND((DT6)&gt;=71,(DT6)&lt;81),"B1",IF(AND((DT6)&gt;=81,(DT6)&lt;91),"A2",IF(AND((DT6)&gt;=91,(DT6)&lt;=100),"A1")))))))))</f>
        <v>A1</v>
      </c>
      <c r="DV6" s="70">
        <v>100</v>
      </c>
      <c r="DW6" s="70">
        <v>100</v>
      </c>
      <c r="DX6" s="70">
        <v>100</v>
      </c>
      <c r="DY6" s="70">
        <v>100</v>
      </c>
      <c r="DZ6" s="70">
        <v>100</v>
      </c>
      <c r="EA6" s="70">
        <v>100</v>
      </c>
      <c r="EB6" s="70" t="s">
        <v>173</v>
      </c>
      <c r="EC6" s="70" t="s">
        <v>173</v>
      </c>
      <c r="ED6" s="70" t="s">
        <v>173</v>
      </c>
      <c r="EE6" s="70" t="s">
        <v>173</v>
      </c>
      <c r="EF6" s="70" t="s">
        <v>173</v>
      </c>
      <c r="EG6" s="70" t="s">
        <v>173</v>
      </c>
      <c r="EH6" s="70">
        <v>500</v>
      </c>
      <c r="EI6" s="70">
        <f>IF(EH6="","",EH6*100/$EH$6)</f>
        <v>100</v>
      </c>
      <c r="EJ6" s="70" t="str">
        <f>IF(EI6="","",IF((EI6)&lt;33,"E",IF(AND((EI6)&gt;=33,(EI6)&lt;41),"D",IF(AND((EI6)&gt;=41,(EI6)&lt;51),"C2",IF(AND((EI6)&gt;=51,(EI6)&lt;61),"C1",IF(AND((EI6)&gt;=61,(EI6)&lt;71),"B2",IF(AND((EI6)&gt;=71,(EI6)&lt;81),"B1",IF(AND((EI6)&gt;=81,(EI6)&lt;91),"A2",IF(AND((EI6)&gt;=91,(EI6)&lt;=100),"A1")))))))))</f>
        <v>A1</v>
      </c>
      <c r="EK6" s="70" t="str">
        <f>IF(D6="TC","",IF(FD6=0,"PASS",IF(FD6=1,"COMPARTMENT","FAIL")))</f>
        <v>PASS</v>
      </c>
      <c r="EL6" s="70" t="str">
        <f>(EH6/$EH$6)*100&amp;"%"</f>
        <v>100%</v>
      </c>
      <c r="EM6" s="70">
        <v>100</v>
      </c>
      <c r="EN6" s="70"/>
      <c r="EO6" s="70"/>
      <c r="EP6" s="88" t="str">
        <f>IF(Y6&gt;=33,"",$EP$4&amp;",")</f>
        <v/>
      </c>
      <c r="EQ6" s="88" t="str">
        <f>IF(AS6&gt;=33,"",$EQ$4&amp;",")</f>
        <v/>
      </c>
      <c r="ER6" s="88" t="str">
        <f>IF(OR(BJ6&lt;25,BK6&lt;8),$ER$4&amp;",","")</f>
        <v/>
      </c>
      <c r="ES6" s="88" t="str">
        <f>IF(OR(CC6&lt;25,CD6&lt;8),$ES$4&amp;",","")</f>
        <v/>
      </c>
      <c r="ET6" s="88" t="str">
        <f>IF(OR(CV6&lt;25,CW6&lt;8),$ET$4&amp;",","")</f>
        <v/>
      </c>
      <c r="EU6" s="88" t="str">
        <f>IF(OR(DO6&lt;25,DP6&lt;8),$EU$4&amp;",","")</f>
        <v/>
      </c>
      <c r="EV6" s="88"/>
      <c r="EW6" s="88"/>
      <c r="EX6" s="88"/>
      <c r="EY6" s="88"/>
      <c r="EZ6" s="88"/>
      <c r="FA6" s="88"/>
      <c r="FB6" s="88"/>
      <c r="FC6" s="70"/>
      <c r="FD6" s="70"/>
      <c r="FE6" s="70"/>
      <c r="FF6" s="70"/>
      <c r="FG6" s="70"/>
      <c r="FH6" s="70">
        <v>500</v>
      </c>
      <c r="FI6" s="70">
        <v>100</v>
      </c>
      <c r="FJ6" s="70" t="s">
        <v>173</v>
      </c>
      <c r="FK6" s="70"/>
      <c r="FL6" s="489">
        <v>100</v>
      </c>
      <c r="FM6" s="70" t="s">
        <v>173</v>
      </c>
    </row>
    <row r="7" spans="1:169" ht="28.5" customHeight="1" x14ac:dyDescent="0.3">
      <c r="A7" s="6"/>
      <c r="B7" s="25">
        <f>DATA!B5</f>
        <v>1</v>
      </c>
      <c r="C7" s="25">
        <f>IF(DATA!C5="","",DATA!C5)</f>
        <v>1101</v>
      </c>
      <c r="D7" s="25">
        <f>IF(DATA!D5="","",DATA!D5)</f>
        <v>1168</v>
      </c>
      <c r="E7" s="738" t="str">
        <f>IF(DATA!E5="","",DATA!E5)</f>
        <v>Devendra Sharma</v>
      </c>
      <c r="F7" s="738" t="str">
        <f>IF(DATA!F5="","",DATA!F5)</f>
        <v>Suresh Sharma</v>
      </c>
      <c r="G7" s="738" t="str">
        <f>IF(DATA!G5="","",DATA!G5)</f>
        <v>Devkanya Sharma</v>
      </c>
      <c r="H7" s="214">
        <f>IF(DATA!H5="","",DATA!H5)</f>
        <v>39287</v>
      </c>
      <c r="I7" s="214" t="str">
        <f>IF(DATA!I5="","",DATA!I5)</f>
        <v>BOY</v>
      </c>
      <c r="J7" s="214" t="str">
        <f>IF(DATA!J5="","",DATA!J5)</f>
        <v>GEN</v>
      </c>
      <c r="K7" s="214" t="str">
        <f>IF(DATA!K5="","",DATA!K5)</f>
        <v>BSNL OFFICE ,AMET,,313332</v>
      </c>
      <c r="L7" s="73">
        <f>IF(ENGLISH!E7="","",ENGLISH!E7)</f>
        <v>8</v>
      </c>
      <c r="M7" s="73">
        <f>IF(OR(L7="",L7="AB"),"",CEILING((L7/$L$6)*$M$6,1))</f>
        <v>4</v>
      </c>
      <c r="N7" s="73">
        <f>IF(ENGLISH!F7="","",ENGLISH!F7)</f>
        <v>61</v>
      </c>
      <c r="O7" s="73">
        <f>IF(OR(N7="",N7="AB"),"",CEILING((N7/$N$6)*$O$6,1))</f>
        <v>23</v>
      </c>
      <c r="P7" s="73">
        <f>IF(ENGLISH!G7="","",ENGLISH!G7)</f>
        <v>9</v>
      </c>
      <c r="Q7" s="73">
        <f>IF(OR(P7="",P7="AB"),"",CEILING((P7/$P$6)*$Q$6,1))</f>
        <v>5</v>
      </c>
      <c r="R7" s="73">
        <f>IF(ENGLISH!H7="","",ENGLISH!H7)</f>
        <v>5</v>
      </c>
      <c r="S7" s="73">
        <f>IF(ENGLISH!I7="","",ENGLISH!I7)</f>
        <v>5</v>
      </c>
      <c r="T7" s="73">
        <f>IF(ENGLISH!J7="","",ENGLISH!J7)</f>
        <v>5</v>
      </c>
      <c r="U7" s="73">
        <f>IF(ENGLISH!K7="","",ENGLISH!K7)</f>
        <v>5</v>
      </c>
      <c r="V7" s="73">
        <f t="shared" ref="V7" si="6">IF(AND(L7="",N7="",P7="",R7="",S7="",T7="",U7=""),"",ROUNDUP(SUM(R7:U7),0))</f>
        <v>20</v>
      </c>
      <c r="W7" s="81">
        <f>IF(ENGLISH!L7="","",ENGLISH!L7)</f>
        <v>0</v>
      </c>
      <c r="X7" s="73">
        <f>IF(OR(W7="",W7="AB"),"",CEILING((W7/$W$6)*$X$6,1))</f>
        <v>0</v>
      </c>
      <c r="Y7" s="73">
        <f t="shared" ref="Y7" si="7">IF(OR(D7="TC",V7="",W7=""),"",ROUNDUP(SUM(M7,Q7,V7,O7,X7),0))</f>
        <v>52</v>
      </c>
      <c r="Z7" s="73" t="str">
        <f t="shared" ref="Z7" si="8">IF(EP7="ENGLISH,","*",IF(Y7="","",IF((Y7)&lt;33,"E",IF(AND((Y7)&gt;=33,(Y7)&lt;41),"D",IF(AND((Y7)&gt;=41,(Y7)&lt;51),"C2",IF(AND((Y7)&gt;=51,(Y7)&lt;61),"C1",IF(AND((Y7)&gt;=61,(Y7)&lt;71),"B2",IF(AND((Y7)&gt;=71,(Y7)&lt;81),"B1",IF(AND((Y7)&gt;=81,(Y7)&lt;91),"A2",IF(AND((Y7)&gt;=91,(Y7)&lt;=100),"A1"))))))))))</f>
        <v>*</v>
      </c>
      <c r="AA7" s="73" t="str">
        <f>IF(ENGLISH!O7="","",ENGLISH!O7*40/ENGLISH!$O$6)</f>
        <v/>
      </c>
      <c r="AB7" s="73" t="str">
        <f t="shared" ref="AB7" si="9">IF(OR(D7="TC",V7="",W7="",AA7=""),"",ROUNDUP(SUM(M7,Q7,V7,O7,AA7),0))</f>
        <v/>
      </c>
      <c r="AC7" s="73" t="str">
        <f t="shared" ref="AC7" si="10">IF(AB7="","",IF((AB7)&lt;33,"E",IF(AND((AB7)&gt;=33,(AB7)&lt;41),"D",IF(AND((AB7)&gt;=41,(AB7)&lt;51),"C2",IF(AND((AB7)&gt;=51,(AB7)&lt;61),"C1",IF(AND((AB7)&gt;=61,(AB7)&lt;71),"B2",IF(AND((AB7)&gt;=71,(AB7)&lt;81),"B1",IF(AND((AB7)&gt;=81,(AB7)&lt;91),"A2",IF(AND((AB7)&gt;=91,(AB7)&lt;=100),"A1")))))))))</f>
        <v/>
      </c>
      <c r="AD7" s="74" t="str">
        <f>IF(MATHS!E7="","",MATHS!E7)</f>
        <v/>
      </c>
      <c r="AE7" s="643" t="str">
        <f>IF(OR(AD7="",AD7="AB"),"",CEILING((AD7/$L$6)*$AE$6,1))</f>
        <v/>
      </c>
      <c r="AF7" s="74" t="str">
        <f>IF(MATHS!F7="","",MATHS!F7)</f>
        <v/>
      </c>
      <c r="AG7" s="643" t="str">
        <f>IF(OR(AF7="AB",AF7=""),"",CEILING((AF7/$AF$6)*$AG$6,1))</f>
        <v/>
      </c>
      <c r="AH7" s="74" t="str">
        <f>IF(MATHS!G7="","",MATHS!G7)</f>
        <v/>
      </c>
      <c r="AI7" s="643" t="str">
        <f>IF(OR(AH7="",AH7="AB"),"",CEILING((AH7/$L$6)*$AI$6,1))</f>
        <v/>
      </c>
      <c r="AJ7" s="75" t="str">
        <f>IF(AE7="","",AE7)</f>
        <v/>
      </c>
      <c r="AK7" s="75" t="str">
        <f>IF(AI7="","",AI7)</f>
        <v/>
      </c>
      <c r="AL7" s="75" t="str">
        <f>IF(AND(AJ7="",AK7=""),"",SUM(AJ7:AK7))</f>
        <v/>
      </c>
      <c r="AM7" s="75" t="str">
        <f>IF(MATHS!H7="","",MATHS!H7)</f>
        <v/>
      </c>
      <c r="AN7" s="75" t="str">
        <f>IF(MATHS!I7="","",MATHS!I7)</f>
        <v/>
      </c>
      <c r="AO7" s="75" t="str">
        <f>IF(MATHS!J7="","",MATHS!J7)</f>
        <v/>
      </c>
      <c r="AP7" s="75" t="str">
        <f t="shared" ref="AP7" si="11">IF(AND(AM7="",AN7="",AO7=""),"",ROUNDUP(SUM(AM7:AO7),0))</f>
        <v/>
      </c>
      <c r="AQ7" s="75" t="str">
        <f t="shared" ref="AQ7" si="12">IF(AND(AL7="",AP7=""),"",SUM(AL7,AP7))</f>
        <v/>
      </c>
      <c r="AR7" s="75" t="str">
        <f>IF(MATHS!K7="","",CEILING(MATHS!K7*$AR$6/MATHS!$K$6,1))</f>
        <v/>
      </c>
      <c r="AS7" s="76" t="str">
        <f t="shared" ref="AS7" si="13">IF(C7="TC","",IF(AND(AP7="",AR7="",AI7="",AG7="",AE7=""),"",ROUNDUP(SUM(AP7,AR7,AI7,AG7,AE7),0)))</f>
        <v/>
      </c>
      <c r="AT7" s="76" t="str">
        <f>IF(EQ7="MATHS,","*",IF(AS7="","",IF((AS7)&lt;33,"E",IF(AND((AS7)&gt;=33,(AS7)&lt;41),"D",IF(AND((AS7)&gt;=41,(AS7)&lt;51),"C2",IF(AND((AS7)&gt;=51,(AS7)&lt;61),"C1",IF(AND((AS7)&gt;=61,(AS7)&lt;71),"B2",IF(AND((AS7)&gt;=71,(AS7)&lt;81),"B1",IF(AND((AS7)&gt;=81,(AS7)&lt;91),"A2",IF(AND((AS7)&gt;=91,(AS7)&lt;=100),"A1"))))))))))</f>
        <v/>
      </c>
      <c r="AU7" s="76" t="str">
        <f>IF(MATHS!O7="","",MATHS!O7*$AU$6/MATHS!$O$6)</f>
        <v/>
      </c>
      <c r="AV7" s="76" t="str">
        <f>IF(AU7="","",IF(C7="TC","",IF(AND(AP7="",AR7="",AI7="",AG7="",AE7=""),"",ROUNDUP(SUM(AP7,AU7,AI7,AG7,AE7),0))))</f>
        <v/>
      </c>
      <c r="AW7" s="76" t="str">
        <f>IF(AV7="","",IF((AV7)&lt;33,"E",IF(AND((AV7)&gt;=33,(AV7)&lt;41),"D",IF(AND((AV7)&gt;=41,(AV7)&lt;51),"C2",IF(AND((AV7)&gt;=51,(AV7)&lt;61),"C1",IF(AND((AV7)&gt;=61,(AV7)&lt;71),"B2",IF(AND((AV7)&gt;=71,(AV7)&lt;81),"B1",IF(AND((AV7)&gt;=81,(AV7)&lt;91),"A2",IF(AND((AV7)&gt;=91,(AV7)&lt;=100),"A1")))))))))</f>
        <v/>
      </c>
      <c r="AX7" s="73">
        <f>IF(PHYSICS!E8="","",PHYSICS!E8)</f>
        <v>9</v>
      </c>
      <c r="AY7" s="644">
        <f>IF(OR(AX7="",AX7="AB"),"",CEILING((AX7*$AY$6/$AX$6),1))</f>
        <v>9</v>
      </c>
      <c r="AZ7" s="73">
        <f>IF(PHYSICS!F8="","",PHYSICS!F8)</f>
        <v>62</v>
      </c>
      <c r="BA7" s="73">
        <f>IF(PHYSICS!G8="","",PHYSICS!G8)</f>
        <v>29</v>
      </c>
      <c r="BB7" s="73">
        <f>IF(OR(AZ7="AB",AZ7=""),"",ROUNDUP((AZ7/$AZ$6)*$BB$6,0))</f>
        <v>19</v>
      </c>
      <c r="BC7" s="73">
        <f>IF(OR(BA7="AB",BA7=""),"",ROUNDUP((BA7/$BA$6)*$BC$6,0))</f>
        <v>9</v>
      </c>
      <c r="BD7" s="73">
        <f>IF(PHYSICS!H8="","",PHYSICS!H8)</f>
        <v>10</v>
      </c>
      <c r="BE7" s="645">
        <f>IF(OR(BD7="AB",BD7=""),"",(BD7/$BD$6)*$BE$6)</f>
        <v>10</v>
      </c>
      <c r="BF7" s="73">
        <f>IF(PHYSICS!I8="","",PHYSICS!I8)</f>
        <v>35</v>
      </c>
      <c r="BG7" s="73">
        <f>IF(PHYSICS!J8="","",PHYSICS!J8)</f>
        <v>29</v>
      </c>
      <c r="BH7" s="73">
        <f>IF(OR(BF7="AB",BF7=""),"",ROUNDUP((BF7/$BF$6)*$BH$6,0))</f>
        <v>18</v>
      </c>
      <c r="BI7" s="73">
        <f>IF(OR(BG7="AB",BG7=""),"",ROUNDUP((BG7/$BG$6)*$BI$6,0))</f>
        <v>15</v>
      </c>
      <c r="BJ7" s="73">
        <f>IF(AND(AY7="",BB7="",BE7="",BH7=""),"",ROUNDUP(SUM(AY7,BB7,BE7,BH7),0))</f>
        <v>56</v>
      </c>
      <c r="BK7" s="73">
        <f>IF(AND(BC7="",BI7=""),"",ROUNDUP(SUM(BC7,BI7),0))</f>
        <v>24</v>
      </c>
      <c r="BL7" s="73">
        <f t="shared" si="2"/>
        <v>80</v>
      </c>
      <c r="BM7" s="73" t="str">
        <f>IF(ER7="PHYSICS ,","*",IF(BL7="","",IF((BL7)&lt;33,"E",IF(AND((BL7)&gt;=33,(BL7)&lt;41),"D",IF(AND((BL7)&gt;=41,(BL7)&lt;51),"C2",IF(AND((BL7)&gt;=51,(BL7)&lt;61),"C1",IF(AND((BL7)&gt;=61,(BL7)&lt;71),"B2",IF(AND((BL7)&gt;=71,(BL7)&lt;81),"B1",IF(AND((BL7)&gt;=81,(BL7)&lt;91),"A2",IF(AND((BL7)&gt;=91,(BL7)&lt;=100),"A1"))))))))))</f>
        <v>B1</v>
      </c>
      <c r="BN7" s="73" t="str">
        <f>IF(PHYSICS!M8="","",PHYSICS!M8*$BN$6/PHYSICS!$M$7)</f>
        <v/>
      </c>
      <c r="BO7" s="73" t="str">
        <f>IF(OR(AU7="TC",BJ7="",BK7="",BN7=""),"",ROUNDUP(SUM(AY7,BB7,BE7,BN7,BK7),0))</f>
        <v/>
      </c>
      <c r="BP7" s="73" t="str">
        <f>IF(BO7="","",IF((BO7)&lt;33,"E",IF(AND((BO7)&gt;=33,(BO7)&lt;41),"D",IF(AND((BO7)&gt;=41,(BO7)&lt;51),"C2",IF(AND((BO7)&gt;=51,(BO7)&lt;61),"C1",IF(AND((BO7)&gt;=61,(BO7)&lt;71),"B2",IF(AND((BO7)&gt;=71,(BO7)&lt;81),"B1",IF(AND((BO7)&gt;=81,(BO7)&lt;91),"A2",IF(AND((BO7)&gt;=91,(BO7)&lt;=100),"A1")))))))))</f>
        <v/>
      </c>
      <c r="BQ7" s="48">
        <f>IF(CHEMISTRY!E8="","",CHEMISTRY!E8)</f>
        <v>10</v>
      </c>
      <c r="BR7" s="646">
        <f>IF(OR(BQ7="",BQ7="AB"),"",CEILING((BQ7*$BR$6/$AX$6),1))</f>
        <v>10</v>
      </c>
      <c r="BS7" s="48">
        <f>IF(CHEMISTRY!F8="","",CHEMISTRY!F8)</f>
        <v>62</v>
      </c>
      <c r="BT7" s="48">
        <f>IF(CHEMISTRY!G8="","",CHEMISTRY!G8)</f>
        <v>30</v>
      </c>
      <c r="BU7" s="48">
        <f>IF(OR(BS7="AB",BS7=""),"",ROUNDUP((BS7/$BS$6)*$BU$6,0))</f>
        <v>19</v>
      </c>
      <c r="BV7" s="48">
        <f>IF(OR(BT7="AB",BT7=""),"",ROUNDUP((BT7/$BT$6)*$BV$6,0))</f>
        <v>9</v>
      </c>
      <c r="BW7" s="48">
        <f>IF(CHEMISTRY!H8="","",CHEMISTRY!H8)</f>
        <v>10</v>
      </c>
      <c r="BX7" s="646">
        <f>IF(OR(BW7="",BW7="AB"),"",ROUND((BW7*$BX$6/$AX$6),0))</f>
        <v>10</v>
      </c>
      <c r="BY7" s="48">
        <f>IF(CHEMISTRY!I8="","",CHEMISTRY!I8)</f>
        <v>45</v>
      </c>
      <c r="BZ7" s="48">
        <f>IF(CHEMISTRY!J8="","",CHEMISTRY!J8)</f>
        <v>15</v>
      </c>
      <c r="CA7" s="48">
        <f>IF(OR(BY7="AB",BY7=""),"",ROUNDUP((BY7/$BY$6)*$CA$6,0))</f>
        <v>23</v>
      </c>
      <c r="CB7" s="48">
        <f>IF(OR(BZ7="AB",BZ7=""),"",ROUNDUP((BZ7/$BZ$6)*$CB$6,0))</f>
        <v>8</v>
      </c>
      <c r="CC7" s="48">
        <f>IF(AND(BR7="",BU7="",BX7="",CA7=""),"",ROUNDUP(SUM(BR7,BU7,BX7,CA7),0))</f>
        <v>62</v>
      </c>
      <c r="CD7" s="48">
        <f>IF(AND(BV7="",CB7=""),"",ROUNDUP(SUM(BV7,CB7),0))</f>
        <v>17</v>
      </c>
      <c r="CE7" s="48">
        <f t="shared" si="3"/>
        <v>79</v>
      </c>
      <c r="CF7" s="48" t="str">
        <f>IF(ES7="CHEMISTRY,","*",IF(CE7="","",IF((CE7)&lt;33,"E",IF(AND((CE7)&gt;=33,(CE7)&lt;41),"D",IF(AND((CE7)&gt;=41,(CE7)&lt;51),"C2",IF(AND((CE7)&gt;=51,(CE7)&lt;61),"C1",IF(AND((CE7)&gt;=61,(CE7)&lt;71),"B2",IF(AND((CE7)&gt;=71,(CE7)&lt;81),"B1",IF(AND((CE7)&gt;=81,(CE7)&lt;91),"A2",IF(AND((CE7)&gt;=91,(CE7)&lt;=100),"A1"))))))))))</f>
        <v>B1</v>
      </c>
      <c r="CG7" s="48" t="str">
        <f>IF(CHEMISTRY!M8="","",CHEMISTRY!M8*$CG$6/CHEMISTRY!$M$7)</f>
        <v/>
      </c>
      <c r="CH7" s="48" t="str">
        <f>IF(OR(BN7="TC",CC7="",CD7="",CG7=""),"",ROUNDUP(SUM(BR7,BU7,BX7,CG7,CD7),0))</f>
        <v/>
      </c>
      <c r="CI7" s="48" t="str">
        <f>IF(CH7="","",IF((CH7)&lt;33,"E",IF(AND((CH7)&gt;=33,(CH7)&lt;41),"D",IF(AND((CH7)&gt;=41,(CH7)&lt;51),"C2",IF(AND((CH7)&gt;=51,(CH7)&lt;61),"C1",IF(AND((CH7)&gt;=61,(CH7)&lt;71),"B2",IF(AND((CH7)&gt;=71,(CH7)&lt;81),"B1",IF(AND((CH7)&gt;=81,(CH7)&lt;91),"A2",IF(AND((CH7)&gt;=91,(CH7)&lt;=100),"A1")))))))))</f>
        <v/>
      </c>
      <c r="CJ7" s="73">
        <f>IF(BIOLOGY!E8="","",BIOLOGY!E8)</f>
        <v>10</v>
      </c>
      <c r="CK7" s="73">
        <f>IF(OR(CJ7="AB",CJ7=""),"",CEILING((CJ7/$CJ$6)*$CK$6,1))</f>
        <v>10</v>
      </c>
      <c r="CL7" s="73">
        <f>IF(BIOLOGY!F8="","",BIOLOGY!F8)</f>
        <v>65</v>
      </c>
      <c r="CM7" s="73">
        <f>IF(BIOLOGY!G8="","",BIOLOGY!G8)</f>
        <v>25</v>
      </c>
      <c r="CN7" s="73">
        <f>IF(OR(CL7="AB",CL7=""),"",CEILING((CL7/$CL$6)*$CN$6,1))</f>
        <v>20</v>
      </c>
      <c r="CO7" s="73">
        <f>IF(OR(CM7="AB",CM7=""),"",ROUNDUP((CM7/$CM$6)*$CO$6,0))</f>
        <v>8</v>
      </c>
      <c r="CP7" s="73">
        <f>IF(BIOLOGY!H8="","",BIOLOGY!H8)</f>
        <v>9</v>
      </c>
      <c r="CQ7" s="73">
        <f>IF(OR(CP7="AB",CP7=""),"",CEILING((CP7/$CP$6)*$CQ$6,1))</f>
        <v>9</v>
      </c>
      <c r="CR7" s="73">
        <f>IF(BIOLOGY!I8="","",BIOLOGY!I8)</f>
        <v>0</v>
      </c>
      <c r="CS7" s="73">
        <f>IF(BIOLOGY!J8="","",BIOLOGY!J8)</f>
        <v>23</v>
      </c>
      <c r="CT7" s="73">
        <f>IF(OR(CR7="AB",CR7=""),"",CEILING((CR7/$CR$6)*$CT$6,1))</f>
        <v>0</v>
      </c>
      <c r="CU7" s="73">
        <f>IF(OR(CS7="AB",CS7=""),"",ROUNDUP((CS7/$CS$6)*$CU$6,0))</f>
        <v>12</v>
      </c>
      <c r="CV7" s="73">
        <f t="shared" ref="CV7" si="14">IF(AND(CK7="",CN7="",CQ7="",CT7=""),"",ROUNDUP(SUM(CK7,CN7,CQ7,CT7),0))</f>
        <v>39</v>
      </c>
      <c r="CW7" s="73">
        <f t="shared" ref="CW7" si="15">IF(AND(CO7="",CU7=""),"",ROUNDUP(SUM(CO7,CU7),0))</f>
        <v>20</v>
      </c>
      <c r="CX7" s="73">
        <f t="shared" ref="CX7" si="16">IF(OR(D7="TC",CV7="",CW7=""),"",SUM(CV7:CW7))</f>
        <v>59</v>
      </c>
      <c r="CY7" s="73" t="str">
        <f t="shared" ref="CY7" si="17">IF(ET7="BIOLOGY ,","*",IF(CX7="","",IF((CX7)&lt;33,"E",IF(AND((CX7)&gt;=33,(CX7)&lt;41),"D",IF(AND((CX7)&gt;=41,(CX7)&lt;51),"C2",IF(AND((CX7)&gt;=51,(CX7)&lt;61),"C1",IF(AND((CX7)&gt;=61,(CX7)&lt;71),"B2",IF(AND((CX7)&gt;=71,(CX7)&lt;81),"B1",IF(AND((CX7)&gt;=81,(CX7)&lt;91),"A2",IF(AND((CX7)&gt;=91,(CX7)&lt;=100),"A1"))))))))))</f>
        <v>*</v>
      </c>
      <c r="CZ7" s="73" t="str">
        <f>IF(BIOLOGY!M8="","",CEILING((BIOLOGY!M8*$CZ$6/BIOLOGY!$M$7),1))</f>
        <v/>
      </c>
      <c r="DA7" s="73" t="str">
        <f t="shared" ref="DA7" si="18">IF(OR(CG7="TC",CV7="",CW7="",CZ7=""),"",ROUNDUP(SUM(CK7,CN7,CQ7,CZ7,CW7),0))</f>
        <v/>
      </c>
      <c r="DB7" s="73" t="str">
        <f t="shared" ref="DB7" si="19">IF(DA7="","",IF((DA7)&lt;33,"E",IF(AND((DA7)&gt;=33,(DA7)&lt;41),"D",IF(AND((DA7)&gt;=41,(DA7)&lt;51),"C2",IF(AND((DA7)&gt;=51,(DA7)&lt;61),"C1",IF(AND((DA7)&gt;=61,(DA7)&lt;71),"B2",IF(AND((DA7)&gt;=71,(DA7)&lt;81),"B1",IF(AND((DA7)&gt;=81,(DA7)&lt;91),"A2",IF(AND((DA7)&gt;=91,(DA7)&lt;=100),"A1")))))))))</f>
        <v/>
      </c>
      <c r="DC7" s="76">
        <f>IF('PHY EDU '!E8="","",'PHY EDU '!E8)</f>
        <v>7</v>
      </c>
      <c r="DD7" s="647">
        <f>IF(OR(DC7="AB",DC7=""),"",CEILING((DC7/$DC$6)*$DD$6,1))</f>
        <v>7</v>
      </c>
      <c r="DE7" s="76">
        <f>IF('PHY EDU '!F8="","",'PHY EDU '!F8)</f>
        <v>54</v>
      </c>
      <c r="DF7" s="76">
        <f>IF('PHY EDU '!G8="","",'PHY EDU '!G8)</f>
        <v>30</v>
      </c>
      <c r="DG7" s="76">
        <f>IF(OR(DE7="AB",DE7=""),"",CEILING((DE7/$DE$6)*$DG$6,1))</f>
        <v>17</v>
      </c>
      <c r="DH7" s="76">
        <f>IF(OR(DF7="AB",DF7=""),"",ROUNDUP((DF7/$DF$6)*$DH$6,0))</f>
        <v>9</v>
      </c>
      <c r="DI7" s="76">
        <f>IF('PHY EDU '!H8="","",'PHY EDU '!H8)</f>
        <v>9</v>
      </c>
      <c r="DJ7" s="647">
        <f>IF(OR(DI7="AB",DI7=""),"",CEILING((DI7/$DI$6)*$DJ$6,1))</f>
        <v>9</v>
      </c>
      <c r="DK7" s="76">
        <f>IF('PHY EDU '!I8="","",'PHY EDU '!I8)</f>
        <v>60</v>
      </c>
      <c r="DL7" s="76">
        <f>IF('PHY EDU '!J8="","",'PHY EDU '!J8)</f>
        <v>25</v>
      </c>
      <c r="DM7" s="76">
        <f>IF(OR(DK7="AB",DK7=""),"",CEILING((DK7/$DK$6)*$DM$6,1))</f>
        <v>30</v>
      </c>
      <c r="DN7" s="76">
        <f>IF(OR(DL7="AB",DL7=""),"",ROUNDUP((DL7/$DL$6)*$DN$6,0))</f>
        <v>13</v>
      </c>
      <c r="DO7" s="76">
        <f>IF(AND(DD7="",DG7="",DJ7="",DM7=""),"",ROUNDUP(SUM(DD7,DG7,DJ7,DM7),0))</f>
        <v>63</v>
      </c>
      <c r="DP7" s="76">
        <f>IF(AND(DH7="",DN7=""),"",ROUNDUP(SUM(DH7,DN7),0))</f>
        <v>22</v>
      </c>
      <c r="DQ7" s="76">
        <f t="shared" si="5"/>
        <v>85</v>
      </c>
      <c r="DR7" s="76" t="str">
        <f>IF(EU7="PHYSICAL EDUCATION ,","*",IF(DQ7="","",IF((DQ7)&lt;33,"E",IF(AND((DQ7)&gt;=33,(DQ7)&lt;41),"D",IF(AND((DQ7)&gt;=41,(DQ7)&lt;51),"C2",IF(AND((DQ7)&gt;=51,(DQ7)&lt;61),"C1",IF(AND((DQ7)&gt;=61,(DQ7)&lt;71),"B2",IF(AND((DQ7)&gt;=71,(DQ7)&lt;81),"B1",IF(AND((DQ7)&gt;=81,(DQ7)&lt;91),"A2",IF(AND((DQ7)&gt;=91,(DQ7)&lt;=100),"A1"))))))))))</f>
        <v>A2</v>
      </c>
      <c r="DS7" s="76" t="str">
        <f>IF('PHY EDU '!M8="","",ROUNDUP('PHY EDU '!M8*$DS$6/'PHY EDU '!$M$7,0))</f>
        <v/>
      </c>
      <c r="DT7" s="76" t="str">
        <f>IF(OR(CZ7="TC",DO7="",DP7="",DS7=""),"",ROUNDUP(SUM(DD7,DG7,DJ7,DS7,DP7),0))</f>
        <v/>
      </c>
      <c r="DU7" s="76" t="str">
        <f>IF(DT7="","",IF((DT7)&lt;33,"E",IF(AND((DT7)&gt;=33,(DT7)&lt;41),"D",IF(AND((DT7)&gt;=41,(DT7)&lt;51),"C2",IF(AND((DT7)&gt;=51,(DT7)&lt;61),"C1",IF(AND((DT7)&gt;=61,(DT7)&lt;71),"B2",IF(AND((DT7)&gt;=71,(DT7)&lt;81),"B1",IF(AND((DT7)&gt;=81,(DT7)&lt;91),"A2",IF(AND((DT7)&gt;=91,(DT7)&lt;=100),"A1")))))))))</f>
        <v/>
      </c>
      <c r="DV7" s="72" t="str">
        <f t="shared" ref="DV7:DV29" si="20">IF(C7="","",IF(EP7="",Y7,""))</f>
        <v/>
      </c>
      <c r="DW7" s="72" t="str">
        <f t="shared" ref="DW7:DW29" si="21">IF(C7="","",IF(EQ7="",AS7,""))</f>
        <v/>
      </c>
      <c r="DX7" s="72">
        <f t="shared" ref="DX7:DX29" si="22">IF(C7="","",IF(ER7="",BL7,""))</f>
        <v>80</v>
      </c>
      <c r="DY7" s="72">
        <f t="shared" ref="DY7:DY29" si="23">IF(C7="","",IF(ES7="",CE7,""))</f>
        <v>79</v>
      </c>
      <c r="DZ7" s="72" t="str">
        <f t="shared" ref="DZ7:DZ29" si="24">IF(C7="","",IF(ET7="",CX7,""))</f>
        <v/>
      </c>
      <c r="EA7" s="72">
        <f t="shared" ref="EA7:EA29" si="25">IF(C7="","",IF(EU7="",DQ7,""))</f>
        <v>85</v>
      </c>
      <c r="EB7" s="76" t="str">
        <f t="shared" ref="EB7:EB29" si="26">IF(C7="","",IF(EP7="",Z7,""))</f>
        <v/>
      </c>
      <c r="EC7" s="76" t="str">
        <f t="shared" ref="EC7:EC29" si="27">IF(C7="","",IF(EQ7="",AT7,""))</f>
        <v/>
      </c>
      <c r="ED7" s="76" t="str">
        <f t="shared" ref="ED7:ED29" si="28">IF(C7="","",IF(ER7="",BM7,""))</f>
        <v>B1</v>
      </c>
      <c r="EE7" s="76" t="str">
        <f t="shared" ref="EE7:EE29" si="29">IF(C7="","",IF(ES7="",CF7,""))</f>
        <v>B1</v>
      </c>
      <c r="EF7" s="76" t="str">
        <f t="shared" ref="EF7:EF29" si="30">IF(C7="","",IF(ET7="",CY7,""))</f>
        <v/>
      </c>
      <c r="EG7" s="76" t="str">
        <f t="shared" ref="EG7:EG29" si="31">IF(C7="","",IF(EU7="",DR7,""))</f>
        <v>A2</v>
      </c>
      <c r="EH7" s="77" t="str">
        <f t="shared" ref="EH7:EH29" si="32">IF(EK7="PASS",SUM(Y7,AS7,BL7,CE7,CX7,DQ7),"")</f>
        <v/>
      </c>
      <c r="EI7" s="495" t="str">
        <f>IF(EH7="","",ROUNDUP(EH7*100/$EH$6,0))</f>
        <v/>
      </c>
      <c r="EJ7" s="86" t="str">
        <f>IF(EI7="","",IF((EI7)&lt;33,"E",IF(AND((EI7)&gt;=33,(EI7)&lt;41),"D",IF(AND((EI7)&gt;=41,(EI7)&lt;51),"C2",IF(AND((EI7)&gt;=51,(EI7)&lt;61),"C1",IF(AND((EI7)&gt;=61,(EI7)&lt;71),"B2",IF(AND((EI7)&gt;=71,(EI7)&lt;81),"B1",IF(AND((EI7)&gt;=81,(EI7)&lt;91),"A2",IF(AND((EI7)&gt;=91,(EI7)&lt;=100),"A1")))))))))</f>
        <v/>
      </c>
      <c r="EK7" s="78" t="str">
        <f t="shared" ref="EK7:EK29" si="33">IF(C7="","",IF(C7="TC","",IF(AND(FD7=0,FC7=0),"PASS",IF(AND(FD7&lt;=1,FC7&lt;=1),"COMPARTMENT","FAIL"))))</f>
        <v>COMPARTMENT</v>
      </c>
      <c r="EL7" s="79" t="str">
        <f>IFERROR(ROUNDUP((EH7/$EH$6)*100,2)&amp;"%","")</f>
        <v/>
      </c>
      <c r="EM7" s="139" t="str">
        <f t="shared" ref="EM7:EM29" si="34">IF(C7="TC","",IF(EK7="","",IF(OR(EK7="COMPARTMENT",EK7="FAIL"),"",(EH7*100/$EH$6))))</f>
        <v/>
      </c>
      <c r="EN7" s="77" t="str">
        <f>IF(EM7="","",SUMPRODUCT((EM7&lt;EM$7:EM$51)/COUNTIF(EM$7:EM$51,EM$7:EM$51)))</f>
        <v/>
      </c>
      <c r="EO7" s="77" t="str">
        <f>IF(EN7="","",ATTENDANCE!Q8&amp;"/"&amp;ATTENDANCE!$Q$7)</f>
        <v/>
      </c>
      <c r="EP7" s="80" t="str">
        <f t="shared" ref="EP7:EP29" si="35">IF(C7="","",IF(C7="TC","",IF(AND(V7&gt;=6,W7&gt;=26,Y7&gt;=33),"",$EP$4&amp;",")))</f>
        <v>ENGLISH,</v>
      </c>
      <c r="EQ7" s="80" t="str">
        <f>IF(C7="","",IF(C7="TC","",IF(AND(AQ7&gt;=6.6,AR7&gt;=16.5,AS7&gt;=33),"",$EQ$4&amp;",")))</f>
        <v/>
      </c>
      <c r="ER7" s="80" t="str">
        <f>IF(C7="","",IF(C7="TC","",IF(AND(BJ7&gt;=25,BK7&gt;=8,BL7&gt;=33,BF7&gt;=23),"",$ER$4&amp;",")))</f>
        <v/>
      </c>
      <c r="ES7" s="80" t="str">
        <f>IF(C7="","",IF(C7="TC","",IF(AND(CC7&gt;=25,CD7&gt;=8,CE7&gt;=33,BY7&gt;=23),"",$ES$4&amp;",")))</f>
        <v/>
      </c>
      <c r="ET7" s="80" t="str">
        <f>IF(C7="","",IF(C7="TC","",IF(AND(CV7&gt;=25,CW7&gt;=8,CX7&gt;=33,CR7&gt;=23),"",$ET$4&amp;",")))</f>
        <v>BIOLOGY ,</v>
      </c>
      <c r="EU7" s="80" t="str">
        <f>IF(C7="","",IF(C7="TC","",IF(AND(DO7&gt;=25,DP7&gt;=8,DQ7&gt;=33,DO7&gt;=23),"",$EU$4&amp;",")))</f>
        <v/>
      </c>
      <c r="EV7" s="492" t="str">
        <f>IF(C7="","",EP7&amp;EQ7&amp;ER7&amp;ES7&amp;ET7&amp;EU7)</f>
        <v>ENGLISH,BIOLOGY ,</v>
      </c>
      <c r="EW7" s="129" t="str">
        <f t="shared" ref="EW7:EW29" si="36">IF(AA7="",EP7,IF(EW7&gt;=26,"",EP7))</f>
        <v>ENGLISH,</v>
      </c>
      <c r="EX7" s="129" t="str">
        <f>IF(AU7="",EQ7,IF(AU7&gt;=26,"",EQ7))</f>
        <v/>
      </c>
      <c r="EY7" s="129" t="str">
        <f>IF(BN7="",ER7,IF(BN7&gt;=12,"",ER7))</f>
        <v/>
      </c>
      <c r="EZ7" s="129" t="str">
        <f>IF(CG7="",ES7,IF(CG7&gt;=12,"",ES7))</f>
        <v/>
      </c>
      <c r="FA7" s="129" t="str">
        <f>IF(CZ7="",ET7,IF(CZ7&gt;=12,"",ET7))</f>
        <v>BIOLOGY ,</v>
      </c>
      <c r="FB7" s="129" t="str">
        <f>IF(DS7="",EU7,IF(DS7&gt;=12,"",EU7))</f>
        <v/>
      </c>
      <c r="FC7" s="80">
        <f t="shared" ref="FC7:FC29" si="37">IF(C7="","",1-COUNTBLANK(EP7))</f>
        <v>1</v>
      </c>
      <c r="FD7" s="80">
        <f t="shared" ref="FD7:FD29" si="38">IF(C7="","",5-COUNTBLANK(EQ7:EU7))</f>
        <v>1</v>
      </c>
      <c r="FE7" s="80">
        <f t="shared" ref="FE7:FE29" si="39">IF(OR(C7="",C7="TC"),"",6-COUNTBLANK(EW7:FB7))</f>
        <v>2</v>
      </c>
      <c r="FF7" s="488" t="str">
        <f>IF(C7="","",EW7&amp;EX7&amp;EY7&amp;EZ7&amp;FA7&amp;FB7)</f>
        <v>ENGLISH,BIOLOGY ,</v>
      </c>
      <c r="FG7" s="80" t="str">
        <f>IF(AND(AA7="",AU7="",BN7="",CG7="",CZ7="",DS7=""),"",IF(OR(EK7="PASS",EK7="",EK7="FAIL"),"",IF(FE7=0,"PASSED AFTER COMPARTMENT","FAIL")))</f>
        <v/>
      </c>
      <c r="FH7" s="80" t="str">
        <f>IF(FG7="PASSED AFTER COMPARTMENT",SUM(DV7:EA7,AB7,AV7,BO7,CH7,DA7,DT7),"")</f>
        <v/>
      </c>
      <c r="FI7" s="496" t="str">
        <f>IF(FH7="","",FH7*100/$FH$6)</f>
        <v/>
      </c>
      <c r="FJ7" s="140" t="str">
        <f t="shared" ref="FJ7:FJ29" si="40">IF(FI7="","",IF((FI7)&lt;33,"E",IF(AND((FI7)&gt;=33,(FI7)&lt;41),"D",IF(AND((FI7)&gt;=41,(FI7)&lt;51),"C2",IF(AND((FI7)&gt;=51,(FI7)&lt;61),"C1",IF(AND((FI7)&gt;=61,(FI7)&lt;71),"B2",IF(AND((FI7)&gt;=71,(FI7)&lt;81),"B1",IF(AND((FI7)&gt;=81,(FI7)&lt;91),"A2",IF(AND((FI7)&gt;=91,(FI7)&lt;=100),"A1")))))))))</f>
        <v/>
      </c>
      <c r="FK7" s="492" t="str">
        <f>IF(C7="","",EW7&amp;EX7&amp;EY7&amp;EZ7&amp;FA7&amp;FB7)</f>
        <v>ENGLISH,BIOLOGY ,</v>
      </c>
      <c r="FL7" s="490" t="str">
        <f>IF(FI7&lt;&gt;"", FI7, EM7)</f>
        <v/>
      </c>
      <c r="FM7" s="74" t="str">
        <f>IF(FJ7&lt;&gt;"", FJ7, EJ7)</f>
        <v/>
      </c>
    </row>
    <row r="8" spans="1:169" ht="28.5" customHeight="1" x14ac:dyDescent="0.3">
      <c r="A8" s="6"/>
      <c r="B8" s="25">
        <f>DATA!B6</f>
        <v>2</v>
      </c>
      <c r="C8" s="25">
        <f>IF(DATA!C6="","",DATA!C6)</f>
        <v>1102</v>
      </c>
      <c r="D8" s="25">
        <f>IF(DATA!D6="","",DATA!D6)</f>
        <v>714</v>
      </c>
      <c r="E8" s="738" t="str">
        <f>IF(DATA!E6="","",DATA!E6)</f>
        <v>DHARA SALVI</v>
      </c>
      <c r="F8" s="738" t="str">
        <f>IF(DATA!F6="","",DATA!F6)</f>
        <v>HITESH LAL</v>
      </c>
      <c r="G8" s="738" t="str">
        <f>IF(DATA!G6="","",DATA!G6)</f>
        <v>MEENA DEVI</v>
      </c>
      <c r="H8" s="214">
        <f>IF(DATA!H6="","",DATA!H6)</f>
        <v>39482</v>
      </c>
      <c r="I8" s="214" t="str">
        <f>IF(DATA!I6="","",DATA!I6)</f>
        <v>GIRL</v>
      </c>
      <c r="J8" s="214" t="str">
        <f>IF(DATA!J6="","",DATA!J6)</f>
        <v>SC</v>
      </c>
      <c r="K8" s="214" t="str">
        <f>IF(DATA!K6="","",DATA!K6)</f>
        <v>NADI DARWAJA,AMET,,313332</v>
      </c>
      <c r="L8" s="73">
        <f>IF(ENGLISH!E8="","",ENGLISH!E8)</f>
        <v>2</v>
      </c>
      <c r="M8" s="73">
        <f t="shared" ref="M8:M51" si="41">IF(OR(L8="",L8="AB"),"",CEILING((L8/$L$6)*$M$6,1))</f>
        <v>1</v>
      </c>
      <c r="N8" s="73">
        <f>IF(ENGLISH!F8="","",ENGLISH!F8)</f>
        <v>27</v>
      </c>
      <c r="O8" s="73">
        <f t="shared" ref="O8:O51" si="42">IF(OR(N8="",N8="AB"),"",CEILING((N8/$N$6)*$O$6,1))</f>
        <v>11</v>
      </c>
      <c r="P8" s="73">
        <f>IF(ENGLISH!G8="","",ENGLISH!G8)</f>
        <v>2</v>
      </c>
      <c r="Q8" s="73">
        <f t="shared" ref="Q8:Q51" si="43">IF(OR(P8="",P8="AB"),"",CEILING((P8/$P$6)*$Q$6,1))</f>
        <v>1</v>
      </c>
      <c r="R8" s="73">
        <f>IF(ENGLISH!H8="","",ENGLISH!H8)</f>
        <v>2</v>
      </c>
      <c r="S8" s="73">
        <f>IF(ENGLISH!I8="","",ENGLISH!I8)</f>
        <v>3</v>
      </c>
      <c r="T8" s="73">
        <f>IF(ENGLISH!J8="","",ENGLISH!J8)</f>
        <v>3</v>
      </c>
      <c r="U8" s="73">
        <f>IF(ENGLISH!K8="","",ENGLISH!K8)</f>
        <v>4</v>
      </c>
      <c r="V8" s="73">
        <f t="shared" ref="V8:V51" si="44">IF(AND(L8="",N8="",P8="",R8="",S8="",T8="",U8=""),"",ROUNDUP(SUM(R8:U8),0))</f>
        <v>12</v>
      </c>
      <c r="W8" s="81">
        <f>IF(ENGLISH!L8="","",ENGLISH!L8)</f>
        <v>32</v>
      </c>
      <c r="X8" s="73">
        <f t="shared" ref="X8:X51" si="45">IF(OR(W8="",W8="AB"),"",CEILING((W8/$W$6)*$X$6,1))</f>
        <v>16</v>
      </c>
      <c r="Y8" s="73">
        <f t="shared" ref="Y8:Y51" si="46">IF(OR(D8="TC",V8="",W8=""),"",ROUNDUP(SUM(M8,Q8,V8,O8,X8),0))</f>
        <v>41</v>
      </c>
      <c r="Z8" s="73" t="str">
        <f t="shared" ref="Z8:Z51" si="47">IF(EP8="ENGLISH,","*",IF(Y8="","",IF((Y8)&lt;33,"E",IF(AND((Y8)&gt;=33,(Y8)&lt;41),"D",IF(AND((Y8)&gt;=41,(Y8)&lt;51),"C2",IF(AND((Y8)&gt;=51,(Y8)&lt;61),"C1",IF(AND((Y8)&gt;=61,(Y8)&lt;71),"B2",IF(AND((Y8)&gt;=71,(Y8)&lt;81),"B1",IF(AND((Y8)&gt;=81,(Y8)&lt;91),"A2",IF(AND((Y8)&gt;=91,(Y8)&lt;=100),"A1"))))))))))</f>
        <v>C2</v>
      </c>
      <c r="AA8" s="73" t="str">
        <f>IF(ENGLISH!O8="","",ENGLISH!O8*40/ENGLISH!$O$6)</f>
        <v/>
      </c>
      <c r="AB8" s="73" t="str">
        <f t="shared" ref="AB8:AB51" si="48">IF(OR(D8="TC",V8="",W8="",AA8=""),"",ROUNDUP(SUM(M8,Q8,V8,O8,AA8),0))</f>
        <v/>
      </c>
      <c r="AC8" s="73" t="str">
        <f t="shared" ref="AC8:AC51" si="49">IF(AB8="","",IF((AB8)&lt;33,"E",IF(AND((AB8)&gt;=33,(AB8)&lt;41),"D",IF(AND((AB8)&gt;=41,(AB8)&lt;51),"C2",IF(AND((AB8)&gt;=51,(AB8)&lt;61),"C1",IF(AND((AB8)&gt;=61,(AB8)&lt;71),"B2",IF(AND((AB8)&gt;=71,(AB8)&lt;81),"B1",IF(AND((AB8)&gt;=81,(AB8)&lt;91),"A2",IF(AND((AB8)&gt;=91,(AB8)&lt;=100),"A1")))))))))</f>
        <v/>
      </c>
      <c r="AD8" s="74" t="str">
        <f>IF(MATHS!E8="","",MATHS!E8)</f>
        <v/>
      </c>
      <c r="AE8" s="643" t="str">
        <f t="shared" ref="AE8:AE51" si="50">IF(OR(AD8="",AD8="AB"),"",CEILING((AD8/$L$6)*$AE$6,1))</f>
        <v/>
      </c>
      <c r="AF8" s="74" t="str">
        <f>IF(MATHS!F8="","",MATHS!F8)</f>
        <v/>
      </c>
      <c r="AG8" s="643" t="str">
        <f t="shared" ref="AG8:AG51" si="51">IF(OR(AF8="AB",AF8=""),"",CEILING((AF8/$AF$6)*$AG$6,1))</f>
        <v/>
      </c>
      <c r="AH8" s="74" t="str">
        <f>IF(MATHS!G8="","",MATHS!G8)</f>
        <v/>
      </c>
      <c r="AI8" s="643" t="str">
        <f t="shared" ref="AI8:AI51" si="52">IF(OR(AH8="",AH8="AB"),"",CEILING((AH8/$L$6)*$AI$6,1))</f>
        <v/>
      </c>
      <c r="AJ8" s="75" t="str">
        <f t="shared" ref="AJ8:AJ51" si="53">IF(AE8="","",AE8)</f>
        <v/>
      </c>
      <c r="AK8" s="75" t="str">
        <f t="shared" ref="AK8:AK51" si="54">IF(AI8="","",AI8)</f>
        <v/>
      </c>
      <c r="AL8" s="75" t="str">
        <f t="shared" ref="AL8:AL51" si="55">IF(AND(AJ8="",AK8=""),"",SUM(AJ8:AK8))</f>
        <v/>
      </c>
      <c r="AM8" s="75" t="str">
        <f>IF(MATHS!H8="","",MATHS!H8)</f>
        <v/>
      </c>
      <c r="AN8" s="75" t="str">
        <f>IF(MATHS!I8="","",MATHS!I8)</f>
        <v/>
      </c>
      <c r="AO8" s="75" t="str">
        <f>IF(MATHS!J8="","",MATHS!J8)</f>
        <v/>
      </c>
      <c r="AP8" s="75" t="str">
        <f t="shared" ref="AP8:AP51" si="56">IF(AND(AM8="",AN8="",AO8=""),"",ROUNDUP(SUM(AM8:AO8),0))</f>
        <v/>
      </c>
      <c r="AQ8" s="75" t="str">
        <f t="shared" ref="AQ8:AQ51" si="57">IF(AND(AL8="",AP8=""),"",SUM(AL8,AP8))</f>
        <v/>
      </c>
      <c r="AR8" s="75" t="str">
        <f>IF(MATHS!K8="","",CEILING(MATHS!K8*$AR$6/MATHS!$K$6,1))</f>
        <v/>
      </c>
      <c r="AS8" s="76" t="str">
        <f t="shared" ref="AS8:AS51" si="58">IF(C8="TC","",IF(AND(AP8="",AR8="",AI8="",AG8="",AE8=""),"",ROUNDUP(SUM(AP8,AR8,AI8,AG8,AE8),0)))</f>
        <v/>
      </c>
      <c r="AT8" s="76" t="str">
        <f t="shared" ref="AT8:AT51" si="59">IF(EQ8="MATHS,","*",IF(AS8="","",IF((AS8)&lt;33,"E",IF(AND((AS8)&gt;=33,(AS8)&lt;41),"D",IF(AND((AS8)&gt;=41,(AS8)&lt;51),"C2",IF(AND((AS8)&gt;=51,(AS8)&lt;61),"C1",IF(AND((AS8)&gt;=61,(AS8)&lt;71),"B2",IF(AND((AS8)&gt;=71,(AS8)&lt;81),"B1",IF(AND((AS8)&gt;=81,(AS8)&lt;91),"A2",IF(AND((AS8)&gt;=91,(AS8)&lt;=100),"A1"))))))))))</f>
        <v/>
      </c>
      <c r="AU8" s="76" t="str">
        <f>IF(MATHS!O8="","",MATHS!O8*$AU$6/MATHS!$O$6)</f>
        <v/>
      </c>
      <c r="AV8" s="76" t="str">
        <f t="shared" ref="AV8:AV51" si="60">IF(AU8="","",IF(C8="TC","",IF(AND(AP8="",AR8="",AI8="",AG8="",AE8=""),"",ROUNDUP(SUM(AP8,AU8,AI8,AG8,AE8),0))))</f>
        <v/>
      </c>
      <c r="AW8" s="76" t="str">
        <f t="shared" ref="AW8:AW51" si="61">IF(AV8="","",IF((AV8)&lt;33,"E",IF(AND((AV8)&gt;=33,(AV8)&lt;41),"D",IF(AND((AV8)&gt;=41,(AV8)&lt;51),"C2",IF(AND((AV8)&gt;=51,(AV8)&lt;61),"C1",IF(AND((AV8)&gt;=61,(AV8)&lt;71),"B2",IF(AND((AV8)&gt;=71,(AV8)&lt;81),"B1",IF(AND((AV8)&gt;=81,(AV8)&lt;91),"A2",IF(AND((AV8)&gt;=91,(AV8)&lt;=100),"A1")))))))))</f>
        <v/>
      </c>
      <c r="AX8" s="73">
        <f>IF(PHYSICS!E9="","",PHYSICS!E9)</f>
        <v>5</v>
      </c>
      <c r="AY8" s="644">
        <f t="shared" ref="AY8:AY51" si="62">IF(OR(AX8="",AX8="AB"),"",CEILING((AX8*$AY$6/$AX$6),1))</f>
        <v>5</v>
      </c>
      <c r="AZ8" s="73">
        <f>IF(PHYSICS!F9="","",PHYSICS!F9)</f>
        <v>35</v>
      </c>
      <c r="BA8" s="73">
        <f>IF(PHYSICS!G9="","",PHYSICS!G9)</f>
        <v>28</v>
      </c>
      <c r="BB8" s="73">
        <f t="shared" ref="BB8:BB51" si="63">IF(OR(AZ8="AB",AZ8=""),"",ROUNDUP((AZ8/$AZ$6)*$BB$6,0))</f>
        <v>11</v>
      </c>
      <c r="BC8" s="73">
        <f t="shared" ref="BC8:BC51" si="64">IF(OR(BA8="AB",BA8=""),"",ROUNDUP((BA8/$BA$6)*$BC$6,0))</f>
        <v>9</v>
      </c>
      <c r="BD8" s="73">
        <f>IF(PHYSICS!H9="","",PHYSICS!H9)</f>
        <v>4</v>
      </c>
      <c r="BE8" s="645">
        <f t="shared" ref="BE8:BE51" si="65">IF(OR(BD8="AB",BD8=""),"",(BD8/$BD$6)*$BE$6)</f>
        <v>4</v>
      </c>
      <c r="BF8" s="73">
        <f>IF(PHYSICS!I9="","",PHYSICS!I9)</f>
        <v>60</v>
      </c>
      <c r="BG8" s="73">
        <f>IF(PHYSICS!J9="","",PHYSICS!J9)</f>
        <v>29</v>
      </c>
      <c r="BH8" s="73">
        <f t="shared" ref="BH8:BH51" si="66">IF(OR(BF8="AB",BF8=""),"",ROUNDUP((BF8/$BF$6)*$BH$6,0))</f>
        <v>30</v>
      </c>
      <c r="BI8" s="73">
        <f t="shared" ref="BI8:BI51" si="67">IF(OR(BG8="AB",BG8=""),"",ROUNDUP((BG8/$BG$6)*$BI$6,0))</f>
        <v>15</v>
      </c>
      <c r="BJ8" s="73">
        <f t="shared" ref="BJ8:BJ51" si="68">IF(AND(AY8="",BB8="",BE8="",BH8=""),"",ROUNDUP(SUM(AY8,BB8,BE8,BH8),0))</f>
        <v>50</v>
      </c>
      <c r="BK8" s="73">
        <f t="shared" ref="BK8:BK51" si="69">IF(AND(BC8="",BI8=""),"",ROUNDUP(SUM(BC8,BI8),0))</f>
        <v>24</v>
      </c>
      <c r="BL8" s="73">
        <f t="shared" ref="BL8:BL51" si="70">IF(OR(D8="TC",BJ8="",BK8=""),"",SUM(BJ8:BK8))</f>
        <v>74</v>
      </c>
      <c r="BM8" s="73" t="str">
        <f t="shared" ref="BM8:BM51" si="71">IF(ER8="PHYSICS ,","*",IF(BL8="","",IF((BL8)&lt;33,"E",IF(AND((BL8)&gt;=33,(BL8)&lt;41),"D",IF(AND((BL8)&gt;=41,(BL8)&lt;51),"C2",IF(AND((BL8)&gt;=51,(BL8)&lt;61),"C1",IF(AND((BL8)&gt;=61,(BL8)&lt;71),"B2",IF(AND((BL8)&gt;=71,(BL8)&lt;81),"B1",IF(AND((BL8)&gt;=81,(BL8)&lt;91),"A2",IF(AND((BL8)&gt;=91,(BL8)&lt;=100),"A1"))))))))))</f>
        <v>B1</v>
      </c>
      <c r="BN8" s="73" t="str">
        <f>IF(PHYSICS!M9="","",PHYSICS!M9*$BN$6/PHYSICS!$M$7)</f>
        <v/>
      </c>
      <c r="BO8" s="73" t="str">
        <f t="shared" ref="BO8:BO51" si="72">IF(OR(AU8="TC",BJ8="",BK8="",BN8=""),"",ROUNDUP(SUM(AY8,BB8,BE8,BN8,BK8),0))</f>
        <v/>
      </c>
      <c r="BP8" s="73" t="str">
        <f t="shared" ref="BP8:BP51" si="73">IF(BO8="","",IF((BO8)&lt;33,"E",IF(AND((BO8)&gt;=33,(BO8)&lt;41),"D",IF(AND((BO8)&gt;=41,(BO8)&lt;51),"C2",IF(AND((BO8)&gt;=51,(BO8)&lt;61),"C1",IF(AND((BO8)&gt;=61,(BO8)&lt;71),"B2",IF(AND((BO8)&gt;=71,(BO8)&lt;81),"B1",IF(AND((BO8)&gt;=81,(BO8)&lt;91),"A2",IF(AND((BO8)&gt;=91,(BO8)&lt;=100),"A1")))))))))</f>
        <v/>
      </c>
      <c r="BQ8" s="48">
        <f>IF(CHEMISTRY!E9="","",CHEMISTRY!E9)</f>
        <v>7</v>
      </c>
      <c r="BR8" s="646">
        <f t="shared" ref="BR8:BR51" si="74">IF(OR(BQ8="",BQ8="AB"),"",CEILING((BQ8*$BR$6/$AX$6),1))</f>
        <v>7</v>
      </c>
      <c r="BS8" s="48">
        <f>IF(CHEMISTRY!F9="","",CHEMISTRY!F9)</f>
        <v>35</v>
      </c>
      <c r="BT8" s="48">
        <f>IF(CHEMISTRY!G9="","",CHEMISTRY!G9)</f>
        <v>29</v>
      </c>
      <c r="BU8" s="48">
        <f t="shared" ref="BU8:BU51" si="75">IF(OR(BS8="AB",BS8=""),"",ROUNDUP((BS8/$BS$6)*$BU$6,0))</f>
        <v>11</v>
      </c>
      <c r="BV8" s="48">
        <f t="shared" ref="BV8:BV51" si="76">IF(OR(BT8="AB",BT8=""),"",ROUNDUP((BT8/$BT$6)*$BV$6,0))</f>
        <v>9</v>
      </c>
      <c r="BW8" s="48">
        <f>IF(CHEMISTRY!H9="","",CHEMISTRY!H9)</f>
        <v>10</v>
      </c>
      <c r="BX8" s="646">
        <f t="shared" ref="BX8:BX51" si="77">IF(OR(BW8="",BW8="AB"),"",ROUND((BW8*$BX$6/$AX$6),0))</f>
        <v>10</v>
      </c>
      <c r="BY8" s="48">
        <f>IF(CHEMISTRY!I9="","",CHEMISTRY!I9)</f>
        <v>25</v>
      </c>
      <c r="BZ8" s="48">
        <f>IF(CHEMISTRY!J9="","",CHEMISTRY!J9)</f>
        <v>30</v>
      </c>
      <c r="CA8" s="48">
        <f t="shared" ref="CA8:CA51" si="78">IF(OR(BY8="AB",BY8=""),"",ROUNDUP((BY8/$BY$6)*$CA$6,0))</f>
        <v>13</v>
      </c>
      <c r="CB8" s="48">
        <f t="shared" ref="CB8:CB51" si="79">IF(OR(BZ8="AB",BZ8=""),"",ROUNDUP((BZ8/$BZ$6)*$CB$6,0))</f>
        <v>15</v>
      </c>
      <c r="CC8" s="48">
        <f t="shared" ref="CC8:CC51" si="80">IF(AND(BR8="",BU8="",BX8="",CA8=""),"",ROUNDUP(SUM(BR8,BU8,BX8,CA8),0))</f>
        <v>41</v>
      </c>
      <c r="CD8" s="48">
        <f t="shared" ref="CD8:CD51" si="81">IF(AND(BV8="",CB8=""),"",ROUNDUP(SUM(BV8,CB8),0))</f>
        <v>24</v>
      </c>
      <c r="CE8" s="48">
        <f t="shared" ref="CE8:CE51" si="82">IF(OR(D8="TC",CC8="",CD8=""),"",SUM(CC8,CD8))</f>
        <v>65</v>
      </c>
      <c r="CF8" s="48" t="str">
        <f t="shared" ref="CF8:CF51" si="83">IF(ES8="CHEMISTRY,","*",IF(CE8="","",IF((CE8)&lt;33,"E",IF(AND((CE8)&gt;=33,(CE8)&lt;41),"D",IF(AND((CE8)&gt;=41,(CE8)&lt;51),"C2",IF(AND((CE8)&gt;=51,(CE8)&lt;61),"C1",IF(AND((CE8)&gt;=61,(CE8)&lt;71),"B2",IF(AND((CE8)&gt;=71,(CE8)&lt;81),"B1",IF(AND((CE8)&gt;=81,(CE8)&lt;91),"A2",IF(AND((CE8)&gt;=91,(CE8)&lt;=100),"A1"))))))))))</f>
        <v>B2</v>
      </c>
      <c r="CG8" s="48" t="str">
        <f>IF(CHEMISTRY!M9="","",CHEMISTRY!M9*$CG$6/CHEMISTRY!$M$7)</f>
        <v/>
      </c>
      <c r="CH8" s="48" t="str">
        <f t="shared" ref="CH8:CH51" si="84">IF(OR(BN8="TC",CC8="",CD8="",CG8=""),"",ROUNDUP(SUM(BR8,BU8,BX8,CG8,CD8),0))</f>
        <v/>
      </c>
      <c r="CI8" s="48" t="str">
        <f t="shared" ref="CI8:CI51" si="85">IF(CH8="","",IF((CH8)&lt;33,"E",IF(AND((CH8)&gt;=33,(CH8)&lt;41),"D",IF(AND((CH8)&gt;=41,(CH8)&lt;51),"C2",IF(AND((CH8)&gt;=51,(CH8)&lt;61),"C1",IF(AND((CH8)&gt;=61,(CH8)&lt;71),"B2",IF(AND((CH8)&gt;=71,(CH8)&lt;81),"B1",IF(AND((CH8)&gt;=81,(CH8)&lt;91),"A2",IF(AND((CH8)&gt;=91,(CH8)&lt;=100),"A1")))))))))</f>
        <v/>
      </c>
      <c r="CJ8" s="73" t="str">
        <f>IF(BIOLOGY!E9="","",BIOLOGY!E9)</f>
        <v/>
      </c>
      <c r="CK8" s="73" t="str">
        <f t="shared" ref="CK8:CK51" si="86">IF(OR(CJ8="AB",CJ8=""),"",CEILING((CJ8/$CJ$6)*$CK$6,1))</f>
        <v/>
      </c>
      <c r="CL8" s="73" t="str">
        <f>IF(BIOLOGY!F9="","",BIOLOGY!F9)</f>
        <v/>
      </c>
      <c r="CM8" s="73" t="str">
        <f>IF(BIOLOGY!G9="","",BIOLOGY!G9)</f>
        <v/>
      </c>
      <c r="CN8" s="73" t="str">
        <f t="shared" ref="CN8:CN51" si="87">IF(OR(CL8="AB",CL8=""),"",CEILING((CL8/$CL$6)*$CN$6,1))</f>
        <v/>
      </c>
      <c r="CO8" s="73" t="str">
        <f t="shared" ref="CO8:CO51" si="88">IF(OR(CM8="AB",CM8=""),"",ROUNDUP((CM8/$CM$6)*$CO$6,0))</f>
        <v/>
      </c>
      <c r="CP8" s="73" t="str">
        <f>IF(BIOLOGY!H9="","",BIOLOGY!H9)</f>
        <v/>
      </c>
      <c r="CQ8" s="73" t="str">
        <f t="shared" ref="CQ8:CQ51" si="89">IF(OR(CP8="AB",CP8=""),"",CEILING((CP8/$CP$6)*$CQ$6,1))</f>
        <v/>
      </c>
      <c r="CR8" s="73" t="str">
        <f>IF(BIOLOGY!I9="","",BIOLOGY!I9)</f>
        <v/>
      </c>
      <c r="CS8" s="73" t="str">
        <f>IF(BIOLOGY!J9="","",BIOLOGY!J9)</f>
        <v/>
      </c>
      <c r="CT8" s="73" t="str">
        <f t="shared" ref="CT8:CT51" si="90">IF(OR(CR8="AB",CR8=""),"",CEILING((CR8/$CR$6)*$CT$6,1))</f>
        <v/>
      </c>
      <c r="CU8" s="73" t="str">
        <f t="shared" ref="CU8:CU51" si="91">IF(OR(CS8="AB",CS8=""),"",ROUNDUP((CS8/$CS$6)*$CU$6,0))</f>
        <v/>
      </c>
      <c r="CV8" s="73" t="str">
        <f t="shared" ref="CV8:CV51" si="92">IF(AND(CK8="",CN8="",CQ8="",CT8=""),"",ROUNDUP(SUM(CK8,CN8,CQ8,CT8),0))</f>
        <v/>
      </c>
      <c r="CW8" s="73" t="str">
        <f t="shared" ref="CW8:CW51" si="93">IF(AND(CO8="",CU8=""),"",ROUNDUP(SUM(CO8,CU8),0))</f>
        <v/>
      </c>
      <c r="CX8" s="73" t="str">
        <f t="shared" ref="CX8:CX51" si="94">IF(OR(D8="TC",CV8="",CW8=""),"",SUM(CV8:CW8))</f>
        <v/>
      </c>
      <c r="CY8" s="73" t="str">
        <f t="shared" ref="CY8:CY51" si="95">IF(ET8="BIOLOGY ,","*",IF(CX8="","",IF((CX8)&lt;33,"E",IF(AND((CX8)&gt;=33,(CX8)&lt;41),"D",IF(AND((CX8)&gt;=41,(CX8)&lt;51),"C2",IF(AND((CX8)&gt;=51,(CX8)&lt;61),"C1",IF(AND((CX8)&gt;=61,(CX8)&lt;71),"B2",IF(AND((CX8)&gt;=71,(CX8)&lt;81),"B1",IF(AND((CX8)&gt;=81,(CX8)&lt;91),"A2",IF(AND((CX8)&gt;=91,(CX8)&lt;=100),"A1"))))))))))</f>
        <v/>
      </c>
      <c r="CZ8" s="73" t="str">
        <f>IF(BIOLOGY!M9="","",CEILING((BIOLOGY!M9*$CZ$6/BIOLOGY!$M$7),1))</f>
        <v/>
      </c>
      <c r="DA8" s="73" t="str">
        <f t="shared" ref="DA8:DA51" si="96">IF(OR(CG8="TC",CV8="",CW8="",CZ8=""),"",ROUNDUP(SUM(CK8,CN8,CQ8,CZ8,CW8),0))</f>
        <v/>
      </c>
      <c r="DB8" s="73" t="str">
        <f t="shared" ref="DB8:DB51" si="97">IF(DA8="","",IF((DA8)&lt;33,"E",IF(AND((DA8)&gt;=33,(DA8)&lt;41),"D",IF(AND((DA8)&gt;=41,(DA8)&lt;51),"C2",IF(AND((DA8)&gt;=51,(DA8)&lt;61),"C1",IF(AND((DA8)&gt;=61,(DA8)&lt;71),"B2",IF(AND((DA8)&gt;=71,(DA8)&lt;81),"B1",IF(AND((DA8)&gt;=81,(DA8)&lt;91),"A2",IF(AND((DA8)&gt;=91,(DA8)&lt;=100),"A1")))))))))</f>
        <v/>
      </c>
      <c r="DC8" s="76">
        <f>IF('PHY EDU '!E9="","",'PHY EDU '!E9)</f>
        <v>4</v>
      </c>
      <c r="DD8" s="647">
        <f t="shared" ref="DD8:DD51" si="98">IF(OR(DC8="AB",DC8=""),"",CEILING((DC8/$DC$6)*$DD$6,1))</f>
        <v>4</v>
      </c>
      <c r="DE8" s="76">
        <f>IF('PHY EDU '!F9="","",'PHY EDU '!F9)</f>
        <v>38</v>
      </c>
      <c r="DF8" s="76">
        <f>IF('PHY EDU '!G9="","",'PHY EDU '!G9)</f>
        <v>24</v>
      </c>
      <c r="DG8" s="76">
        <f t="shared" ref="DG8:DG51" si="99">IF(OR(DE8="AB",DE8=""),"",CEILING((DE8/$DE$6)*$DG$6,1))</f>
        <v>12</v>
      </c>
      <c r="DH8" s="76">
        <f t="shared" ref="DH8:DH51" si="100">IF(OR(DF8="AB",DF8=""),"",ROUNDUP((DF8/$DF$6)*$DH$6,0))</f>
        <v>8</v>
      </c>
      <c r="DI8" s="76">
        <f>IF('PHY EDU '!H9="","",'PHY EDU '!H9)</f>
        <v>3</v>
      </c>
      <c r="DJ8" s="647">
        <f t="shared" ref="DJ8:DJ51" si="101">IF(OR(DI8="AB",DI8=""),"",CEILING((DI8/$DI$6)*$DJ$6,1))</f>
        <v>3</v>
      </c>
      <c r="DK8" s="76">
        <f>IF('PHY EDU '!I9="","",'PHY EDU '!I9)</f>
        <v>41</v>
      </c>
      <c r="DL8" s="76">
        <f>IF('PHY EDU '!J9="","",'PHY EDU '!J9)</f>
        <v>24</v>
      </c>
      <c r="DM8" s="76">
        <f t="shared" ref="DM8:DM51" si="102">IF(OR(DK8="AB",DK8=""),"",CEILING((DK8/$DK$6)*$DM$6,1))</f>
        <v>21</v>
      </c>
      <c r="DN8" s="76">
        <f t="shared" ref="DN8:DN51" si="103">IF(OR(DL8="AB",DL8=""),"",ROUNDUP((DL8/$DL$6)*$DN$6,0))</f>
        <v>12</v>
      </c>
      <c r="DO8" s="76">
        <f t="shared" ref="DO8:DO51" si="104">IF(AND(DD8="",DG8="",DJ8="",DM8=""),"",ROUNDUP(SUM(DD8,DG8,DJ8,DM8),0))</f>
        <v>40</v>
      </c>
      <c r="DP8" s="76">
        <f t="shared" ref="DP8:DP51" si="105">IF(AND(DH8="",DN8=""),"",ROUNDUP(SUM(DH8,DN8),0))</f>
        <v>20</v>
      </c>
      <c r="DQ8" s="76">
        <f t="shared" ref="DQ8:DQ51" si="106">IF(OR(D8="TC",DO8="",DP8=""),"",SUM(DO8:DP8))</f>
        <v>60</v>
      </c>
      <c r="DR8" s="76" t="str">
        <f t="shared" ref="DR8:DR51" si="107">IF(EU8="PHYSICAL EDUCATION ,","*",IF(DQ8="","",IF((DQ8)&lt;33,"E",IF(AND((DQ8)&gt;=33,(DQ8)&lt;41),"D",IF(AND((DQ8)&gt;=41,(DQ8)&lt;51),"C2",IF(AND((DQ8)&gt;=51,(DQ8)&lt;61),"C1",IF(AND((DQ8)&gt;=61,(DQ8)&lt;71),"B2",IF(AND((DQ8)&gt;=71,(DQ8)&lt;81),"B1",IF(AND((DQ8)&gt;=81,(DQ8)&lt;91),"A2",IF(AND((DQ8)&gt;=91,(DQ8)&lt;=100),"A1"))))))))))</f>
        <v>C1</v>
      </c>
      <c r="DS8" s="76" t="str">
        <f>IF('PHY EDU '!M9="","",ROUNDUP('PHY EDU '!M9*$DS$6/'PHY EDU '!$M$7,0))</f>
        <v/>
      </c>
      <c r="DT8" s="76" t="str">
        <f t="shared" ref="DT8:DT51" si="108">IF(OR(CZ8="TC",DO8="",DP8="",DS8=""),"",ROUNDUP(SUM(DD8,DG8,DJ8,DS8,DP8),0))</f>
        <v/>
      </c>
      <c r="DU8" s="76" t="str">
        <f t="shared" ref="DU8:DU51" si="109">IF(DT8="","",IF((DT8)&lt;33,"E",IF(AND((DT8)&gt;=33,(DT8)&lt;41),"D",IF(AND((DT8)&gt;=41,(DT8)&lt;51),"C2",IF(AND((DT8)&gt;=51,(DT8)&lt;61),"C1",IF(AND((DT8)&gt;=61,(DT8)&lt;71),"B2",IF(AND((DT8)&gt;=71,(DT8)&lt;81),"B1",IF(AND((DT8)&gt;=81,(DT8)&lt;91),"A2",IF(AND((DT8)&gt;=91,(DT8)&lt;=100),"A1")))))))))</f>
        <v/>
      </c>
      <c r="DV8" s="72">
        <f t="shared" si="20"/>
        <v>41</v>
      </c>
      <c r="DW8" s="72" t="str">
        <f t="shared" si="21"/>
        <v/>
      </c>
      <c r="DX8" s="72">
        <f t="shared" si="22"/>
        <v>74</v>
      </c>
      <c r="DY8" s="72">
        <f t="shared" si="23"/>
        <v>65</v>
      </c>
      <c r="DZ8" s="72" t="str">
        <f t="shared" si="24"/>
        <v/>
      </c>
      <c r="EA8" s="72">
        <f t="shared" si="25"/>
        <v>60</v>
      </c>
      <c r="EB8" s="76" t="str">
        <f t="shared" si="26"/>
        <v>C2</v>
      </c>
      <c r="EC8" s="76" t="str">
        <f t="shared" si="27"/>
        <v/>
      </c>
      <c r="ED8" s="76" t="str">
        <f t="shared" si="28"/>
        <v>B1</v>
      </c>
      <c r="EE8" s="76" t="str">
        <f t="shared" si="29"/>
        <v>B2</v>
      </c>
      <c r="EF8" s="76" t="str">
        <f t="shared" si="30"/>
        <v/>
      </c>
      <c r="EG8" s="76" t="str">
        <f t="shared" si="31"/>
        <v>C1</v>
      </c>
      <c r="EH8" s="77">
        <f t="shared" si="32"/>
        <v>240</v>
      </c>
      <c r="EI8" s="495">
        <f t="shared" ref="EI8:EI29" si="110">IF(EH8="","",EH8*100/$EH$6)</f>
        <v>48</v>
      </c>
      <c r="EJ8" s="86" t="str">
        <f t="shared" ref="EJ8:EJ29" si="111">IF(EI8="","",IF((EI8)&lt;33,"E",IF(AND((EI8)&gt;=33,(EI8)&lt;41),"D",IF(AND((EI8)&gt;=41,(EI8)&lt;51),"C2",IF(AND((EI8)&gt;=51,(EI8)&lt;61),"C1",IF(AND((EI8)&gt;=61,(EI8)&lt;71),"B2",IF(AND((EI8)&gt;=71,(EI8)&lt;81),"B1",IF(AND((EI8)&gt;=81,(EI8)&lt;91),"A2",IF(AND((EI8)&gt;=91,(EI8)&lt;=100),"A1")))))))))</f>
        <v>C2</v>
      </c>
      <c r="EK8" s="78" t="str">
        <f t="shared" si="33"/>
        <v>PASS</v>
      </c>
      <c r="EL8" s="79" t="str">
        <f t="shared" ref="EL8:EL29" si="112">IFERROR(ROUNDUP((EH8/$EH$6)*100,2)&amp;"%","")</f>
        <v>48%</v>
      </c>
      <c r="EM8" s="139">
        <f t="shared" si="34"/>
        <v>48</v>
      </c>
      <c r="EN8" s="77">
        <f t="shared" ref="EN8:EN29" si="113">IF(EM8="","",SUMPRODUCT((EM8&lt;EM$7:EM$51)/COUNTIF(EM$7:EM$51,EM$7:EM$51)))</f>
        <v>2.0000000000000018</v>
      </c>
      <c r="EO8" s="77" t="str">
        <f>IF(EN8="","",ATTENDANCE!Q9&amp;"/"&amp;ATTENDANCE!$Q$7)</f>
        <v>216/342</v>
      </c>
      <c r="EP8" s="80" t="str">
        <f t="shared" si="35"/>
        <v/>
      </c>
      <c r="EQ8" s="80" t="str">
        <f t="shared" ref="EQ8:EQ29" si="114">IF(C8="","",IF(C8="TC","",IF(AND(AQ8&gt;=6.6,AR8&gt;=16.5,AS8&gt;=33),"",$EQ$4&amp;",")))</f>
        <v/>
      </c>
      <c r="ER8" s="80" t="str">
        <f t="shared" ref="ER8:ER29" si="115">IF(C8="","",IF(C8="TC","",IF(AND(BJ8&gt;=25,BK8&gt;=8,BL8&gt;=33,BF8&gt;=23),"",$ER$4&amp;",")))</f>
        <v/>
      </c>
      <c r="ES8" s="80" t="str">
        <f t="shared" ref="ES8:ES29" si="116">IF(C8="","",IF(C8="TC","",IF(AND(CC8&gt;=25,CD8&gt;=8,CE8&gt;=33,BY8&gt;=23),"",$ES$4&amp;",")))</f>
        <v/>
      </c>
      <c r="ET8" s="80" t="str">
        <f t="shared" ref="ET8:ET29" si="117">IF(C8="","",IF(C8="TC","",IF(AND(CV8&gt;=25,CW8&gt;=8,CX8&gt;=33,CR8&gt;=23),"",$ET$4&amp;",")))</f>
        <v/>
      </c>
      <c r="EU8" s="80" t="str">
        <f t="shared" ref="EU8:EU29" si="118">IF(C8="","",IF(C8="TC","",IF(AND(DO8&gt;=25,DP8&gt;=8,DQ8&gt;=33,DO8&gt;=23),"",$EU$4&amp;",")))</f>
        <v/>
      </c>
      <c r="EV8" s="492" t="str">
        <f t="shared" ref="EV8:EV29" si="119">IF(C8="","",EP8&amp;EQ8&amp;ER8&amp;ES8&amp;ET8&amp;EU8)</f>
        <v/>
      </c>
      <c r="EW8" s="129" t="str">
        <f t="shared" si="36"/>
        <v/>
      </c>
      <c r="EX8" s="129" t="str">
        <f t="shared" ref="EX8:EX29" si="120">IF(AU8="",EQ8,IF(AU8&gt;=26,"",EQ8))</f>
        <v/>
      </c>
      <c r="EY8" s="129" t="str">
        <f t="shared" ref="EY8:EY29" si="121">IF(BN8="",ER8,IF(BN8&gt;=12,"",ER8))</f>
        <v/>
      </c>
      <c r="EZ8" s="129" t="str">
        <f t="shared" ref="EZ8:EZ29" si="122">IF(CG8="",ES8,IF(CG8&gt;=12,"",ES8))</f>
        <v/>
      </c>
      <c r="FA8" s="129" t="str">
        <f t="shared" ref="FA8:FA29" si="123">IF(CZ8="",ET8,IF(CZ8&gt;=12,"",ET8))</f>
        <v/>
      </c>
      <c r="FB8" s="129" t="str">
        <f t="shared" ref="FB8:FB29" si="124">IF(DS8="",EU8,IF(DS8&gt;=12,"",EU8))</f>
        <v/>
      </c>
      <c r="FC8" s="80">
        <f t="shared" si="37"/>
        <v>0</v>
      </c>
      <c r="FD8" s="80">
        <f t="shared" si="38"/>
        <v>0</v>
      </c>
      <c r="FE8" s="80">
        <f t="shared" si="39"/>
        <v>0</v>
      </c>
      <c r="FF8" s="488" t="str">
        <f t="shared" ref="FF8:FF29" si="125">IF(C8="","",EW8&amp;EX8&amp;EY8&amp;EZ8&amp;FA8&amp;FB8)</f>
        <v/>
      </c>
      <c r="FG8" s="80" t="str">
        <f t="shared" ref="FG8:FG29" si="126">IF(AND(AA8="",AU8="",BN8="",CG8="",CZ8="",DS8=""),"",IF(OR(EK8="PASS",EK8="",EK8="FAIL"),"",IF(FE8=0,"PASSED AFTER COMPARTMENT","FAIL")))</f>
        <v/>
      </c>
      <c r="FH8" s="80" t="str">
        <f t="shared" ref="FH8:FH29" si="127">IF(FG8="PASSED AFTER COMPARTMENT",SUM(DV8:EA8,AB8,AV8,BO8,CH8,DA8,DT8),"")</f>
        <v/>
      </c>
      <c r="FI8" s="496" t="str">
        <f t="shared" ref="FI8:FI29" si="128">IF(FH8="","",FH8*100/$FH$6)</f>
        <v/>
      </c>
      <c r="FJ8" s="140" t="str">
        <f t="shared" si="40"/>
        <v/>
      </c>
      <c r="FK8" s="492" t="str">
        <f t="shared" ref="FK8:FK29" si="129">IF(C8="","",EW8&amp;EX8&amp;EY8&amp;EZ8&amp;FA8&amp;FB8)</f>
        <v/>
      </c>
      <c r="FL8" s="490">
        <f t="shared" ref="FL8:FL29" si="130">IF(FI8&lt;&gt;"", FI8, EM8)</f>
        <v>48</v>
      </c>
      <c r="FM8" s="74" t="str">
        <f t="shared" ref="FM8:FM29" si="131">IF(FJ8&lt;&gt;"", FJ8, EJ8)</f>
        <v>C2</v>
      </c>
    </row>
    <row r="9" spans="1:169" ht="28.5" customHeight="1" x14ac:dyDescent="0.3">
      <c r="A9" s="6"/>
      <c r="B9" s="25">
        <f>DATA!B7</f>
        <v>3</v>
      </c>
      <c r="C9" s="25">
        <f>IF(DATA!C7="","",DATA!C7)</f>
        <v>1103</v>
      </c>
      <c r="D9" s="25">
        <f>IF(DATA!D7="","",DATA!D7)</f>
        <v>710</v>
      </c>
      <c r="E9" s="738" t="str">
        <f>IF(DATA!E7="","",DATA!E7)</f>
        <v>HARSHIKA RAO</v>
      </c>
      <c r="F9" s="738" t="str">
        <f>IF(DATA!F7="","",DATA!F7)</f>
        <v>DEVI SINGH RAO</v>
      </c>
      <c r="G9" s="738" t="str">
        <f>IF(DATA!G7="","",DATA!G7)</f>
        <v>NIRMALA RAO</v>
      </c>
      <c r="H9" s="214">
        <f>IF(DATA!H7="","",DATA!H7)</f>
        <v>39223</v>
      </c>
      <c r="I9" s="214" t="str">
        <f>IF(DATA!I7="","",DATA!I7)</f>
        <v>GIRL</v>
      </c>
      <c r="J9" s="214" t="str">
        <f>IF(DATA!J7="","",DATA!J7)</f>
        <v>OBC</v>
      </c>
      <c r="K9" s="214" t="str">
        <f>IF(DATA!K7="","",DATA!K7)</f>
        <v>GUGLI, AIDANA,AMET,,313332</v>
      </c>
      <c r="L9" s="73">
        <f>IF(ENGLISH!E9="","",ENGLISH!E9)</f>
        <v>7</v>
      </c>
      <c r="M9" s="73">
        <f t="shared" si="41"/>
        <v>4</v>
      </c>
      <c r="N9" s="73">
        <f>IF(ENGLISH!F9="","",ENGLISH!F9)</f>
        <v>60</v>
      </c>
      <c r="O9" s="73">
        <f t="shared" si="42"/>
        <v>23</v>
      </c>
      <c r="P9" s="73">
        <f>IF(ENGLISH!G9="","",ENGLISH!G9)</f>
        <v>9</v>
      </c>
      <c r="Q9" s="73">
        <f t="shared" si="43"/>
        <v>5</v>
      </c>
      <c r="R9" s="73">
        <f>IF(ENGLISH!H9="","",ENGLISH!H9)</f>
        <v>5</v>
      </c>
      <c r="S9" s="73">
        <f>IF(ENGLISH!I9="","",ENGLISH!I9)</f>
        <v>5</v>
      </c>
      <c r="T9" s="73">
        <f>IF(ENGLISH!J9="","",ENGLISH!J9)</f>
        <v>5</v>
      </c>
      <c r="U9" s="73">
        <f>IF(ENGLISH!K9="","",ENGLISH!K9)</f>
        <v>5</v>
      </c>
      <c r="V9" s="73">
        <f t="shared" si="44"/>
        <v>20</v>
      </c>
      <c r="W9" s="81">
        <f>IF(ENGLISH!L9="","",ENGLISH!L9)</f>
        <v>59</v>
      </c>
      <c r="X9" s="73">
        <f t="shared" si="45"/>
        <v>30</v>
      </c>
      <c r="Y9" s="73">
        <f t="shared" si="46"/>
        <v>82</v>
      </c>
      <c r="Z9" s="73" t="str">
        <f t="shared" si="47"/>
        <v>A2</v>
      </c>
      <c r="AA9" s="73" t="str">
        <f>IF(ENGLISH!O9="","",ENGLISH!O9*40/ENGLISH!$O$6)</f>
        <v/>
      </c>
      <c r="AB9" s="73" t="str">
        <f t="shared" si="48"/>
        <v/>
      </c>
      <c r="AC9" s="73" t="str">
        <f t="shared" si="49"/>
        <v/>
      </c>
      <c r="AD9" s="74" t="str">
        <f>IF(MATHS!E9="","",MATHS!E9)</f>
        <v/>
      </c>
      <c r="AE9" s="643" t="str">
        <f t="shared" si="50"/>
        <v/>
      </c>
      <c r="AF9" s="74" t="str">
        <f>IF(MATHS!F9="","",MATHS!F9)</f>
        <v/>
      </c>
      <c r="AG9" s="643" t="str">
        <f t="shared" si="51"/>
        <v/>
      </c>
      <c r="AH9" s="74" t="str">
        <f>IF(MATHS!G9="","",MATHS!G9)</f>
        <v/>
      </c>
      <c r="AI9" s="643" t="str">
        <f t="shared" si="52"/>
        <v/>
      </c>
      <c r="AJ9" s="75" t="str">
        <f t="shared" si="53"/>
        <v/>
      </c>
      <c r="AK9" s="75" t="str">
        <f t="shared" si="54"/>
        <v/>
      </c>
      <c r="AL9" s="75" t="str">
        <f t="shared" si="55"/>
        <v/>
      </c>
      <c r="AM9" s="75" t="str">
        <f>IF(MATHS!H9="","",MATHS!H9)</f>
        <v/>
      </c>
      <c r="AN9" s="75" t="str">
        <f>IF(MATHS!I9="","",MATHS!I9)</f>
        <v/>
      </c>
      <c r="AO9" s="75" t="str">
        <f>IF(MATHS!J9="","",MATHS!J9)</f>
        <v/>
      </c>
      <c r="AP9" s="75" t="str">
        <f t="shared" si="56"/>
        <v/>
      </c>
      <c r="AQ9" s="75" t="str">
        <f t="shared" si="57"/>
        <v/>
      </c>
      <c r="AR9" s="75" t="str">
        <f>IF(MATHS!K9="","",CEILING(MATHS!K9*$AR$6/MATHS!$K$6,1))</f>
        <v/>
      </c>
      <c r="AS9" s="76" t="str">
        <f t="shared" si="58"/>
        <v/>
      </c>
      <c r="AT9" s="76" t="str">
        <f t="shared" si="59"/>
        <v/>
      </c>
      <c r="AU9" s="76" t="str">
        <f>IF(MATHS!O9="","",MATHS!O9*$AU$6/MATHS!$O$6)</f>
        <v/>
      </c>
      <c r="AV9" s="76" t="str">
        <f t="shared" si="60"/>
        <v/>
      </c>
      <c r="AW9" s="76" t="str">
        <f t="shared" si="61"/>
        <v/>
      </c>
      <c r="AX9" s="73">
        <f>IF(PHYSICS!E10="","",PHYSICS!E10)</f>
        <v>7</v>
      </c>
      <c r="AY9" s="644">
        <f t="shared" si="62"/>
        <v>7</v>
      </c>
      <c r="AZ9" s="73">
        <f>IF(PHYSICS!F10="","",PHYSICS!F10)</f>
        <v>50</v>
      </c>
      <c r="BA9" s="73">
        <f>IF(PHYSICS!G10="","",PHYSICS!G10)</f>
        <v>28</v>
      </c>
      <c r="BB9" s="73">
        <f t="shared" si="63"/>
        <v>15</v>
      </c>
      <c r="BC9" s="73">
        <f t="shared" si="64"/>
        <v>9</v>
      </c>
      <c r="BD9" s="73">
        <f>IF(PHYSICS!H10="","",PHYSICS!H10)</f>
        <v>8</v>
      </c>
      <c r="BE9" s="645">
        <f t="shared" si="65"/>
        <v>8</v>
      </c>
      <c r="BF9" s="73">
        <f>IF(PHYSICS!I10="","",PHYSICS!I10)</f>
        <v>40</v>
      </c>
      <c r="BG9" s="73">
        <f>IF(PHYSICS!J10="","",PHYSICS!J10)</f>
        <v>29</v>
      </c>
      <c r="BH9" s="73">
        <f t="shared" si="66"/>
        <v>20</v>
      </c>
      <c r="BI9" s="73">
        <f t="shared" si="67"/>
        <v>15</v>
      </c>
      <c r="BJ9" s="73">
        <f t="shared" si="68"/>
        <v>50</v>
      </c>
      <c r="BK9" s="73">
        <f t="shared" si="69"/>
        <v>24</v>
      </c>
      <c r="BL9" s="73">
        <f t="shared" si="70"/>
        <v>74</v>
      </c>
      <c r="BM9" s="73" t="str">
        <f t="shared" si="71"/>
        <v>B1</v>
      </c>
      <c r="BN9" s="73" t="str">
        <f>IF(PHYSICS!M10="","",PHYSICS!M10*$BN$6/PHYSICS!$M$7)</f>
        <v/>
      </c>
      <c r="BO9" s="73" t="str">
        <f t="shared" si="72"/>
        <v/>
      </c>
      <c r="BP9" s="73" t="str">
        <f t="shared" si="73"/>
        <v/>
      </c>
      <c r="BQ9" s="48">
        <f>IF(CHEMISTRY!E10="","",CHEMISTRY!E10)</f>
        <v>7</v>
      </c>
      <c r="BR9" s="646">
        <f t="shared" si="74"/>
        <v>7</v>
      </c>
      <c r="BS9" s="48">
        <f>IF(CHEMISTRY!F10="","",CHEMISTRY!F10)</f>
        <v>46</v>
      </c>
      <c r="BT9" s="48">
        <f>IF(CHEMISTRY!G10="","",CHEMISTRY!G10)</f>
        <v>29</v>
      </c>
      <c r="BU9" s="48">
        <f t="shared" si="75"/>
        <v>14</v>
      </c>
      <c r="BV9" s="48">
        <f t="shared" si="76"/>
        <v>9</v>
      </c>
      <c r="BW9" s="48">
        <f>IF(CHEMISTRY!H10="","",CHEMISTRY!H10)</f>
        <v>10</v>
      </c>
      <c r="BX9" s="646">
        <f t="shared" si="77"/>
        <v>10</v>
      </c>
      <c r="BY9" s="48">
        <f>IF(CHEMISTRY!I10="","",CHEMISTRY!I10)</f>
        <v>43</v>
      </c>
      <c r="BZ9" s="48">
        <f>IF(CHEMISTRY!J10="","",CHEMISTRY!J10)</f>
        <v>30</v>
      </c>
      <c r="CA9" s="48">
        <f t="shared" si="78"/>
        <v>22</v>
      </c>
      <c r="CB9" s="48">
        <f t="shared" si="79"/>
        <v>15</v>
      </c>
      <c r="CC9" s="48">
        <f t="shared" si="80"/>
        <v>53</v>
      </c>
      <c r="CD9" s="48">
        <f t="shared" si="81"/>
        <v>24</v>
      </c>
      <c r="CE9" s="48">
        <f t="shared" si="82"/>
        <v>77</v>
      </c>
      <c r="CF9" s="48" t="str">
        <f t="shared" si="83"/>
        <v>B1</v>
      </c>
      <c r="CG9" s="48" t="str">
        <f>IF(CHEMISTRY!M10="","",CHEMISTRY!M10*$CG$6/CHEMISTRY!$M$7)</f>
        <v/>
      </c>
      <c r="CH9" s="48" t="str">
        <f t="shared" si="84"/>
        <v/>
      </c>
      <c r="CI9" s="48" t="str">
        <f t="shared" si="85"/>
        <v/>
      </c>
      <c r="CJ9" s="73" t="str">
        <f>IF(BIOLOGY!E10="","",BIOLOGY!E10)</f>
        <v/>
      </c>
      <c r="CK9" s="73" t="str">
        <f t="shared" si="86"/>
        <v/>
      </c>
      <c r="CL9" s="73" t="str">
        <f>IF(BIOLOGY!F10="","",BIOLOGY!F10)</f>
        <v/>
      </c>
      <c r="CM9" s="73" t="str">
        <f>IF(BIOLOGY!G10="","",BIOLOGY!G10)</f>
        <v/>
      </c>
      <c r="CN9" s="73" t="str">
        <f t="shared" si="87"/>
        <v/>
      </c>
      <c r="CO9" s="73" t="str">
        <f t="shared" si="88"/>
        <v/>
      </c>
      <c r="CP9" s="73" t="str">
        <f>IF(BIOLOGY!H10="","",BIOLOGY!H10)</f>
        <v/>
      </c>
      <c r="CQ9" s="73" t="str">
        <f t="shared" si="89"/>
        <v/>
      </c>
      <c r="CR9" s="73" t="str">
        <f>IF(BIOLOGY!I10="","",BIOLOGY!I10)</f>
        <v/>
      </c>
      <c r="CS9" s="73" t="str">
        <f>IF(BIOLOGY!J10="","",BIOLOGY!J10)</f>
        <v/>
      </c>
      <c r="CT9" s="73" t="str">
        <f t="shared" si="90"/>
        <v/>
      </c>
      <c r="CU9" s="73" t="str">
        <f t="shared" si="91"/>
        <v/>
      </c>
      <c r="CV9" s="73" t="str">
        <f t="shared" si="92"/>
        <v/>
      </c>
      <c r="CW9" s="73" t="str">
        <f t="shared" si="93"/>
        <v/>
      </c>
      <c r="CX9" s="73" t="str">
        <f t="shared" si="94"/>
        <v/>
      </c>
      <c r="CY9" s="73" t="str">
        <f t="shared" si="95"/>
        <v/>
      </c>
      <c r="CZ9" s="73" t="str">
        <f>IF(BIOLOGY!M10="","",CEILING((BIOLOGY!M10*$CZ$6/BIOLOGY!$M$7),1))</f>
        <v/>
      </c>
      <c r="DA9" s="73" t="str">
        <f t="shared" si="96"/>
        <v/>
      </c>
      <c r="DB9" s="73" t="str">
        <f t="shared" si="97"/>
        <v/>
      </c>
      <c r="DC9" s="76">
        <f>IF('PHY EDU '!E10="","",'PHY EDU '!E10)</f>
        <v>6</v>
      </c>
      <c r="DD9" s="647">
        <f t="shared" si="98"/>
        <v>6</v>
      </c>
      <c r="DE9" s="76">
        <f>IF('PHY EDU '!F10="","",'PHY EDU '!F10)</f>
        <v>67</v>
      </c>
      <c r="DF9" s="76">
        <f>IF('PHY EDU '!G10="","",'PHY EDU '!G10)</f>
        <v>28</v>
      </c>
      <c r="DG9" s="76">
        <f t="shared" si="99"/>
        <v>21</v>
      </c>
      <c r="DH9" s="76">
        <f t="shared" si="100"/>
        <v>9</v>
      </c>
      <c r="DI9" s="76">
        <f>IF('PHY EDU '!H10="","",'PHY EDU '!H10)</f>
        <v>10</v>
      </c>
      <c r="DJ9" s="647">
        <f t="shared" si="101"/>
        <v>10</v>
      </c>
      <c r="DK9" s="76">
        <f>IF('PHY EDU '!I10="","",'PHY EDU '!I10)</f>
        <v>68</v>
      </c>
      <c r="DL9" s="76">
        <f>IF('PHY EDU '!J10="","",'PHY EDU '!J10)</f>
        <v>25</v>
      </c>
      <c r="DM9" s="76">
        <f t="shared" si="102"/>
        <v>34</v>
      </c>
      <c r="DN9" s="76">
        <f t="shared" si="103"/>
        <v>13</v>
      </c>
      <c r="DO9" s="76">
        <f t="shared" si="104"/>
        <v>71</v>
      </c>
      <c r="DP9" s="76">
        <f t="shared" si="105"/>
        <v>22</v>
      </c>
      <c r="DQ9" s="76">
        <f t="shared" si="106"/>
        <v>93</v>
      </c>
      <c r="DR9" s="76" t="str">
        <f t="shared" si="107"/>
        <v>A1</v>
      </c>
      <c r="DS9" s="76" t="str">
        <f>IF('PHY EDU '!M10="","",ROUNDUP('PHY EDU '!M10*$DS$6/'PHY EDU '!$M$7,0))</f>
        <v/>
      </c>
      <c r="DT9" s="76" t="str">
        <f t="shared" si="108"/>
        <v/>
      </c>
      <c r="DU9" s="76" t="str">
        <f t="shared" si="109"/>
        <v/>
      </c>
      <c r="DV9" s="72">
        <f t="shared" si="20"/>
        <v>82</v>
      </c>
      <c r="DW9" s="72" t="str">
        <f t="shared" si="21"/>
        <v/>
      </c>
      <c r="DX9" s="72">
        <f t="shared" si="22"/>
        <v>74</v>
      </c>
      <c r="DY9" s="72">
        <f t="shared" si="23"/>
        <v>77</v>
      </c>
      <c r="DZ9" s="72" t="str">
        <f t="shared" si="24"/>
        <v/>
      </c>
      <c r="EA9" s="72">
        <f t="shared" si="25"/>
        <v>93</v>
      </c>
      <c r="EB9" s="76" t="str">
        <f t="shared" si="26"/>
        <v>A2</v>
      </c>
      <c r="EC9" s="76" t="str">
        <f t="shared" si="27"/>
        <v/>
      </c>
      <c r="ED9" s="76" t="str">
        <f t="shared" si="28"/>
        <v>B1</v>
      </c>
      <c r="EE9" s="76" t="str">
        <f t="shared" si="29"/>
        <v>B1</v>
      </c>
      <c r="EF9" s="76" t="str">
        <f t="shared" si="30"/>
        <v/>
      </c>
      <c r="EG9" s="76" t="str">
        <f t="shared" si="31"/>
        <v>A1</v>
      </c>
      <c r="EH9" s="77">
        <f t="shared" si="32"/>
        <v>326</v>
      </c>
      <c r="EI9" s="495">
        <f t="shared" si="110"/>
        <v>65.2</v>
      </c>
      <c r="EJ9" s="86" t="str">
        <f t="shared" si="111"/>
        <v>B2</v>
      </c>
      <c r="EK9" s="78" t="str">
        <f t="shared" si="33"/>
        <v>PASS</v>
      </c>
      <c r="EL9" s="79" t="str">
        <f t="shared" si="112"/>
        <v>65.2%</v>
      </c>
      <c r="EM9" s="139">
        <f t="shared" si="34"/>
        <v>65.2</v>
      </c>
      <c r="EN9" s="77">
        <f t="shared" si="113"/>
        <v>1.0000000000000007</v>
      </c>
      <c r="EO9" s="77" t="str">
        <f>IF(EN9="","",ATTENDANCE!Q10&amp;"/"&amp;ATTENDANCE!$Q$7)</f>
        <v>260/342</v>
      </c>
      <c r="EP9" s="80" t="str">
        <f t="shared" si="35"/>
        <v/>
      </c>
      <c r="EQ9" s="80" t="str">
        <f t="shared" si="114"/>
        <v/>
      </c>
      <c r="ER9" s="80" t="str">
        <f t="shared" si="115"/>
        <v/>
      </c>
      <c r="ES9" s="80" t="str">
        <f t="shared" si="116"/>
        <v/>
      </c>
      <c r="ET9" s="80" t="str">
        <f t="shared" si="117"/>
        <v/>
      </c>
      <c r="EU9" s="80" t="str">
        <f t="shared" si="118"/>
        <v/>
      </c>
      <c r="EV9" s="492" t="str">
        <f t="shared" si="119"/>
        <v/>
      </c>
      <c r="EW9" s="129" t="str">
        <f t="shared" si="36"/>
        <v/>
      </c>
      <c r="EX9" s="129" t="str">
        <f t="shared" si="120"/>
        <v/>
      </c>
      <c r="EY9" s="129" t="str">
        <f t="shared" si="121"/>
        <v/>
      </c>
      <c r="EZ9" s="129" t="str">
        <f t="shared" si="122"/>
        <v/>
      </c>
      <c r="FA9" s="129" t="str">
        <f t="shared" si="123"/>
        <v/>
      </c>
      <c r="FB9" s="129" t="str">
        <f t="shared" si="124"/>
        <v/>
      </c>
      <c r="FC9" s="80">
        <f t="shared" si="37"/>
        <v>0</v>
      </c>
      <c r="FD9" s="80">
        <f t="shared" si="38"/>
        <v>0</v>
      </c>
      <c r="FE9" s="80">
        <f t="shared" si="39"/>
        <v>0</v>
      </c>
      <c r="FF9" s="488" t="str">
        <f t="shared" si="125"/>
        <v/>
      </c>
      <c r="FG9" s="80" t="str">
        <f t="shared" si="126"/>
        <v/>
      </c>
      <c r="FH9" s="80" t="str">
        <f t="shared" si="127"/>
        <v/>
      </c>
      <c r="FI9" s="496" t="str">
        <f t="shared" si="128"/>
        <v/>
      </c>
      <c r="FJ9" s="140" t="str">
        <f t="shared" si="40"/>
        <v/>
      </c>
      <c r="FK9" s="492" t="str">
        <f t="shared" si="129"/>
        <v/>
      </c>
      <c r="FL9" s="490">
        <f t="shared" si="130"/>
        <v>65.2</v>
      </c>
      <c r="FM9" s="74" t="str">
        <f t="shared" si="131"/>
        <v>B2</v>
      </c>
    </row>
    <row r="10" spans="1:169" ht="28.5" customHeight="1" x14ac:dyDescent="0.3">
      <c r="A10" s="6"/>
      <c r="B10" s="25">
        <f>DATA!B8</f>
        <v>4</v>
      </c>
      <c r="C10" s="25" t="str">
        <f>IF(DATA!C8="","",DATA!C8)</f>
        <v/>
      </c>
      <c r="D10" s="25" t="str">
        <f>IF(DATA!D8="","",DATA!D8)</f>
        <v/>
      </c>
      <c r="E10" s="738" t="str">
        <f>IF(DATA!E8="","",DATA!E8)</f>
        <v/>
      </c>
      <c r="F10" s="738" t="str">
        <f>IF(DATA!F8="","",DATA!F8)</f>
        <v/>
      </c>
      <c r="G10" s="738" t="str">
        <f>IF(DATA!G8="","",DATA!G8)</f>
        <v/>
      </c>
      <c r="H10" s="214" t="str">
        <f>IF(DATA!H8="","",DATA!H8)</f>
        <v/>
      </c>
      <c r="I10" s="214" t="str">
        <f>IF(DATA!I8="","",DATA!I8)</f>
        <v/>
      </c>
      <c r="J10" s="214" t="str">
        <f>IF(DATA!J8="","",DATA!J8)</f>
        <v/>
      </c>
      <c r="K10" s="214" t="str">
        <f>IF(DATA!K8="","",DATA!K8)</f>
        <v/>
      </c>
      <c r="L10" s="73" t="str">
        <f>IF(ENGLISH!E10="","",ENGLISH!E10)</f>
        <v/>
      </c>
      <c r="M10" s="73" t="str">
        <f t="shared" si="41"/>
        <v/>
      </c>
      <c r="N10" s="73" t="str">
        <f>IF(ENGLISH!F10="","",ENGLISH!F10)</f>
        <v/>
      </c>
      <c r="O10" s="73" t="str">
        <f t="shared" si="42"/>
        <v/>
      </c>
      <c r="P10" s="73" t="str">
        <f>IF(ENGLISH!G10="","",ENGLISH!G10)</f>
        <v/>
      </c>
      <c r="Q10" s="73" t="str">
        <f t="shared" si="43"/>
        <v/>
      </c>
      <c r="R10" s="73" t="str">
        <f>IF(ENGLISH!H10="","",ENGLISH!H10)</f>
        <v/>
      </c>
      <c r="S10" s="73" t="str">
        <f>IF(ENGLISH!I10="","",ENGLISH!I10)</f>
        <v/>
      </c>
      <c r="T10" s="73" t="str">
        <f>IF(ENGLISH!J10="","",ENGLISH!J10)</f>
        <v/>
      </c>
      <c r="U10" s="73" t="str">
        <f>IF(ENGLISH!K10="","",ENGLISH!K10)</f>
        <v/>
      </c>
      <c r="V10" s="73" t="str">
        <f t="shared" si="44"/>
        <v/>
      </c>
      <c r="W10" s="81" t="str">
        <f>IF(ENGLISH!L10="","",ENGLISH!L10)</f>
        <v/>
      </c>
      <c r="X10" s="73" t="str">
        <f t="shared" si="45"/>
        <v/>
      </c>
      <c r="Y10" s="73" t="str">
        <f t="shared" si="46"/>
        <v/>
      </c>
      <c r="Z10" s="73" t="str">
        <f t="shared" si="47"/>
        <v/>
      </c>
      <c r="AA10" s="73" t="str">
        <f>IF(ENGLISH!O10="","",ENGLISH!O10*40/ENGLISH!$O$6)</f>
        <v/>
      </c>
      <c r="AB10" s="73" t="str">
        <f t="shared" si="48"/>
        <v/>
      </c>
      <c r="AC10" s="73" t="str">
        <f t="shared" si="49"/>
        <v/>
      </c>
      <c r="AD10" s="74" t="str">
        <f>IF(MATHS!E10="","",MATHS!E10)</f>
        <v/>
      </c>
      <c r="AE10" s="643" t="str">
        <f t="shared" si="50"/>
        <v/>
      </c>
      <c r="AF10" s="74" t="str">
        <f>IF(MATHS!F10="","",MATHS!F10)</f>
        <v/>
      </c>
      <c r="AG10" s="643" t="str">
        <f t="shared" si="51"/>
        <v/>
      </c>
      <c r="AH10" s="74" t="str">
        <f>IF(MATHS!G10="","",MATHS!G10)</f>
        <v/>
      </c>
      <c r="AI10" s="643" t="str">
        <f t="shared" si="52"/>
        <v/>
      </c>
      <c r="AJ10" s="75" t="str">
        <f t="shared" si="53"/>
        <v/>
      </c>
      <c r="AK10" s="75" t="str">
        <f t="shared" si="54"/>
        <v/>
      </c>
      <c r="AL10" s="75" t="str">
        <f t="shared" si="55"/>
        <v/>
      </c>
      <c r="AM10" s="75" t="str">
        <f>IF(MATHS!H10="","",MATHS!H10)</f>
        <v/>
      </c>
      <c r="AN10" s="75" t="str">
        <f>IF(MATHS!I10="","",MATHS!I10)</f>
        <v/>
      </c>
      <c r="AO10" s="75" t="str">
        <f>IF(MATHS!J10="","",MATHS!J10)</f>
        <v/>
      </c>
      <c r="AP10" s="75" t="str">
        <f t="shared" si="56"/>
        <v/>
      </c>
      <c r="AQ10" s="75" t="str">
        <f t="shared" si="57"/>
        <v/>
      </c>
      <c r="AR10" s="75" t="str">
        <f>IF(MATHS!K10="","",CEILING(MATHS!K10*$AR$6/MATHS!$K$6,1))</f>
        <v/>
      </c>
      <c r="AS10" s="76" t="str">
        <f t="shared" si="58"/>
        <v/>
      </c>
      <c r="AT10" s="76" t="str">
        <f t="shared" si="59"/>
        <v/>
      </c>
      <c r="AU10" s="76" t="str">
        <f>IF(MATHS!O10="","",MATHS!O10*$AU$6/MATHS!$O$6)</f>
        <v/>
      </c>
      <c r="AV10" s="76" t="str">
        <f t="shared" si="60"/>
        <v/>
      </c>
      <c r="AW10" s="76" t="str">
        <f t="shared" si="61"/>
        <v/>
      </c>
      <c r="AX10" s="73" t="str">
        <f>IF(PHYSICS!E11="","",PHYSICS!E11)</f>
        <v/>
      </c>
      <c r="AY10" s="644" t="str">
        <f t="shared" si="62"/>
        <v/>
      </c>
      <c r="AZ10" s="73" t="str">
        <f>IF(PHYSICS!F11="","",PHYSICS!F11)</f>
        <v/>
      </c>
      <c r="BA10" s="73" t="str">
        <f>IF(PHYSICS!G11="","",PHYSICS!G11)</f>
        <v/>
      </c>
      <c r="BB10" s="73" t="str">
        <f t="shared" si="63"/>
        <v/>
      </c>
      <c r="BC10" s="73" t="str">
        <f t="shared" si="64"/>
        <v/>
      </c>
      <c r="BD10" s="73" t="str">
        <f>IF(PHYSICS!H11="","",PHYSICS!H11)</f>
        <v/>
      </c>
      <c r="BE10" s="645" t="str">
        <f t="shared" si="65"/>
        <v/>
      </c>
      <c r="BF10" s="73" t="str">
        <f>IF(PHYSICS!I11="","",PHYSICS!I11)</f>
        <v/>
      </c>
      <c r="BG10" s="73" t="str">
        <f>IF(PHYSICS!J11="","",PHYSICS!J11)</f>
        <v/>
      </c>
      <c r="BH10" s="73" t="str">
        <f t="shared" si="66"/>
        <v/>
      </c>
      <c r="BI10" s="73" t="str">
        <f t="shared" si="67"/>
        <v/>
      </c>
      <c r="BJ10" s="73" t="str">
        <f t="shared" si="68"/>
        <v/>
      </c>
      <c r="BK10" s="73" t="str">
        <f t="shared" si="69"/>
        <v/>
      </c>
      <c r="BL10" s="73" t="str">
        <f t="shared" si="70"/>
        <v/>
      </c>
      <c r="BM10" s="73" t="str">
        <f t="shared" si="71"/>
        <v/>
      </c>
      <c r="BN10" s="73" t="str">
        <f>IF(PHYSICS!M11="","",PHYSICS!M11*$BN$6/PHYSICS!$M$7)</f>
        <v/>
      </c>
      <c r="BO10" s="73" t="str">
        <f t="shared" si="72"/>
        <v/>
      </c>
      <c r="BP10" s="73" t="str">
        <f t="shared" si="73"/>
        <v/>
      </c>
      <c r="BQ10" s="48" t="str">
        <f>IF(CHEMISTRY!E11="","",CHEMISTRY!E11)</f>
        <v/>
      </c>
      <c r="BR10" s="646" t="str">
        <f t="shared" si="74"/>
        <v/>
      </c>
      <c r="BS10" s="48" t="str">
        <f>IF(CHEMISTRY!F11="","",CHEMISTRY!F11)</f>
        <v/>
      </c>
      <c r="BT10" s="48" t="str">
        <f>IF(CHEMISTRY!G11="","",CHEMISTRY!G11)</f>
        <v/>
      </c>
      <c r="BU10" s="48" t="str">
        <f t="shared" si="75"/>
        <v/>
      </c>
      <c r="BV10" s="48" t="str">
        <f t="shared" si="76"/>
        <v/>
      </c>
      <c r="BW10" s="48" t="str">
        <f>IF(CHEMISTRY!H11="","",CHEMISTRY!H11)</f>
        <v/>
      </c>
      <c r="BX10" s="646" t="str">
        <f t="shared" si="77"/>
        <v/>
      </c>
      <c r="BY10" s="48" t="str">
        <f>IF(CHEMISTRY!I11="","",CHEMISTRY!I11)</f>
        <v/>
      </c>
      <c r="BZ10" s="48" t="str">
        <f>IF(CHEMISTRY!J11="","",CHEMISTRY!J11)</f>
        <v/>
      </c>
      <c r="CA10" s="48" t="str">
        <f t="shared" si="78"/>
        <v/>
      </c>
      <c r="CB10" s="48" t="str">
        <f t="shared" si="79"/>
        <v/>
      </c>
      <c r="CC10" s="48" t="str">
        <f t="shared" si="80"/>
        <v/>
      </c>
      <c r="CD10" s="48" t="str">
        <f t="shared" si="81"/>
        <v/>
      </c>
      <c r="CE10" s="48" t="str">
        <f t="shared" si="82"/>
        <v/>
      </c>
      <c r="CF10" s="48" t="str">
        <f t="shared" si="83"/>
        <v/>
      </c>
      <c r="CG10" s="48" t="str">
        <f>IF(CHEMISTRY!M11="","",CHEMISTRY!M11*$CG$6/CHEMISTRY!$M$7)</f>
        <v/>
      </c>
      <c r="CH10" s="48" t="str">
        <f t="shared" si="84"/>
        <v/>
      </c>
      <c r="CI10" s="48" t="str">
        <f t="shared" si="85"/>
        <v/>
      </c>
      <c r="CJ10" s="73" t="str">
        <f>IF(BIOLOGY!E11="","",BIOLOGY!E11)</f>
        <v/>
      </c>
      <c r="CK10" s="73" t="str">
        <f t="shared" si="86"/>
        <v/>
      </c>
      <c r="CL10" s="73" t="str">
        <f>IF(BIOLOGY!F11="","",BIOLOGY!F11)</f>
        <v/>
      </c>
      <c r="CM10" s="73" t="str">
        <f>IF(BIOLOGY!G11="","",BIOLOGY!G11)</f>
        <v/>
      </c>
      <c r="CN10" s="73" t="str">
        <f t="shared" si="87"/>
        <v/>
      </c>
      <c r="CO10" s="73" t="str">
        <f t="shared" si="88"/>
        <v/>
      </c>
      <c r="CP10" s="73" t="str">
        <f>IF(BIOLOGY!H11="","",BIOLOGY!H11)</f>
        <v/>
      </c>
      <c r="CQ10" s="73" t="str">
        <f t="shared" si="89"/>
        <v/>
      </c>
      <c r="CR10" s="73" t="str">
        <f>IF(BIOLOGY!I11="","",BIOLOGY!I11)</f>
        <v/>
      </c>
      <c r="CS10" s="73" t="str">
        <f>IF(BIOLOGY!J11="","",BIOLOGY!J11)</f>
        <v/>
      </c>
      <c r="CT10" s="73" t="str">
        <f t="shared" si="90"/>
        <v/>
      </c>
      <c r="CU10" s="73" t="str">
        <f t="shared" si="91"/>
        <v/>
      </c>
      <c r="CV10" s="73" t="str">
        <f t="shared" si="92"/>
        <v/>
      </c>
      <c r="CW10" s="73" t="str">
        <f t="shared" si="93"/>
        <v/>
      </c>
      <c r="CX10" s="73" t="str">
        <f t="shared" si="94"/>
        <v/>
      </c>
      <c r="CY10" s="73" t="str">
        <f t="shared" si="95"/>
        <v/>
      </c>
      <c r="CZ10" s="73" t="str">
        <f>IF(BIOLOGY!M11="","",CEILING((BIOLOGY!M11*$CZ$6/BIOLOGY!$M$7),1))</f>
        <v/>
      </c>
      <c r="DA10" s="73" t="str">
        <f t="shared" si="96"/>
        <v/>
      </c>
      <c r="DB10" s="73" t="str">
        <f t="shared" si="97"/>
        <v/>
      </c>
      <c r="DC10" s="76" t="str">
        <f>IF('PHY EDU '!E11="","",'PHY EDU '!E11)</f>
        <v/>
      </c>
      <c r="DD10" s="647" t="str">
        <f t="shared" si="98"/>
        <v/>
      </c>
      <c r="DE10" s="76" t="str">
        <f>IF('PHY EDU '!F11="","",'PHY EDU '!F11)</f>
        <v/>
      </c>
      <c r="DF10" s="76" t="str">
        <f>IF('PHY EDU '!G11="","",'PHY EDU '!G11)</f>
        <v/>
      </c>
      <c r="DG10" s="76" t="str">
        <f t="shared" si="99"/>
        <v/>
      </c>
      <c r="DH10" s="76" t="str">
        <f t="shared" si="100"/>
        <v/>
      </c>
      <c r="DI10" s="76" t="str">
        <f>IF('PHY EDU '!H11="","",'PHY EDU '!H11)</f>
        <v/>
      </c>
      <c r="DJ10" s="647" t="str">
        <f t="shared" si="101"/>
        <v/>
      </c>
      <c r="DK10" s="76" t="str">
        <f>IF('PHY EDU '!I11="","",'PHY EDU '!I11)</f>
        <v/>
      </c>
      <c r="DL10" s="76" t="str">
        <f>IF('PHY EDU '!J11="","",'PHY EDU '!J11)</f>
        <v/>
      </c>
      <c r="DM10" s="76" t="str">
        <f t="shared" si="102"/>
        <v/>
      </c>
      <c r="DN10" s="76" t="str">
        <f t="shared" si="103"/>
        <v/>
      </c>
      <c r="DO10" s="76" t="str">
        <f t="shared" si="104"/>
        <v/>
      </c>
      <c r="DP10" s="76" t="str">
        <f t="shared" si="105"/>
        <v/>
      </c>
      <c r="DQ10" s="76" t="str">
        <f t="shared" si="106"/>
        <v/>
      </c>
      <c r="DR10" s="76" t="str">
        <f t="shared" si="107"/>
        <v/>
      </c>
      <c r="DS10" s="76" t="str">
        <f>IF('PHY EDU '!M11="","",ROUNDUP('PHY EDU '!M11*$DS$6/'PHY EDU '!$M$7,0))</f>
        <v/>
      </c>
      <c r="DT10" s="76" t="str">
        <f t="shared" si="108"/>
        <v/>
      </c>
      <c r="DU10" s="76" t="str">
        <f t="shared" si="109"/>
        <v/>
      </c>
      <c r="DV10" s="72" t="str">
        <f t="shared" si="20"/>
        <v/>
      </c>
      <c r="DW10" s="72" t="str">
        <f t="shared" si="21"/>
        <v/>
      </c>
      <c r="DX10" s="72" t="str">
        <f t="shared" si="22"/>
        <v/>
      </c>
      <c r="DY10" s="72" t="str">
        <f t="shared" si="23"/>
        <v/>
      </c>
      <c r="DZ10" s="72" t="str">
        <f t="shared" si="24"/>
        <v/>
      </c>
      <c r="EA10" s="72" t="str">
        <f t="shared" si="25"/>
        <v/>
      </c>
      <c r="EB10" s="76" t="str">
        <f t="shared" si="26"/>
        <v/>
      </c>
      <c r="EC10" s="76" t="str">
        <f t="shared" si="27"/>
        <v/>
      </c>
      <c r="ED10" s="76" t="str">
        <f t="shared" si="28"/>
        <v/>
      </c>
      <c r="EE10" s="76" t="str">
        <f t="shared" si="29"/>
        <v/>
      </c>
      <c r="EF10" s="76" t="str">
        <f t="shared" si="30"/>
        <v/>
      </c>
      <c r="EG10" s="76" t="str">
        <f t="shared" si="31"/>
        <v/>
      </c>
      <c r="EH10" s="77" t="str">
        <f t="shared" si="32"/>
        <v/>
      </c>
      <c r="EI10" s="495" t="str">
        <f t="shared" si="110"/>
        <v/>
      </c>
      <c r="EJ10" s="86" t="str">
        <f t="shared" si="111"/>
        <v/>
      </c>
      <c r="EK10" s="78" t="str">
        <f t="shared" si="33"/>
        <v/>
      </c>
      <c r="EL10" s="79" t="str">
        <f t="shared" si="112"/>
        <v/>
      </c>
      <c r="EM10" s="139" t="str">
        <f t="shared" si="34"/>
        <v/>
      </c>
      <c r="EN10" s="77" t="str">
        <f t="shared" si="113"/>
        <v/>
      </c>
      <c r="EO10" s="77" t="str">
        <f>IF(EN10="","",ATTENDANCE!Q11&amp;"/"&amp;ATTENDANCE!$Q$7)</f>
        <v/>
      </c>
      <c r="EP10" s="80" t="str">
        <f t="shared" si="35"/>
        <v/>
      </c>
      <c r="EQ10" s="80" t="str">
        <f t="shared" si="114"/>
        <v/>
      </c>
      <c r="ER10" s="80" t="str">
        <f t="shared" si="115"/>
        <v/>
      </c>
      <c r="ES10" s="80" t="str">
        <f t="shared" si="116"/>
        <v/>
      </c>
      <c r="ET10" s="80" t="str">
        <f t="shared" si="117"/>
        <v/>
      </c>
      <c r="EU10" s="80" t="str">
        <f t="shared" si="118"/>
        <v/>
      </c>
      <c r="EV10" s="492" t="str">
        <f t="shared" si="119"/>
        <v/>
      </c>
      <c r="EW10" s="129" t="str">
        <f t="shared" si="36"/>
        <v/>
      </c>
      <c r="EX10" s="129" t="str">
        <f t="shared" si="120"/>
        <v/>
      </c>
      <c r="EY10" s="129" t="str">
        <f t="shared" si="121"/>
        <v/>
      </c>
      <c r="EZ10" s="129" t="str">
        <f t="shared" si="122"/>
        <v/>
      </c>
      <c r="FA10" s="129" t="str">
        <f t="shared" si="123"/>
        <v/>
      </c>
      <c r="FB10" s="129" t="str">
        <f t="shared" si="124"/>
        <v/>
      </c>
      <c r="FC10" s="80" t="str">
        <f t="shared" si="37"/>
        <v/>
      </c>
      <c r="FD10" s="80" t="str">
        <f t="shared" si="38"/>
        <v/>
      </c>
      <c r="FE10" s="80" t="str">
        <f t="shared" si="39"/>
        <v/>
      </c>
      <c r="FF10" s="488" t="str">
        <f t="shared" si="125"/>
        <v/>
      </c>
      <c r="FG10" s="80" t="str">
        <f t="shared" si="126"/>
        <v/>
      </c>
      <c r="FH10" s="80" t="str">
        <f t="shared" si="127"/>
        <v/>
      </c>
      <c r="FI10" s="496" t="str">
        <f t="shared" si="128"/>
        <v/>
      </c>
      <c r="FJ10" s="140" t="str">
        <f t="shared" si="40"/>
        <v/>
      </c>
      <c r="FK10" s="492" t="str">
        <f t="shared" si="129"/>
        <v/>
      </c>
      <c r="FL10" s="490" t="str">
        <f t="shared" si="130"/>
        <v/>
      </c>
      <c r="FM10" s="74" t="str">
        <f t="shared" si="131"/>
        <v/>
      </c>
    </row>
    <row r="11" spans="1:169" ht="28.5" customHeight="1" x14ac:dyDescent="0.3">
      <c r="A11" s="6"/>
      <c r="B11" s="25">
        <f>DATA!B9</f>
        <v>5</v>
      </c>
      <c r="C11" s="25" t="str">
        <f>IF(DATA!C9="","",DATA!C9)</f>
        <v/>
      </c>
      <c r="D11" s="25" t="str">
        <f>IF(DATA!D9="","",DATA!D9)</f>
        <v/>
      </c>
      <c r="E11" s="738" t="str">
        <f>IF(DATA!E9="","",DATA!E9)</f>
        <v/>
      </c>
      <c r="F11" s="738" t="str">
        <f>IF(DATA!F9="","",DATA!F9)</f>
        <v/>
      </c>
      <c r="G11" s="738" t="str">
        <f>IF(DATA!G9="","",DATA!G9)</f>
        <v/>
      </c>
      <c r="H11" s="214" t="str">
        <f>IF(DATA!H9="","",DATA!H9)</f>
        <v/>
      </c>
      <c r="I11" s="214" t="str">
        <f>IF(DATA!I9="","",DATA!I9)</f>
        <v/>
      </c>
      <c r="J11" s="214" t="str">
        <f>IF(DATA!J9="","",DATA!J9)</f>
        <v/>
      </c>
      <c r="K11" s="214" t="str">
        <f>IF(DATA!K9="","",DATA!K9)</f>
        <v/>
      </c>
      <c r="L11" s="73" t="str">
        <f>IF(ENGLISH!E11="","",ENGLISH!E11)</f>
        <v/>
      </c>
      <c r="M11" s="73" t="str">
        <f t="shared" si="41"/>
        <v/>
      </c>
      <c r="N11" s="73" t="str">
        <f>IF(ENGLISH!F11="","",ENGLISH!F11)</f>
        <v/>
      </c>
      <c r="O11" s="73" t="str">
        <f t="shared" si="42"/>
        <v/>
      </c>
      <c r="P11" s="73" t="str">
        <f>IF(ENGLISH!G11="","",ENGLISH!G11)</f>
        <v/>
      </c>
      <c r="Q11" s="73" t="str">
        <f t="shared" si="43"/>
        <v/>
      </c>
      <c r="R11" s="73" t="str">
        <f>IF(ENGLISH!H11="","",ENGLISH!H11)</f>
        <v/>
      </c>
      <c r="S11" s="73" t="str">
        <f>IF(ENGLISH!I11="","",ENGLISH!I11)</f>
        <v/>
      </c>
      <c r="T11" s="73" t="str">
        <f>IF(ENGLISH!J11="","",ENGLISH!J11)</f>
        <v/>
      </c>
      <c r="U11" s="73" t="str">
        <f>IF(ENGLISH!K11="","",ENGLISH!K11)</f>
        <v/>
      </c>
      <c r="V11" s="73" t="str">
        <f t="shared" si="44"/>
        <v/>
      </c>
      <c r="W11" s="81" t="str">
        <f>IF(ENGLISH!L11="","",ENGLISH!L11)</f>
        <v/>
      </c>
      <c r="X11" s="73" t="str">
        <f t="shared" si="45"/>
        <v/>
      </c>
      <c r="Y11" s="73" t="str">
        <f t="shared" si="46"/>
        <v/>
      </c>
      <c r="Z11" s="73" t="str">
        <f t="shared" si="47"/>
        <v/>
      </c>
      <c r="AA11" s="73" t="str">
        <f>IF(ENGLISH!O11="","",ENGLISH!O11*40/ENGLISH!$O$6)</f>
        <v/>
      </c>
      <c r="AB11" s="73" t="str">
        <f t="shared" si="48"/>
        <v/>
      </c>
      <c r="AC11" s="73" t="str">
        <f t="shared" si="49"/>
        <v/>
      </c>
      <c r="AD11" s="74" t="str">
        <f>IF(MATHS!E11="","",MATHS!E11)</f>
        <v/>
      </c>
      <c r="AE11" s="643" t="str">
        <f t="shared" si="50"/>
        <v/>
      </c>
      <c r="AF11" s="74" t="str">
        <f>IF(MATHS!F11="","",MATHS!F11)</f>
        <v/>
      </c>
      <c r="AG11" s="643" t="str">
        <f t="shared" si="51"/>
        <v/>
      </c>
      <c r="AH11" s="74" t="str">
        <f>IF(MATHS!G11="","",MATHS!G11)</f>
        <v/>
      </c>
      <c r="AI11" s="643" t="str">
        <f t="shared" si="52"/>
        <v/>
      </c>
      <c r="AJ11" s="75" t="str">
        <f t="shared" si="53"/>
        <v/>
      </c>
      <c r="AK11" s="75" t="str">
        <f t="shared" si="54"/>
        <v/>
      </c>
      <c r="AL11" s="75" t="str">
        <f t="shared" si="55"/>
        <v/>
      </c>
      <c r="AM11" s="75" t="str">
        <f>IF(MATHS!H11="","",MATHS!H11)</f>
        <v/>
      </c>
      <c r="AN11" s="75" t="str">
        <f>IF(MATHS!I11="","",MATHS!I11)</f>
        <v/>
      </c>
      <c r="AO11" s="75" t="str">
        <f>IF(MATHS!J11="","",MATHS!J11)</f>
        <v/>
      </c>
      <c r="AP11" s="75" t="str">
        <f t="shared" si="56"/>
        <v/>
      </c>
      <c r="AQ11" s="75" t="str">
        <f t="shared" si="57"/>
        <v/>
      </c>
      <c r="AR11" s="75" t="str">
        <f>IF(MATHS!K11="","",CEILING(MATHS!K11*$AR$6/MATHS!$K$6,1))</f>
        <v/>
      </c>
      <c r="AS11" s="76" t="str">
        <f t="shared" si="58"/>
        <v/>
      </c>
      <c r="AT11" s="76" t="str">
        <f t="shared" si="59"/>
        <v/>
      </c>
      <c r="AU11" s="76" t="str">
        <f>IF(MATHS!O11="","",MATHS!O11*$AU$6/MATHS!$O$6)</f>
        <v/>
      </c>
      <c r="AV11" s="76" t="str">
        <f t="shared" si="60"/>
        <v/>
      </c>
      <c r="AW11" s="76" t="str">
        <f t="shared" si="61"/>
        <v/>
      </c>
      <c r="AX11" s="73" t="str">
        <f>IF(PHYSICS!E12="","",PHYSICS!E12)</f>
        <v/>
      </c>
      <c r="AY11" s="644" t="str">
        <f t="shared" si="62"/>
        <v/>
      </c>
      <c r="AZ11" s="73" t="str">
        <f>IF(PHYSICS!F12="","",PHYSICS!F12)</f>
        <v/>
      </c>
      <c r="BA11" s="73" t="str">
        <f>IF(PHYSICS!G12="","",PHYSICS!G12)</f>
        <v/>
      </c>
      <c r="BB11" s="73" t="str">
        <f t="shared" si="63"/>
        <v/>
      </c>
      <c r="BC11" s="73" t="str">
        <f t="shared" si="64"/>
        <v/>
      </c>
      <c r="BD11" s="73" t="str">
        <f>IF(PHYSICS!H12="","",PHYSICS!H12)</f>
        <v/>
      </c>
      <c r="BE11" s="645" t="str">
        <f t="shared" si="65"/>
        <v/>
      </c>
      <c r="BF11" s="73" t="str">
        <f>IF(PHYSICS!I12="","",PHYSICS!I12)</f>
        <v/>
      </c>
      <c r="BG11" s="73" t="str">
        <f>IF(PHYSICS!J12="","",PHYSICS!J12)</f>
        <v/>
      </c>
      <c r="BH11" s="73" t="str">
        <f t="shared" si="66"/>
        <v/>
      </c>
      <c r="BI11" s="73" t="str">
        <f t="shared" si="67"/>
        <v/>
      </c>
      <c r="BJ11" s="73" t="str">
        <f t="shared" si="68"/>
        <v/>
      </c>
      <c r="BK11" s="73" t="str">
        <f t="shared" si="69"/>
        <v/>
      </c>
      <c r="BL11" s="73" t="str">
        <f t="shared" si="70"/>
        <v/>
      </c>
      <c r="BM11" s="73" t="str">
        <f t="shared" si="71"/>
        <v/>
      </c>
      <c r="BN11" s="73" t="str">
        <f>IF(PHYSICS!M12="","",PHYSICS!M12*$BN$6/PHYSICS!$M$7)</f>
        <v/>
      </c>
      <c r="BO11" s="73" t="str">
        <f t="shared" si="72"/>
        <v/>
      </c>
      <c r="BP11" s="73" t="str">
        <f t="shared" si="73"/>
        <v/>
      </c>
      <c r="BQ11" s="48" t="str">
        <f>IF(CHEMISTRY!E12="","",CHEMISTRY!E12)</f>
        <v/>
      </c>
      <c r="BR11" s="646" t="str">
        <f t="shared" si="74"/>
        <v/>
      </c>
      <c r="BS11" s="48" t="str">
        <f>IF(CHEMISTRY!F12="","",CHEMISTRY!F12)</f>
        <v/>
      </c>
      <c r="BT11" s="48" t="str">
        <f>IF(CHEMISTRY!G12="","",CHEMISTRY!G12)</f>
        <v/>
      </c>
      <c r="BU11" s="48" t="str">
        <f t="shared" si="75"/>
        <v/>
      </c>
      <c r="BV11" s="48" t="str">
        <f t="shared" si="76"/>
        <v/>
      </c>
      <c r="BW11" s="48" t="str">
        <f>IF(CHEMISTRY!H12="","",CHEMISTRY!H12)</f>
        <v/>
      </c>
      <c r="BX11" s="646" t="str">
        <f t="shared" si="77"/>
        <v/>
      </c>
      <c r="BY11" s="48" t="str">
        <f>IF(CHEMISTRY!I12="","",CHEMISTRY!I12)</f>
        <v/>
      </c>
      <c r="BZ11" s="48" t="str">
        <f>IF(CHEMISTRY!J12="","",CHEMISTRY!J12)</f>
        <v/>
      </c>
      <c r="CA11" s="48" t="str">
        <f t="shared" si="78"/>
        <v/>
      </c>
      <c r="CB11" s="48" t="str">
        <f t="shared" si="79"/>
        <v/>
      </c>
      <c r="CC11" s="48" t="str">
        <f t="shared" si="80"/>
        <v/>
      </c>
      <c r="CD11" s="48" t="str">
        <f t="shared" si="81"/>
        <v/>
      </c>
      <c r="CE11" s="48" t="str">
        <f t="shared" si="82"/>
        <v/>
      </c>
      <c r="CF11" s="48" t="str">
        <f t="shared" si="83"/>
        <v/>
      </c>
      <c r="CG11" s="48" t="str">
        <f>IF(CHEMISTRY!M12="","",CHEMISTRY!M12*$CG$6/CHEMISTRY!$M$7)</f>
        <v/>
      </c>
      <c r="CH11" s="48" t="str">
        <f t="shared" si="84"/>
        <v/>
      </c>
      <c r="CI11" s="48" t="str">
        <f t="shared" si="85"/>
        <v/>
      </c>
      <c r="CJ11" s="73" t="str">
        <f>IF(BIOLOGY!E12="","",BIOLOGY!E12)</f>
        <v/>
      </c>
      <c r="CK11" s="73" t="str">
        <f t="shared" si="86"/>
        <v/>
      </c>
      <c r="CL11" s="73" t="str">
        <f>IF(BIOLOGY!F12="","",BIOLOGY!F12)</f>
        <v/>
      </c>
      <c r="CM11" s="73" t="str">
        <f>IF(BIOLOGY!G12="","",BIOLOGY!G12)</f>
        <v/>
      </c>
      <c r="CN11" s="73" t="str">
        <f t="shared" si="87"/>
        <v/>
      </c>
      <c r="CO11" s="73" t="str">
        <f t="shared" si="88"/>
        <v/>
      </c>
      <c r="CP11" s="73" t="str">
        <f>IF(BIOLOGY!H12="","",BIOLOGY!H12)</f>
        <v/>
      </c>
      <c r="CQ11" s="73" t="str">
        <f t="shared" si="89"/>
        <v/>
      </c>
      <c r="CR11" s="73" t="str">
        <f>IF(BIOLOGY!I12="","",BIOLOGY!I12)</f>
        <v/>
      </c>
      <c r="CS11" s="73" t="str">
        <f>IF(BIOLOGY!J12="","",BIOLOGY!J12)</f>
        <v/>
      </c>
      <c r="CT11" s="73" t="str">
        <f t="shared" si="90"/>
        <v/>
      </c>
      <c r="CU11" s="73" t="str">
        <f t="shared" si="91"/>
        <v/>
      </c>
      <c r="CV11" s="73" t="str">
        <f t="shared" si="92"/>
        <v/>
      </c>
      <c r="CW11" s="73" t="str">
        <f t="shared" si="93"/>
        <v/>
      </c>
      <c r="CX11" s="73" t="str">
        <f t="shared" si="94"/>
        <v/>
      </c>
      <c r="CY11" s="73" t="str">
        <f t="shared" si="95"/>
        <v/>
      </c>
      <c r="CZ11" s="73" t="str">
        <f>IF(BIOLOGY!M12="","",CEILING((BIOLOGY!M12*$CZ$6/BIOLOGY!$M$7),1))</f>
        <v/>
      </c>
      <c r="DA11" s="73" t="str">
        <f t="shared" si="96"/>
        <v/>
      </c>
      <c r="DB11" s="73" t="str">
        <f t="shared" si="97"/>
        <v/>
      </c>
      <c r="DC11" s="76" t="str">
        <f>IF('PHY EDU '!E12="","",'PHY EDU '!E12)</f>
        <v/>
      </c>
      <c r="DD11" s="647" t="str">
        <f t="shared" si="98"/>
        <v/>
      </c>
      <c r="DE11" s="76" t="str">
        <f>IF('PHY EDU '!F12="","",'PHY EDU '!F12)</f>
        <v/>
      </c>
      <c r="DF11" s="76" t="str">
        <f>IF('PHY EDU '!G12="","",'PHY EDU '!G12)</f>
        <v/>
      </c>
      <c r="DG11" s="76" t="str">
        <f t="shared" si="99"/>
        <v/>
      </c>
      <c r="DH11" s="76" t="str">
        <f t="shared" si="100"/>
        <v/>
      </c>
      <c r="DI11" s="76" t="str">
        <f>IF('PHY EDU '!H12="","",'PHY EDU '!H12)</f>
        <v/>
      </c>
      <c r="DJ11" s="647" t="str">
        <f t="shared" si="101"/>
        <v/>
      </c>
      <c r="DK11" s="76" t="str">
        <f>IF('PHY EDU '!I12="","",'PHY EDU '!I12)</f>
        <v/>
      </c>
      <c r="DL11" s="76" t="str">
        <f>IF('PHY EDU '!J12="","",'PHY EDU '!J12)</f>
        <v/>
      </c>
      <c r="DM11" s="76" t="str">
        <f t="shared" si="102"/>
        <v/>
      </c>
      <c r="DN11" s="76" t="str">
        <f t="shared" si="103"/>
        <v/>
      </c>
      <c r="DO11" s="76" t="str">
        <f t="shared" si="104"/>
        <v/>
      </c>
      <c r="DP11" s="76" t="str">
        <f t="shared" si="105"/>
        <v/>
      </c>
      <c r="DQ11" s="76" t="str">
        <f t="shared" si="106"/>
        <v/>
      </c>
      <c r="DR11" s="76" t="str">
        <f t="shared" si="107"/>
        <v/>
      </c>
      <c r="DS11" s="76" t="str">
        <f>IF('PHY EDU '!M12="","",ROUNDUP('PHY EDU '!M12*$DS$6/'PHY EDU '!$M$7,0))</f>
        <v/>
      </c>
      <c r="DT11" s="76" t="str">
        <f t="shared" si="108"/>
        <v/>
      </c>
      <c r="DU11" s="76" t="str">
        <f t="shared" si="109"/>
        <v/>
      </c>
      <c r="DV11" s="72" t="str">
        <f t="shared" si="20"/>
        <v/>
      </c>
      <c r="DW11" s="72" t="str">
        <f t="shared" si="21"/>
        <v/>
      </c>
      <c r="DX11" s="72" t="str">
        <f t="shared" si="22"/>
        <v/>
      </c>
      <c r="DY11" s="72" t="str">
        <f t="shared" si="23"/>
        <v/>
      </c>
      <c r="DZ11" s="72" t="str">
        <f t="shared" si="24"/>
        <v/>
      </c>
      <c r="EA11" s="72" t="str">
        <f t="shared" si="25"/>
        <v/>
      </c>
      <c r="EB11" s="76" t="str">
        <f t="shared" si="26"/>
        <v/>
      </c>
      <c r="EC11" s="76" t="str">
        <f t="shared" si="27"/>
        <v/>
      </c>
      <c r="ED11" s="76" t="str">
        <f t="shared" si="28"/>
        <v/>
      </c>
      <c r="EE11" s="76" t="str">
        <f t="shared" si="29"/>
        <v/>
      </c>
      <c r="EF11" s="76" t="str">
        <f t="shared" si="30"/>
        <v/>
      </c>
      <c r="EG11" s="76" t="str">
        <f t="shared" si="31"/>
        <v/>
      </c>
      <c r="EH11" s="77" t="str">
        <f t="shared" si="32"/>
        <v/>
      </c>
      <c r="EI11" s="495" t="str">
        <f t="shared" si="110"/>
        <v/>
      </c>
      <c r="EJ11" s="86" t="str">
        <f t="shared" si="111"/>
        <v/>
      </c>
      <c r="EK11" s="78" t="str">
        <f t="shared" si="33"/>
        <v/>
      </c>
      <c r="EL11" s="79" t="str">
        <f t="shared" si="112"/>
        <v/>
      </c>
      <c r="EM11" s="139" t="str">
        <f t="shared" si="34"/>
        <v/>
      </c>
      <c r="EN11" s="77" t="str">
        <f t="shared" si="113"/>
        <v/>
      </c>
      <c r="EO11" s="77" t="str">
        <f>IF(EN11="","",ATTENDANCE!Q12&amp;"/"&amp;ATTENDANCE!$Q$7)</f>
        <v/>
      </c>
      <c r="EP11" s="80" t="str">
        <f t="shared" si="35"/>
        <v/>
      </c>
      <c r="EQ11" s="80" t="str">
        <f t="shared" si="114"/>
        <v/>
      </c>
      <c r="ER11" s="80" t="str">
        <f t="shared" si="115"/>
        <v/>
      </c>
      <c r="ES11" s="80" t="str">
        <f t="shared" si="116"/>
        <v/>
      </c>
      <c r="ET11" s="80" t="str">
        <f t="shared" si="117"/>
        <v/>
      </c>
      <c r="EU11" s="80" t="str">
        <f t="shared" si="118"/>
        <v/>
      </c>
      <c r="EV11" s="492" t="str">
        <f t="shared" si="119"/>
        <v/>
      </c>
      <c r="EW11" s="129" t="str">
        <f t="shared" si="36"/>
        <v/>
      </c>
      <c r="EX11" s="129" t="str">
        <f t="shared" si="120"/>
        <v/>
      </c>
      <c r="EY11" s="129" t="str">
        <f t="shared" si="121"/>
        <v/>
      </c>
      <c r="EZ11" s="129" t="str">
        <f t="shared" si="122"/>
        <v/>
      </c>
      <c r="FA11" s="129" t="str">
        <f t="shared" si="123"/>
        <v/>
      </c>
      <c r="FB11" s="129" t="str">
        <f t="shared" si="124"/>
        <v/>
      </c>
      <c r="FC11" s="80" t="str">
        <f t="shared" si="37"/>
        <v/>
      </c>
      <c r="FD11" s="80" t="str">
        <f t="shared" si="38"/>
        <v/>
      </c>
      <c r="FE11" s="80" t="str">
        <f t="shared" si="39"/>
        <v/>
      </c>
      <c r="FF11" s="488" t="str">
        <f t="shared" si="125"/>
        <v/>
      </c>
      <c r="FG11" s="80" t="str">
        <f t="shared" si="126"/>
        <v/>
      </c>
      <c r="FH11" s="80" t="str">
        <f t="shared" si="127"/>
        <v/>
      </c>
      <c r="FI11" s="496" t="str">
        <f t="shared" si="128"/>
        <v/>
      </c>
      <c r="FJ11" s="140" t="str">
        <f t="shared" si="40"/>
        <v/>
      </c>
      <c r="FK11" s="492" t="str">
        <f t="shared" si="129"/>
        <v/>
      </c>
      <c r="FL11" s="490" t="str">
        <f t="shared" si="130"/>
        <v/>
      </c>
      <c r="FM11" s="74" t="str">
        <f t="shared" si="131"/>
        <v/>
      </c>
    </row>
    <row r="12" spans="1:169" ht="28.5" customHeight="1" x14ac:dyDescent="0.3">
      <c r="A12" s="6"/>
      <c r="B12" s="25">
        <f>DATA!B10</f>
        <v>6</v>
      </c>
      <c r="C12" s="25" t="str">
        <f>IF(DATA!C10="","",DATA!C10)</f>
        <v/>
      </c>
      <c r="D12" s="25" t="str">
        <f>IF(DATA!D10="","",DATA!D10)</f>
        <v/>
      </c>
      <c r="E12" s="738" t="str">
        <f>IF(DATA!E10="","",DATA!E10)</f>
        <v/>
      </c>
      <c r="F12" s="738" t="str">
        <f>IF(DATA!F10="","",DATA!F10)</f>
        <v/>
      </c>
      <c r="G12" s="738" t="str">
        <f>IF(DATA!G10="","",DATA!G10)</f>
        <v/>
      </c>
      <c r="H12" s="214" t="str">
        <f>IF(DATA!H10="","",DATA!H10)</f>
        <v/>
      </c>
      <c r="I12" s="214" t="str">
        <f>IF(DATA!I10="","",DATA!I10)</f>
        <v/>
      </c>
      <c r="J12" s="214" t="str">
        <f>IF(DATA!J10="","",DATA!J10)</f>
        <v/>
      </c>
      <c r="K12" s="214" t="str">
        <f>IF(DATA!K10="","",DATA!K10)</f>
        <v/>
      </c>
      <c r="L12" s="73" t="str">
        <f>IF(ENGLISH!E12="","",ENGLISH!E12)</f>
        <v/>
      </c>
      <c r="M12" s="73" t="str">
        <f t="shared" si="41"/>
        <v/>
      </c>
      <c r="N12" s="73" t="str">
        <f>IF(ENGLISH!F12="","",ENGLISH!F12)</f>
        <v/>
      </c>
      <c r="O12" s="73" t="str">
        <f t="shared" si="42"/>
        <v/>
      </c>
      <c r="P12" s="73" t="str">
        <f>IF(ENGLISH!G12="","",ENGLISH!G12)</f>
        <v/>
      </c>
      <c r="Q12" s="73" t="str">
        <f t="shared" si="43"/>
        <v/>
      </c>
      <c r="R12" s="73" t="str">
        <f>IF(ENGLISH!H12="","",ENGLISH!H12)</f>
        <v/>
      </c>
      <c r="S12" s="73" t="str">
        <f>IF(ENGLISH!I12="","",ENGLISH!I12)</f>
        <v/>
      </c>
      <c r="T12" s="73" t="str">
        <f>IF(ENGLISH!J12="","",ENGLISH!J12)</f>
        <v/>
      </c>
      <c r="U12" s="73" t="str">
        <f>IF(ENGLISH!K12="","",ENGLISH!K12)</f>
        <v/>
      </c>
      <c r="V12" s="73" t="str">
        <f t="shared" si="44"/>
        <v/>
      </c>
      <c r="W12" s="81" t="str">
        <f>IF(ENGLISH!L12="","",ENGLISH!L12)</f>
        <v/>
      </c>
      <c r="X12" s="73" t="str">
        <f t="shared" si="45"/>
        <v/>
      </c>
      <c r="Y12" s="73" t="str">
        <f t="shared" si="46"/>
        <v/>
      </c>
      <c r="Z12" s="73" t="str">
        <f t="shared" si="47"/>
        <v/>
      </c>
      <c r="AA12" s="73" t="str">
        <f>IF(ENGLISH!O12="","",ENGLISH!O12*40/ENGLISH!$O$6)</f>
        <v/>
      </c>
      <c r="AB12" s="73" t="str">
        <f t="shared" si="48"/>
        <v/>
      </c>
      <c r="AC12" s="73" t="str">
        <f t="shared" si="49"/>
        <v/>
      </c>
      <c r="AD12" s="74" t="str">
        <f>IF(MATHS!E12="","",MATHS!E12)</f>
        <v/>
      </c>
      <c r="AE12" s="643" t="str">
        <f t="shared" si="50"/>
        <v/>
      </c>
      <c r="AF12" s="74" t="str">
        <f>IF(MATHS!F12="","",MATHS!F12)</f>
        <v/>
      </c>
      <c r="AG12" s="643" t="str">
        <f t="shared" si="51"/>
        <v/>
      </c>
      <c r="AH12" s="74" t="str">
        <f>IF(MATHS!G12="","",MATHS!G12)</f>
        <v/>
      </c>
      <c r="AI12" s="643" t="str">
        <f t="shared" si="52"/>
        <v/>
      </c>
      <c r="AJ12" s="75" t="str">
        <f t="shared" si="53"/>
        <v/>
      </c>
      <c r="AK12" s="75" t="str">
        <f t="shared" si="54"/>
        <v/>
      </c>
      <c r="AL12" s="75" t="str">
        <f t="shared" si="55"/>
        <v/>
      </c>
      <c r="AM12" s="75" t="str">
        <f>IF(MATHS!H12="","",MATHS!H12)</f>
        <v/>
      </c>
      <c r="AN12" s="75" t="str">
        <f>IF(MATHS!I12="","",MATHS!I12)</f>
        <v/>
      </c>
      <c r="AO12" s="75" t="str">
        <f>IF(MATHS!J12="","",MATHS!J12)</f>
        <v/>
      </c>
      <c r="AP12" s="75" t="str">
        <f t="shared" si="56"/>
        <v/>
      </c>
      <c r="AQ12" s="75" t="str">
        <f t="shared" si="57"/>
        <v/>
      </c>
      <c r="AR12" s="75" t="str">
        <f>IF(MATHS!K12="","",CEILING(MATHS!K12*$AR$6/MATHS!$K$6,1))</f>
        <v/>
      </c>
      <c r="AS12" s="76" t="str">
        <f t="shared" si="58"/>
        <v/>
      </c>
      <c r="AT12" s="76" t="str">
        <f t="shared" si="59"/>
        <v/>
      </c>
      <c r="AU12" s="76" t="str">
        <f>IF(MATHS!O12="","",MATHS!O12*$AU$6/MATHS!$O$6)</f>
        <v/>
      </c>
      <c r="AV12" s="76" t="str">
        <f t="shared" si="60"/>
        <v/>
      </c>
      <c r="AW12" s="76" t="str">
        <f t="shared" si="61"/>
        <v/>
      </c>
      <c r="AX12" s="73" t="str">
        <f>IF(PHYSICS!E13="","",PHYSICS!E13)</f>
        <v/>
      </c>
      <c r="AY12" s="644" t="str">
        <f t="shared" si="62"/>
        <v/>
      </c>
      <c r="AZ12" s="73" t="str">
        <f>IF(PHYSICS!F13="","",PHYSICS!F13)</f>
        <v/>
      </c>
      <c r="BA12" s="73" t="str">
        <f>IF(PHYSICS!G13="","",PHYSICS!G13)</f>
        <v/>
      </c>
      <c r="BB12" s="73" t="str">
        <f t="shared" si="63"/>
        <v/>
      </c>
      <c r="BC12" s="73" t="str">
        <f t="shared" si="64"/>
        <v/>
      </c>
      <c r="BD12" s="73" t="str">
        <f>IF(PHYSICS!H13="","",PHYSICS!H13)</f>
        <v/>
      </c>
      <c r="BE12" s="645" t="str">
        <f t="shared" si="65"/>
        <v/>
      </c>
      <c r="BF12" s="73" t="str">
        <f>IF(PHYSICS!I13="","",PHYSICS!I13)</f>
        <v/>
      </c>
      <c r="BG12" s="73" t="str">
        <f>IF(PHYSICS!J13="","",PHYSICS!J13)</f>
        <v/>
      </c>
      <c r="BH12" s="73" t="str">
        <f t="shared" si="66"/>
        <v/>
      </c>
      <c r="BI12" s="73" t="str">
        <f t="shared" si="67"/>
        <v/>
      </c>
      <c r="BJ12" s="73" t="str">
        <f t="shared" si="68"/>
        <v/>
      </c>
      <c r="BK12" s="73" t="str">
        <f t="shared" si="69"/>
        <v/>
      </c>
      <c r="BL12" s="73" t="str">
        <f t="shared" si="70"/>
        <v/>
      </c>
      <c r="BM12" s="73" t="str">
        <f t="shared" si="71"/>
        <v/>
      </c>
      <c r="BN12" s="73" t="str">
        <f>IF(PHYSICS!M13="","",PHYSICS!M13*$BN$6/PHYSICS!$M$7)</f>
        <v/>
      </c>
      <c r="BO12" s="73" t="str">
        <f t="shared" si="72"/>
        <v/>
      </c>
      <c r="BP12" s="73" t="str">
        <f t="shared" si="73"/>
        <v/>
      </c>
      <c r="BQ12" s="48" t="str">
        <f>IF(CHEMISTRY!E13="","",CHEMISTRY!E13)</f>
        <v/>
      </c>
      <c r="BR12" s="646" t="str">
        <f t="shared" si="74"/>
        <v/>
      </c>
      <c r="BS12" s="48" t="str">
        <f>IF(CHEMISTRY!F13="","",CHEMISTRY!F13)</f>
        <v/>
      </c>
      <c r="BT12" s="48" t="str">
        <f>IF(CHEMISTRY!G13="","",CHEMISTRY!G13)</f>
        <v/>
      </c>
      <c r="BU12" s="48" t="str">
        <f t="shared" si="75"/>
        <v/>
      </c>
      <c r="BV12" s="48" t="str">
        <f t="shared" si="76"/>
        <v/>
      </c>
      <c r="BW12" s="48" t="str">
        <f>IF(CHEMISTRY!H13="","",CHEMISTRY!H13)</f>
        <v/>
      </c>
      <c r="BX12" s="646" t="str">
        <f t="shared" si="77"/>
        <v/>
      </c>
      <c r="BY12" s="48" t="str">
        <f>IF(CHEMISTRY!I13="","",CHEMISTRY!I13)</f>
        <v/>
      </c>
      <c r="BZ12" s="48" t="str">
        <f>IF(CHEMISTRY!J13="","",CHEMISTRY!J13)</f>
        <v/>
      </c>
      <c r="CA12" s="48" t="str">
        <f t="shared" si="78"/>
        <v/>
      </c>
      <c r="CB12" s="48" t="str">
        <f t="shared" si="79"/>
        <v/>
      </c>
      <c r="CC12" s="48" t="str">
        <f t="shared" si="80"/>
        <v/>
      </c>
      <c r="CD12" s="48" t="str">
        <f t="shared" si="81"/>
        <v/>
      </c>
      <c r="CE12" s="48" t="str">
        <f t="shared" si="82"/>
        <v/>
      </c>
      <c r="CF12" s="48" t="str">
        <f t="shared" si="83"/>
        <v/>
      </c>
      <c r="CG12" s="48" t="str">
        <f>IF(CHEMISTRY!M13="","",CHEMISTRY!M13*$CG$6/CHEMISTRY!$M$7)</f>
        <v/>
      </c>
      <c r="CH12" s="48" t="str">
        <f t="shared" si="84"/>
        <v/>
      </c>
      <c r="CI12" s="48" t="str">
        <f t="shared" si="85"/>
        <v/>
      </c>
      <c r="CJ12" s="73" t="str">
        <f>IF(BIOLOGY!E13="","",BIOLOGY!E13)</f>
        <v/>
      </c>
      <c r="CK12" s="73" t="str">
        <f t="shared" si="86"/>
        <v/>
      </c>
      <c r="CL12" s="73" t="str">
        <f>IF(BIOLOGY!F13="","",BIOLOGY!F13)</f>
        <v/>
      </c>
      <c r="CM12" s="73" t="str">
        <f>IF(BIOLOGY!G13="","",BIOLOGY!G13)</f>
        <v/>
      </c>
      <c r="CN12" s="73" t="str">
        <f t="shared" si="87"/>
        <v/>
      </c>
      <c r="CO12" s="73" t="str">
        <f t="shared" si="88"/>
        <v/>
      </c>
      <c r="CP12" s="73" t="str">
        <f>IF(BIOLOGY!H13="","",BIOLOGY!H13)</f>
        <v/>
      </c>
      <c r="CQ12" s="73" t="str">
        <f t="shared" si="89"/>
        <v/>
      </c>
      <c r="CR12" s="73" t="str">
        <f>IF(BIOLOGY!I13="","",BIOLOGY!I13)</f>
        <v/>
      </c>
      <c r="CS12" s="73" t="str">
        <f>IF(BIOLOGY!J13="","",BIOLOGY!J13)</f>
        <v/>
      </c>
      <c r="CT12" s="73" t="str">
        <f t="shared" si="90"/>
        <v/>
      </c>
      <c r="CU12" s="73" t="str">
        <f t="shared" si="91"/>
        <v/>
      </c>
      <c r="CV12" s="73" t="str">
        <f t="shared" si="92"/>
        <v/>
      </c>
      <c r="CW12" s="73" t="str">
        <f t="shared" si="93"/>
        <v/>
      </c>
      <c r="CX12" s="73" t="str">
        <f t="shared" si="94"/>
        <v/>
      </c>
      <c r="CY12" s="73" t="str">
        <f t="shared" si="95"/>
        <v/>
      </c>
      <c r="CZ12" s="73" t="str">
        <f>IF(BIOLOGY!M13="","",CEILING((BIOLOGY!M13*$CZ$6/BIOLOGY!$M$7),1))</f>
        <v/>
      </c>
      <c r="DA12" s="73" t="str">
        <f t="shared" si="96"/>
        <v/>
      </c>
      <c r="DB12" s="73" t="str">
        <f t="shared" si="97"/>
        <v/>
      </c>
      <c r="DC12" s="76" t="str">
        <f>IF('PHY EDU '!E13="","",'PHY EDU '!E13)</f>
        <v/>
      </c>
      <c r="DD12" s="647" t="str">
        <f t="shared" si="98"/>
        <v/>
      </c>
      <c r="DE12" s="76" t="str">
        <f>IF('PHY EDU '!F13="","",'PHY EDU '!F13)</f>
        <v/>
      </c>
      <c r="DF12" s="76" t="str">
        <f>IF('PHY EDU '!G13="","",'PHY EDU '!G13)</f>
        <v/>
      </c>
      <c r="DG12" s="76" t="str">
        <f t="shared" si="99"/>
        <v/>
      </c>
      <c r="DH12" s="76" t="str">
        <f t="shared" si="100"/>
        <v/>
      </c>
      <c r="DI12" s="76" t="str">
        <f>IF('PHY EDU '!H13="","",'PHY EDU '!H13)</f>
        <v/>
      </c>
      <c r="DJ12" s="647" t="str">
        <f t="shared" si="101"/>
        <v/>
      </c>
      <c r="DK12" s="76" t="str">
        <f>IF('PHY EDU '!I13="","",'PHY EDU '!I13)</f>
        <v/>
      </c>
      <c r="DL12" s="76" t="str">
        <f>IF('PHY EDU '!J13="","",'PHY EDU '!J13)</f>
        <v/>
      </c>
      <c r="DM12" s="76" t="str">
        <f t="shared" si="102"/>
        <v/>
      </c>
      <c r="DN12" s="76" t="str">
        <f t="shared" si="103"/>
        <v/>
      </c>
      <c r="DO12" s="76" t="str">
        <f t="shared" si="104"/>
        <v/>
      </c>
      <c r="DP12" s="76" t="str">
        <f t="shared" si="105"/>
        <v/>
      </c>
      <c r="DQ12" s="76" t="str">
        <f t="shared" si="106"/>
        <v/>
      </c>
      <c r="DR12" s="76" t="str">
        <f t="shared" si="107"/>
        <v/>
      </c>
      <c r="DS12" s="76" t="str">
        <f>IF('PHY EDU '!M13="","",ROUNDUP('PHY EDU '!M13*$DS$6/'PHY EDU '!$M$7,0))</f>
        <v/>
      </c>
      <c r="DT12" s="76" t="str">
        <f t="shared" si="108"/>
        <v/>
      </c>
      <c r="DU12" s="76" t="str">
        <f t="shared" si="109"/>
        <v/>
      </c>
      <c r="DV12" s="72" t="str">
        <f t="shared" si="20"/>
        <v/>
      </c>
      <c r="DW12" s="72" t="str">
        <f t="shared" si="21"/>
        <v/>
      </c>
      <c r="DX12" s="72" t="str">
        <f t="shared" si="22"/>
        <v/>
      </c>
      <c r="DY12" s="72" t="str">
        <f t="shared" si="23"/>
        <v/>
      </c>
      <c r="DZ12" s="72" t="str">
        <f t="shared" si="24"/>
        <v/>
      </c>
      <c r="EA12" s="72" t="str">
        <f t="shared" si="25"/>
        <v/>
      </c>
      <c r="EB12" s="76" t="str">
        <f t="shared" si="26"/>
        <v/>
      </c>
      <c r="EC12" s="76" t="str">
        <f t="shared" si="27"/>
        <v/>
      </c>
      <c r="ED12" s="76" t="str">
        <f t="shared" si="28"/>
        <v/>
      </c>
      <c r="EE12" s="76" t="str">
        <f t="shared" si="29"/>
        <v/>
      </c>
      <c r="EF12" s="76" t="str">
        <f t="shared" si="30"/>
        <v/>
      </c>
      <c r="EG12" s="76" t="str">
        <f t="shared" si="31"/>
        <v/>
      </c>
      <c r="EH12" s="77" t="str">
        <f t="shared" si="32"/>
        <v/>
      </c>
      <c r="EI12" s="495" t="str">
        <f t="shared" si="110"/>
        <v/>
      </c>
      <c r="EJ12" s="86" t="str">
        <f t="shared" si="111"/>
        <v/>
      </c>
      <c r="EK12" s="78" t="str">
        <f t="shared" si="33"/>
        <v/>
      </c>
      <c r="EL12" s="79" t="str">
        <f t="shared" si="112"/>
        <v/>
      </c>
      <c r="EM12" s="139" t="str">
        <f t="shared" si="34"/>
        <v/>
      </c>
      <c r="EN12" s="77" t="str">
        <f t="shared" si="113"/>
        <v/>
      </c>
      <c r="EO12" s="77" t="str">
        <f>IF(EN12="","",ATTENDANCE!Q13&amp;"/"&amp;ATTENDANCE!$Q$7)</f>
        <v/>
      </c>
      <c r="EP12" s="80" t="str">
        <f t="shared" si="35"/>
        <v/>
      </c>
      <c r="EQ12" s="80" t="str">
        <f t="shared" si="114"/>
        <v/>
      </c>
      <c r="ER12" s="80" t="str">
        <f t="shared" si="115"/>
        <v/>
      </c>
      <c r="ES12" s="80" t="str">
        <f t="shared" si="116"/>
        <v/>
      </c>
      <c r="ET12" s="80" t="str">
        <f t="shared" si="117"/>
        <v/>
      </c>
      <c r="EU12" s="80" t="str">
        <f t="shared" si="118"/>
        <v/>
      </c>
      <c r="EV12" s="492" t="str">
        <f t="shared" si="119"/>
        <v/>
      </c>
      <c r="EW12" s="129" t="str">
        <f t="shared" si="36"/>
        <v/>
      </c>
      <c r="EX12" s="129" t="str">
        <f t="shared" si="120"/>
        <v/>
      </c>
      <c r="EY12" s="129" t="str">
        <f t="shared" si="121"/>
        <v/>
      </c>
      <c r="EZ12" s="129" t="str">
        <f t="shared" si="122"/>
        <v/>
      </c>
      <c r="FA12" s="129" t="str">
        <f t="shared" si="123"/>
        <v/>
      </c>
      <c r="FB12" s="129" t="str">
        <f t="shared" si="124"/>
        <v/>
      </c>
      <c r="FC12" s="80" t="str">
        <f t="shared" si="37"/>
        <v/>
      </c>
      <c r="FD12" s="80" t="str">
        <f t="shared" si="38"/>
        <v/>
      </c>
      <c r="FE12" s="80" t="str">
        <f t="shared" si="39"/>
        <v/>
      </c>
      <c r="FF12" s="488" t="str">
        <f t="shared" si="125"/>
        <v/>
      </c>
      <c r="FG12" s="80" t="str">
        <f t="shared" si="126"/>
        <v/>
      </c>
      <c r="FH12" s="80" t="str">
        <f t="shared" si="127"/>
        <v/>
      </c>
      <c r="FI12" s="496" t="str">
        <f t="shared" si="128"/>
        <v/>
      </c>
      <c r="FJ12" s="140" t="str">
        <f t="shared" si="40"/>
        <v/>
      </c>
      <c r="FK12" s="492" t="str">
        <f t="shared" si="129"/>
        <v/>
      </c>
      <c r="FL12" s="490" t="str">
        <f t="shared" si="130"/>
        <v/>
      </c>
      <c r="FM12" s="74" t="str">
        <f t="shared" si="131"/>
        <v/>
      </c>
    </row>
    <row r="13" spans="1:169" ht="28.5" customHeight="1" x14ac:dyDescent="0.3">
      <c r="A13" s="6"/>
      <c r="B13" s="25">
        <f>DATA!B11</f>
        <v>7</v>
      </c>
      <c r="C13" s="25" t="str">
        <f>IF(DATA!C11="","",DATA!C11)</f>
        <v/>
      </c>
      <c r="D13" s="25" t="str">
        <f>IF(DATA!D11="","",DATA!D11)</f>
        <v/>
      </c>
      <c r="E13" s="738" t="str">
        <f>IF(DATA!E11="","",DATA!E11)</f>
        <v/>
      </c>
      <c r="F13" s="738" t="str">
        <f>IF(DATA!F11="","",DATA!F11)</f>
        <v/>
      </c>
      <c r="G13" s="738" t="str">
        <f>IF(DATA!G11="","",DATA!G11)</f>
        <v/>
      </c>
      <c r="H13" s="214" t="str">
        <f>IF(DATA!H11="","",DATA!H11)</f>
        <v/>
      </c>
      <c r="I13" s="214" t="str">
        <f>IF(DATA!I11="","",DATA!I11)</f>
        <v/>
      </c>
      <c r="J13" s="214" t="str">
        <f>IF(DATA!J11="","",DATA!J11)</f>
        <v/>
      </c>
      <c r="K13" s="214" t="str">
        <f>IF(DATA!K11="","",DATA!K11)</f>
        <v/>
      </c>
      <c r="L13" s="73" t="str">
        <f>IF(ENGLISH!E13="","",ENGLISH!E13)</f>
        <v/>
      </c>
      <c r="M13" s="73" t="str">
        <f t="shared" si="41"/>
        <v/>
      </c>
      <c r="N13" s="73" t="str">
        <f>IF(ENGLISH!F13="","",ENGLISH!F13)</f>
        <v/>
      </c>
      <c r="O13" s="73" t="str">
        <f t="shared" si="42"/>
        <v/>
      </c>
      <c r="P13" s="73" t="str">
        <f>IF(ENGLISH!G13="","",ENGLISH!G13)</f>
        <v/>
      </c>
      <c r="Q13" s="73" t="str">
        <f t="shared" si="43"/>
        <v/>
      </c>
      <c r="R13" s="73" t="str">
        <f>IF(ENGLISH!H13="","",ENGLISH!H13)</f>
        <v/>
      </c>
      <c r="S13" s="73" t="str">
        <f>IF(ENGLISH!I13="","",ENGLISH!I13)</f>
        <v/>
      </c>
      <c r="T13" s="73" t="str">
        <f>IF(ENGLISH!J13="","",ENGLISH!J13)</f>
        <v/>
      </c>
      <c r="U13" s="73" t="str">
        <f>IF(ENGLISH!K13="","",ENGLISH!K13)</f>
        <v/>
      </c>
      <c r="V13" s="73" t="str">
        <f t="shared" si="44"/>
        <v/>
      </c>
      <c r="W13" s="81" t="str">
        <f>IF(ENGLISH!L13="","",ENGLISH!L13)</f>
        <v/>
      </c>
      <c r="X13" s="73" t="str">
        <f t="shared" si="45"/>
        <v/>
      </c>
      <c r="Y13" s="73" t="str">
        <f t="shared" si="46"/>
        <v/>
      </c>
      <c r="Z13" s="73" t="str">
        <f t="shared" si="47"/>
        <v/>
      </c>
      <c r="AA13" s="73" t="str">
        <f>IF(ENGLISH!O13="","",ENGLISH!O13*40/ENGLISH!$O$6)</f>
        <v/>
      </c>
      <c r="AB13" s="73" t="str">
        <f t="shared" si="48"/>
        <v/>
      </c>
      <c r="AC13" s="73" t="str">
        <f t="shared" si="49"/>
        <v/>
      </c>
      <c r="AD13" s="74" t="str">
        <f>IF(MATHS!E13="","",MATHS!E13)</f>
        <v/>
      </c>
      <c r="AE13" s="643" t="str">
        <f t="shared" si="50"/>
        <v/>
      </c>
      <c r="AF13" s="74" t="str">
        <f>IF(MATHS!F13="","",MATHS!F13)</f>
        <v/>
      </c>
      <c r="AG13" s="643" t="str">
        <f t="shared" si="51"/>
        <v/>
      </c>
      <c r="AH13" s="74" t="str">
        <f>IF(MATHS!G13="","",MATHS!G13)</f>
        <v/>
      </c>
      <c r="AI13" s="643" t="str">
        <f t="shared" si="52"/>
        <v/>
      </c>
      <c r="AJ13" s="75" t="str">
        <f t="shared" si="53"/>
        <v/>
      </c>
      <c r="AK13" s="75" t="str">
        <f t="shared" si="54"/>
        <v/>
      </c>
      <c r="AL13" s="75" t="str">
        <f t="shared" si="55"/>
        <v/>
      </c>
      <c r="AM13" s="75" t="str">
        <f>IF(MATHS!H13="","",MATHS!H13)</f>
        <v/>
      </c>
      <c r="AN13" s="75" t="str">
        <f>IF(MATHS!I13="","",MATHS!I13)</f>
        <v/>
      </c>
      <c r="AO13" s="75" t="str">
        <f>IF(MATHS!J13="","",MATHS!J13)</f>
        <v/>
      </c>
      <c r="AP13" s="75" t="str">
        <f t="shared" si="56"/>
        <v/>
      </c>
      <c r="AQ13" s="75" t="str">
        <f t="shared" si="57"/>
        <v/>
      </c>
      <c r="AR13" s="75" t="str">
        <f>IF(MATHS!K13="","",CEILING(MATHS!K13*$AR$6/MATHS!$K$6,1))</f>
        <v/>
      </c>
      <c r="AS13" s="76" t="str">
        <f t="shared" si="58"/>
        <v/>
      </c>
      <c r="AT13" s="76" t="str">
        <f t="shared" si="59"/>
        <v/>
      </c>
      <c r="AU13" s="76" t="str">
        <f>IF(MATHS!O13="","",MATHS!O13*$AU$6/MATHS!$O$6)</f>
        <v/>
      </c>
      <c r="AV13" s="76" t="str">
        <f t="shared" si="60"/>
        <v/>
      </c>
      <c r="AW13" s="76" t="str">
        <f t="shared" si="61"/>
        <v/>
      </c>
      <c r="AX13" s="73" t="str">
        <f>IF(PHYSICS!E14="","",PHYSICS!E14)</f>
        <v/>
      </c>
      <c r="AY13" s="644" t="str">
        <f t="shared" si="62"/>
        <v/>
      </c>
      <c r="AZ13" s="73" t="str">
        <f>IF(PHYSICS!F14="","",PHYSICS!F14)</f>
        <v/>
      </c>
      <c r="BA13" s="73" t="str">
        <f>IF(PHYSICS!G14="","",PHYSICS!G14)</f>
        <v/>
      </c>
      <c r="BB13" s="73" t="str">
        <f t="shared" si="63"/>
        <v/>
      </c>
      <c r="BC13" s="73" t="str">
        <f t="shared" si="64"/>
        <v/>
      </c>
      <c r="BD13" s="73" t="str">
        <f>IF(PHYSICS!H14="","",PHYSICS!H14)</f>
        <v/>
      </c>
      <c r="BE13" s="645" t="str">
        <f t="shared" si="65"/>
        <v/>
      </c>
      <c r="BF13" s="73" t="str">
        <f>IF(PHYSICS!I14="","",PHYSICS!I14)</f>
        <v/>
      </c>
      <c r="BG13" s="73" t="str">
        <f>IF(PHYSICS!J14="","",PHYSICS!J14)</f>
        <v/>
      </c>
      <c r="BH13" s="73" t="str">
        <f t="shared" si="66"/>
        <v/>
      </c>
      <c r="BI13" s="73" t="str">
        <f t="shared" si="67"/>
        <v/>
      </c>
      <c r="BJ13" s="73" t="str">
        <f t="shared" si="68"/>
        <v/>
      </c>
      <c r="BK13" s="73" t="str">
        <f t="shared" si="69"/>
        <v/>
      </c>
      <c r="BL13" s="73" t="str">
        <f t="shared" si="70"/>
        <v/>
      </c>
      <c r="BM13" s="73" t="str">
        <f t="shared" si="71"/>
        <v/>
      </c>
      <c r="BN13" s="73" t="str">
        <f>IF(PHYSICS!M14="","",PHYSICS!M14*$BN$6/PHYSICS!$M$7)</f>
        <v/>
      </c>
      <c r="BO13" s="73" t="str">
        <f t="shared" si="72"/>
        <v/>
      </c>
      <c r="BP13" s="73" t="str">
        <f t="shared" si="73"/>
        <v/>
      </c>
      <c r="BQ13" s="48" t="str">
        <f>IF(CHEMISTRY!E14="","",CHEMISTRY!E14)</f>
        <v/>
      </c>
      <c r="BR13" s="646" t="str">
        <f t="shared" si="74"/>
        <v/>
      </c>
      <c r="BS13" s="48" t="str">
        <f>IF(CHEMISTRY!F14="","",CHEMISTRY!F14)</f>
        <v/>
      </c>
      <c r="BT13" s="48" t="str">
        <f>IF(CHEMISTRY!G14="","",CHEMISTRY!G14)</f>
        <v/>
      </c>
      <c r="BU13" s="48" t="str">
        <f t="shared" si="75"/>
        <v/>
      </c>
      <c r="BV13" s="48" t="str">
        <f t="shared" si="76"/>
        <v/>
      </c>
      <c r="BW13" s="48" t="str">
        <f>IF(CHEMISTRY!H14="","",CHEMISTRY!H14)</f>
        <v/>
      </c>
      <c r="BX13" s="646" t="str">
        <f t="shared" si="77"/>
        <v/>
      </c>
      <c r="BY13" s="48" t="str">
        <f>IF(CHEMISTRY!I14="","",CHEMISTRY!I14)</f>
        <v/>
      </c>
      <c r="BZ13" s="48" t="str">
        <f>IF(CHEMISTRY!J14="","",CHEMISTRY!J14)</f>
        <v/>
      </c>
      <c r="CA13" s="48" t="str">
        <f t="shared" si="78"/>
        <v/>
      </c>
      <c r="CB13" s="48" t="str">
        <f t="shared" si="79"/>
        <v/>
      </c>
      <c r="CC13" s="48" t="str">
        <f t="shared" si="80"/>
        <v/>
      </c>
      <c r="CD13" s="48" t="str">
        <f t="shared" si="81"/>
        <v/>
      </c>
      <c r="CE13" s="48" t="str">
        <f t="shared" si="82"/>
        <v/>
      </c>
      <c r="CF13" s="48" t="str">
        <f t="shared" si="83"/>
        <v/>
      </c>
      <c r="CG13" s="48" t="str">
        <f>IF(CHEMISTRY!M14="","",CHEMISTRY!M14*$CG$6/CHEMISTRY!$M$7)</f>
        <v/>
      </c>
      <c r="CH13" s="48" t="str">
        <f t="shared" si="84"/>
        <v/>
      </c>
      <c r="CI13" s="48" t="str">
        <f t="shared" si="85"/>
        <v/>
      </c>
      <c r="CJ13" s="73" t="str">
        <f>IF(BIOLOGY!E14="","",BIOLOGY!E14)</f>
        <v/>
      </c>
      <c r="CK13" s="73" t="str">
        <f t="shared" si="86"/>
        <v/>
      </c>
      <c r="CL13" s="73" t="str">
        <f>IF(BIOLOGY!F14="","",BIOLOGY!F14)</f>
        <v/>
      </c>
      <c r="CM13" s="73" t="str">
        <f>IF(BIOLOGY!G14="","",BIOLOGY!G14)</f>
        <v/>
      </c>
      <c r="CN13" s="73" t="str">
        <f t="shared" si="87"/>
        <v/>
      </c>
      <c r="CO13" s="73" t="str">
        <f t="shared" si="88"/>
        <v/>
      </c>
      <c r="CP13" s="73" t="str">
        <f>IF(BIOLOGY!H14="","",BIOLOGY!H14)</f>
        <v/>
      </c>
      <c r="CQ13" s="73" t="str">
        <f t="shared" si="89"/>
        <v/>
      </c>
      <c r="CR13" s="73" t="str">
        <f>IF(BIOLOGY!I14="","",BIOLOGY!I14)</f>
        <v/>
      </c>
      <c r="CS13" s="73" t="str">
        <f>IF(BIOLOGY!J14="","",BIOLOGY!J14)</f>
        <v/>
      </c>
      <c r="CT13" s="73" t="str">
        <f t="shared" si="90"/>
        <v/>
      </c>
      <c r="CU13" s="73" t="str">
        <f t="shared" si="91"/>
        <v/>
      </c>
      <c r="CV13" s="73" t="str">
        <f t="shared" si="92"/>
        <v/>
      </c>
      <c r="CW13" s="73" t="str">
        <f t="shared" si="93"/>
        <v/>
      </c>
      <c r="CX13" s="73" t="str">
        <f t="shared" si="94"/>
        <v/>
      </c>
      <c r="CY13" s="73" t="str">
        <f t="shared" si="95"/>
        <v/>
      </c>
      <c r="CZ13" s="73" t="str">
        <f>IF(BIOLOGY!M14="","",CEILING((BIOLOGY!M14*$CZ$6/BIOLOGY!$M$7),1))</f>
        <v/>
      </c>
      <c r="DA13" s="73" t="str">
        <f t="shared" si="96"/>
        <v/>
      </c>
      <c r="DB13" s="73" t="str">
        <f t="shared" si="97"/>
        <v/>
      </c>
      <c r="DC13" s="76" t="str">
        <f>IF('PHY EDU '!E14="","",'PHY EDU '!E14)</f>
        <v/>
      </c>
      <c r="DD13" s="647" t="str">
        <f t="shared" si="98"/>
        <v/>
      </c>
      <c r="DE13" s="76" t="str">
        <f>IF('PHY EDU '!F14="","",'PHY EDU '!F14)</f>
        <v/>
      </c>
      <c r="DF13" s="76" t="str">
        <f>IF('PHY EDU '!G14="","",'PHY EDU '!G14)</f>
        <v/>
      </c>
      <c r="DG13" s="76" t="str">
        <f t="shared" si="99"/>
        <v/>
      </c>
      <c r="DH13" s="76" t="str">
        <f t="shared" si="100"/>
        <v/>
      </c>
      <c r="DI13" s="76" t="str">
        <f>IF('PHY EDU '!H14="","",'PHY EDU '!H14)</f>
        <v/>
      </c>
      <c r="DJ13" s="647" t="str">
        <f t="shared" si="101"/>
        <v/>
      </c>
      <c r="DK13" s="76" t="str">
        <f>IF('PHY EDU '!I14="","",'PHY EDU '!I14)</f>
        <v/>
      </c>
      <c r="DL13" s="76" t="str">
        <f>IF('PHY EDU '!J14="","",'PHY EDU '!J14)</f>
        <v/>
      </c>
      <c r="DM13" s="76" t="str">
        <f t="shared" si="102"/>
        <v/>
      </c>
      <c r="DN13" s="76" t="str">
        <f t="shared" si="103"/>
        <v/>
      </c>
      <c r="DO13" s="76" t="str">
        <f t="shared" si="104"/>
        <v/>
      </c>
      <c r="DP13" s="76" t="str">
        <f t="shared" si="105"/>
        <v/>
      </c>
      <c r="DQ13" s="76" t="str">
        <f t="shared" si="106"/>
        <v/>
      </c>
      <c r="DR13" s="76" t="str">
        <f t="shared" si="107"/>
        <v/>
      </c>
      <c r="DS13" s="76" t="str">
        <f>IF('PHY EDU '!M14="","",ROUNDUP('PHY EDU '!M14*$DS$6/'PHY EDU '!$M$7,0))</f>
        <v/>
      </c>
      <c r="DT13" s="76" t="str">
        <f t="shared" si="108"/>
        <v/>
      </c>
      <c r="DU13" s="76" t="str">
        <f t="shared" si="109"/>
        <v/>
      </c>
      <c r="DV13" s="72" t="str">
        <f t="shared" si="20"/>
        <v/>
      </c>
      <c r="DW13" s="72" t="str">
        <f t="shared" si="21"/>
        <v/>
      </c>
      <c r="DX13" s="72" t="str">
        <f t="shared" si="22"/>
        <v/>
      </c>
      <c r="DY13" s="72" t="str">
        <f t="shared" si="23"/>
        <v/>
      </c>
      <c r="DZ13" s="72" t="str">
        <f t="shared" si="24"/>
        <v/>
      </c>
      <c r="EA13" s="72" t="str">
        <f t="shared" si="25"/>
        <v/>
      </c>
      <c r="EB13" s="76" t="str">
        <f t="shared" si="26"/>
        <v/>
      </c>
      <c r="EC13" s="76" t="str">
        <f t="shared" si="27"/>
        <v/>
      </c>
      <c r="ED13" s="76" t="str">
        <f t="shared" si="28"/>
        <v/>
      </c>
      <c r="EE13" s="76" t="str">
        <f t="shared" si="29"/>
        <v/>
      </c>
      <c r="EF13" s="76" t="str">
        <f t="shared" si="30"/>
        <v/>
      </c>
      <c r="EG13" s="76" t="str">
        <f t="shared" si="31"/>
        <v/>
      </c>
      <c r="EH13" s="77" t="str">
        <f t="shared" si="32"/>
        <v/>
      </c>
      <c r="EI13" s="495" t="str">
        <f t="shared" si="110"/>
        <v/>
      </c>
      <c r="EJ13" s="86" t="str">
        <f t="shared" si="111"/>
        <v/>
      </c>
      <c r="EK13" s="78" t="str">
        <f t="shared" si="33"/>
        <v/>
      </c>
      <c r="EL13" s="79" t="str">
        <f t="shared" si="112"/>
        <v/>
      </c>
      <c r="EM13" s="139" t="str">
        <f t="shared" si="34"/>
        <v/>
      </c>
      <c r="EN13" s="77" t="str">
        <f t="shared" si="113"/>
        <v/>
      </c>
      <c r="EO13" s="77" t="str">
        <f>IF(EN13="","",ATTENDANCE!Q14&amp;"/"&amp;ATTENDANCE!$Q$7)</f>
        <v/>
      </c>
      <c r="EP13" s="80" t="str">
        <f t="shared" si="35"/>
        <v/>
      </c>
      <c r="EQ13" s="80" t="str">
        <f t="shared" si="114"/>
        <v/>
      </c>
      <c r="ER13" s="80" t="str">
        <f t="shared" si="115"/>
        <v/>
      </c>
      <c r="ES13" s="80" t="str">
        <f t="shared" si="116"/>
        <v/>
      </c>
      <c r="ET13" s="80" t="str">
        <f t="shared" si="117"/>
        <v/>
      </c>
      <c r="EU13" s="80" t="str">
        <f t="shared" si="118"/>
        <v/>
      </c>
      <c r="EV13" s="492" t="str">
        <f t="shared" si="119"/>
        <v/>
      </c>
      <c r="EW13" s="129" t="str">
        <f t="shared" si="36"/>
        <v/>
      </c>
      <c r="EX13" s="129" t="str">
        <f t="shared" si="120"/>
        <v/>
      </c>
      <c r="EY13" s="129" t="str">
        <f t="shared" si="121"/>
        <v/>
      </c>
      <c r="EZ13" s="129" t="str">
        <f t="shared" si="122"/>
        <v/>
      </c>
      <c r="FA13" s="129" t="str">
        <f t="shared" si="123"/>
        <v/>
      </c>
      <c r="FB13" s="129" t="str">
        <f t="shared" si="124"/>
        <v/>
      </c>
      <c r="FC13" s="80" t="str">
        <f t="shared" si="37"/>
        <v/>
      </c>
      <c r="FD13" s="80" t="str">
        <f t="shared" si="38"/>
        <v/>
      </c>
      <c r="FE13" s="80" t="str">
        <f t="shared" si="39"/>
        <v/>
      </c>
      <c r="FF13" s="488" t="str">
        <f t="shared" si="125"/>
        <v/>
      </c>
      <c r="FG13" s="80" t="str">
        <f t="shared" si="126"/>
        <v/>
      </c>
      <c r="FH13" s="80" t="str">
        <f t="shared" si="127"/>
        <v/>
      </c>
      <c r="FI13" s="496" t="str">
        <f t="shared" si="128"/>
        <v/>
      </c>
      <c r="FJ13" s="140" t="str">
        <f t="shared" si="40"/>
        <v/>
      </c>
      <c r="FK13" s="492" t="str">
        <f t="shared" si="129"/>
        <v/>
      </c>
      <c r="FL13" s="490" t="str">
        <f t="shared" si="130"/>
        <v/>
      </c>
      <c r="FM13" s="74" t="str">
        <f t="shared" si="131"/>
        <v/>
      </c>
    </row>
    <row r="14" spans="1:169" ht="28.5" customHeight="1" x14ac:dyDescent="0.3">
      <c r="A14" s="6"/>
      <c r="B14" s="25">
        <f>DATA!B12</f>
        <v>8</v>
      </c>
      <c r="C14" s="25" t="str">
        <f>IF(DATA!C12="","",DATA!C12)</f>
        <v/>
      </c>
      <c r="D14" s="25" t="str">
        <f>IF(DATA!D12="","",DATA!D12)</f>
        <v/>
      </c>
      <c r="E14" s="738" t="str">
        <f>IF(DATA!E12="","",DATA!E12)</f>
        <v/>
      </c>
      <c r="F14" s="738" t="str">
        <f>IF(DATA!F12="","",DATA!F12)</f>
        <v/>
      </c>
      <c r="G14" s="738" t="str">
        <f>IF(DATA!G12="","",DATA!G12)</f>
        <v/>
      </c>
      <c r="H14" s="214" t="str">
        <f>IF(DATA!H12="","",DATA!H12)</f>
        <v/>
      </c>
      <c r="I14" s="214" t="str">
        <f>IF(DATA!I12="","",DATA!I12)</f>
        <v/>
      </c>
      <c r="J14" s="214" t="str">
        <f>IF(DATA!J12="","",DATA!J12)</f>
        <v/>
      </c>
      <c r="K14" s="214" t="str">
        <f>IF(DATA!K12="","",DATA!K12)</f>
        <v/>
      </c>
      <c r="L14" s="73" t="str">
        <f>IF(ENGLISH!E14="","",ENGLISH!E14)</f>
        <v/>
      </c>
      <c r="M14" s="73" t="str">
        <f t="shared" si="41"/>
        <v/>
      </c>
      <c r="N14" s="73" t="str">
        <f>IF(ENGLISH!F14="","",ENGLISH!F14)</f>
        <v/>
      </c>
      <c r="O14" s="73" t="str">
        <f t="shared" si="42"/>
        <v/>
      </c>
      <c r="P14" s="73" t="str">
        <f>IF(ENGLISH!G14="","",ENGLISH!G14)</f>
        <v/>
      </c>
      <c r="Q14" s="73" t="str">
        <f t="shared" si="43"/>
        <v/>
      </c>
      <c r="R14" s="73" t="str">
        <f>IF(ENGLISH!H14="","",ENGLISH!H14)</f>
        <v/>
      </c>
      <c r="S14" s="73" t="str">
        <f>IF(ENGLISH!I14="","",ENGLISH!I14)</f>
        <v/>
      </c>
      <c r="T14" s="73" t="str">
        <f>IF(ENGLISH!J14="","",ENGLISH!J14)</f>
        <v/>
      </c>
      <c r="U14" s="73" t="str">
        <f>IF(ENGLISH!K14="","",ENGLISH!K14)</f>
        <v/>
      </c>
      <c r="V14" s="73" t="str">
        <f t="shared" si="44"/>
        <v/>
      </c>
      <c r="W14" s="81" t="str">
        <f>IF(ENGLISH!L14="","",ENGLISH!L14)</f>
        <v/>
      </c>
      <c r="X14" s="73" t="str">
        <f t="shared" si="45"/>
        <v/>
      </c>
      <c r="Y14" s="73" t="str">
        <f t="shared" si="46"/>
        <v/>
      </c>
      <c r="Z14" s="73" t="str">
        <f t="shared" si="47"/>
        <v/>
      </c>
      <c r="AA14" s="73" t="str">
        <f>IF(ENGLISH!O14="","",ENGLISH!O14*40/ENGLISH!$O$6)</f>
        <v/>
      </c>
      <c r="AB14" s="73" t="str">
        <f t="shared" si="48"/>
        <v/>
      </c>
      <c r="AC14" s="73" t="str">
        <f t="shared" si="49"/>
        <v/>
      </c>
      <c r="AD14" s="74" t="str">
        <f>IF(MATHS!E14="","",MATHS!E14)</f>
        <v/>
      </c>
      <c r="AE14" s="643" t="str">
        <f t="shared" si="50"/>
        <v/>
      </c>
      <c r="AF14" s="74" t="str">
        <f>IF(MATHS!F14="","",MATHS!F14)</f>
        <v/>
      </c>
      <c r="AG14" s="643" t="str">
        <f t="shared" si="51"/>
        <v/>
      </c>
      <c r="AH14" s="74" t="str">
        <f>IF(MATHS!G14="","",MATHS!G14)</f>
        <v/>
      </c>
      <c r="AI14" s="643" t="str">
        <f t="shared" si="52"/>
        <v/>
      </c>
      <c r="AJ14" s="75" t="str">
        <f t="shared" si="53"/>
        <v/>
      </c>
      <c r="AK14" s="75" t="str">
        <f t="shared" si="54"/>
        <v/>
      </c>
      <c r="AL14" s="75" t="str">
        <f t="shared" si="55"/>
        <v/>
      </c>
      <c r="AM14" s="75" t="str">
        <f>IF(MATHS!H14="","",MATHS!H14)</f>
        <v/>
      </c>
      <c r="AN14" s="75" t="str">
        <f>IF(MATHS!I14="","",MATHS!I14)</f>
        <v/>
      </c>
      <c r="AO14" s="75" t="str">
        <f>IF(MATHS!J14="","",MATHS!J14)</f>
        <v/>
      </c>
      <c r="AP14" s="75" t="str">
        <f t="shared" si="56"/>
        <v/>
      </c>
      <c r="AQ14" s="75" t="str">
        <f t="shared" si="57"/>
        <v/>
      </c>
      <c r="AR14" s="75" t="str">
        <f>IF(MATHS!K14="","",CEILING(MATHS!K14*$AR$6/MATHS!$K$6,1))</f>
        <v/>
      </c>
      <c r="AS14" s="76" t="str">
        <f t="shared" si="58"/>
        <v/>
      </c>
      <c r="AT14" s="76" t="str">
        <f t="shared" si="59"/>
        <v/>
      </c>
      <c r="AU14" s="76" t="str">
        <f>IF(MATHS!O14="","",MATHS!O14*$AU$6/MATHS!$O$6)</f>
        <v/>
      </c>
      <c r="AV14" s="76" t="str">
        <f t="shared" si="60"/>
        <v/>
      </c>
      <c r="AW14" s="76" t="str">
        <f t="shared" si="61"/>
        <v/>
      </c>
      <c r="AX14" s="73" t="str">
        <f>IF(PHYSICS!E15="","",PHYSICS!E15)</f>
        <v/>
      </c>
      <c r="AY14" s="644" t="str">
        <f t="shared" si="62"/>
        <v/>
      </c>
      <c r="AZ14" s="73" t="str">
        <f>IF(PHYSICS!F15="","",PHYSICS!F15)</f>
        <v/>
      </c>
      <c r="BA14" s="73" t="str">
        <f>IF(PHYSICS!G15="","",PHYSICS!G15)</f>
        <v/>
      </c>
      <c r="BB14" s="73" t="str">
        <f t="shared" si="63"/>
        <v/>
      </c>
      <c r="BC14" s="73" t="str">
        <f t="shared" si="64"/>
        <v/>
      </c>
      <c r="BD14" s="73" t="str">
        <f>IF(PHYSICS!H15="","",PHYSICS!H15)</f>
        <v/>
      </c>
      <c r="BE14" s="645" t="str">
        <f t="shared" si="65"/>
        <v/>
      </c>
      <c r="BF14" s="73" t="str">
        <f>IF(PHYSICS!I15="","",PHYSICS!I15)</f>
        <v/>
      </c>
      <c r="BG14" s="73" t="str">
        <f>IF(PHYSICS!J15="","",PHYSICS!J15)</f>
        <v/>
      </c>
      <c r="BH14" s="73" t="str">
        <f t="shared" si="66"/>
        <v/>
      </c>
      <c r="BI14" s="73" t="str">
        <f t="shared" si="67"/>
        <v/>
      </c>
      <c r="BJ14" s="73" t="str">
        <f t="shared" si="68"/>
        <v/>
      </c>
      <c r="BK14" s="73" t="str">
        <f t="shared" si="69"/>
        <v/>
      </c>
      <c r="BL14" s="73" t="str">
        <f t="shared" si="70"/>
        <v/>
      </c>
      <c r="BM14" s="73" t="str">
        <f t="shared" si="71"/>
        <v/>
      </c>
      <c r="BN14" s="73" t="str">
        <f>IF(PHYSICS!M15="","",PHYSICS!M15*$BN$6/PHYSICS!$M$7)</f>
        <v/>
      </c>
      <c r="BO14" s="73" t="str">
        <f t="shared" si="72"/>
        <v/>
      </c>
      <c r="BP14" s="73" t="str">
        <f t="shared" si="73"/>
        <v/>
      </c>
      <c r="BQ14" s="48" t="str">
        <f>IF(CHEMISTRY!E15="","",CHEMISTRY!E15)</f>
        <v/>
      </c>
      <c r="BR14" s="646" t="str">
        <f t="shared" si="74"/>
        <v/>
      </c>
      <c r="BS14" s="48" t="str">
        <f>IF(CHEMISTRY!F15="","",CHEMISTRY!F15)</f>
        <v/>
      </c>
      <c r="BT14" s="48" t="str">
        <f>IF(CHEMISTRY!G15="","",CHEMISTRY!G15)</f>
        <v/>
      </c>
      <c r="BU14" s="48" t="str">
        <f t="shared" si="75"/>
        <v/>
      </c>
      <c r="BV14" s="48" t="str">
        <f t="shared" si="76"/>
        <v/>
      </c>
      <c r="BW14" s="48" t="str">
        <f>IF(CHEMISTRY!H15="","",CHEMISTRY!H15)</f>
        <v/>
      </c>
      <c r="BX14" s="646" t="str">
        <f t="shared" si="77"/>
        <v/>
      </c>
      <c r="BY14" s="48" t="str">
        <f>IF(CHEMISTRY!I15="","",CHEMISTRY!I15)</f>
        <v/>
      </c>
      <c r="BZ14" s="48" t="str">
        <f>IF(CHEMISTRY!J15="","",CHEMISTRY!J15)</f>
        <v/>
      </c>
      <c r="CA14" s="48" t="str">
        <f t="shared" si="78"/>
        <v/>
      </c>
      <c r="CB14" s="48" t="str">
        <f t="shared" si="79"/>
        <v/>
      </c>
      <c r="CC14" s="48" t="str">
        <f t="shared" si="80"/>
        <v/>
      </c>
      <c r="CD14" s="48" t="str">
        <f t="shared" si="81"/>
        <v/>
      </c>
      <c r="CE14" s="48" t="str">
        <f t="shared" si="82"/>
        <v/>
      </c>
      <c r="CF14" s="48" t="str">
        <f t="shared" si="83"/>
        <v/>
      </c>
      <c r="CG14" s="48" t="str">
        <f>IF(CHEMISTRY!M15="","",CHEMISTRY!M15*$CG$6/CHEMISTRY!$M$7)</f>
        <v/>
      </c>
      <c r="CH14" s="48" t="str">
        <f t="shared" si="84"/>
        <v/>
      </c>
      <c r="CI14" s="48" t="str">
        <f t="shared" si="85"/>
        <v/>
      </c>
      <c r="CJ14" s="73" t="str">
        <f>IF(BIOLOGY!E15="","",BIOLOGY!E15)</f>
        <v/>
      </c>
      <c r="CK14" s="73" t="str">
        <f t="shared" si="86"/>
        <v/>
      </c>
      <c r="CL14" s="73" t="str">
        <f>IF(BIOLOGY!F15="","",BIOLOGY!F15)</f>
        <v/>
      </c>
      <c r="CM14" s="73" t="str">
        <f>IF(BIOLOGY!G15="","",BIOLOGY!G15)</f>
        <v/>
      </c>
      <c r="CN14" s="73" t="str">
        <f t="shared" si="87"/>
        <v/>
      </c>
      <c r="CO14" s="73" t="str">
        <f t="shared" si="88"/>
        <v/>
      </c>
      <c r="CP14" s="73" t="str">
        <f>IF(BIOLOGY!H15="","",BIOLOGY!H15)</f>
        <v/>
      </c>
      <c r="CQ14" s="73" t="str">
        <f t="shared" si="89"/>
        <v/>
      </c>
      <c r="CR14" s="73" t="str">
        <f>IF(BIOLOGY!I15="","",BIOLOGY!I15)</f>
        <v/>
      </c>
      <c r="CS14" s="73" t="str">
        <f>IF(BIOLOGY!J15="","",BIOLOGY!J15)</f>
        <v/>
      </c>
      <c r="CT14" s="73" t="str">
        <f t="shared" si="90"/>
        <v/>
      </c>
      <c r="CU14" s="73" t="str">
        <f t="shared" si="91"/>
        <v/>
      </c>
      <c r="CV14" s="73" t="str">
        <f t="shared" si="92"/>
        <v/>
      </c>
      <c r="CW14" s="73" t="str">
        <f t="shared" si="93"/>
        <v/>
      </c>
      <c r="CX14" s="73" t="str">
        <f t="shared" si="94"/>
        <v/>
      </c>
      <c r="CY14" s="73" t="str">
        <f t="shared" si="95"/>
        <v/>
      </c>
      <c r="CZ14" s="73" t="str">
        <f>IF(BIOLOGY!M15="","",CEILING((BIOLOGY!M15*$CZ$6/BIOLOGY!$M$7),1))</f>
        <v/>
      </c>
      <c r="DA14" s="73" t="str">
        <f t="shared" si="96"/>
        <v/>
      </c>
      <c r="DB14" s="73" t="str">
        <f t="shared" si="97"/>
        <v/>
      </c>
      <c r="DC14" s="76" t="str">
        <f>IF('PHY EDU '!E15="","",'PHY EDU '!E15)</f>
        <v/>
      </c>
      <c r="DD14" s="647" t="str">
        <f t="shared" si="98"/>
        <v/>
      </c>
      <c r="DE14" s="76" t="str">
        <f>IF('PHY EDU '!F15="","",'PHY EDU '!F15)</f>
        <v/>
      </c>
      <c r="DF14" s="76" t="str">
        <f>IF('PHY EDU '!G15="","",'PHY EDU '!G15)</f>
        <v/>
      </c>
      <c r="DG14" s="76" t="str">
        <f t="shared" si="99"/>
        <v/>
      </c>
      <c r="DH14" s="76" t="str">
        <f t="shared" si="100"/>
        <v/>
      </c>
      <c r="DI14" s="76" t="str">
        <f>IF('PHY EDU '!H15="","",'PHY EDU '!H15)</f>
        <v/>
      </c>
      <c r="DJ14" s="647" t="str">
        <f t="shared" si="101"/>
        <v/>
      </c>
      <c r="DK14" s="76" t="str">
        <f>IF('PHY EDU '!I15="","",'PHY EDU '!I15)</f>
        <v/>
      </c>
      <c r="DL14" s="76" t="str">
        <f>IF('PHY EDU '!J15="","",'PHY EDU '!J15)</f>
        <v/>
      </c>
      <c r="DM14" s="76" t="str">
        <f t="shared" si="102"/>
        <v/>
      </c>
      <c r="DN14" s="76" t="str">
        <f t="shared" si="103"/>
        <v/>
      </c>
      <c r="DO14" s="76" t="str">
        <f t="shared" si="104"/>
        <v/>
      </c>
      <c r="DP14" s="76" t="str">
        <f t="shared" si="105"/>
        <v/>
      </c>
      <c r="DQ14" s="76" t="str">
        <f t="shared" si="106"/>
        <v/>
      </c>
      <c r="DR14" s="76" t="str">
        <f t="shared" si="107"/>
        <v/>
      </c>
      <c r="DS14" s="76" t="str">
        <f>IF('PHY EDU '!M15="","",ROUNDUP('PHY EDU '!M15*$DS$6/'PHY EDU '!$M$7,0))</f>
        <v/>
      </c>
      <c r="DT14" s="76" t="str">
        <f t="shared" si="108"/>
        <v/>
      </c>
      <c r="DU14" s="76" t="str">
        <f t="shared" si="109"/>
        <v/>
      </c>
      <c r="DV14" s="72" t="str">
        <f t="shared" si="20"/>
        <v/>
      </c>
      <c r="DW14" s="72" t="str">
        <f t="shared" si="21"/>
        <v/>
      </c>
      <c r="DX14" s="72" t="str">
        <f t="shared" si="22"/>
        <v/>
      </c>
      <c r="DY14" s="72" t="str">
        <f t="shared" si="23"/>
        <v/>
      </c>
      <c r="DZ14" s="72" t="str">
        <f t="shared" si="24"/>
        <v/>
      </c>
      <c r="EA14" s="72" t="str">
        <f t="shared" si="25"/>
        <v/>
      </c>
      <c r="EB14" s="76" t="str">
        <f t="shared" si="26"/>
        <v/>
      </c>
      <c r="EC14" s="76" t="str">
        <f t="shared" si="27"/>
        <v/>
      </c>
      <c r="ED14" s="76" t="str">
        <f t="shared" si="28"/>
        <v/>
      </c>
      <c r="EE14" s="76" t="str">
        <f t="shared" si="29"/>
        <v/>
      </c>
      <c r="EF14" s="76" t="str">
        <f t="shared" si="30"/>
        <v/>
      </c>
      <c r="EG14" s="76" t="str">
        <f t="shared" si="31"/>
        <v/>
      </c>
      <c r="EH14" s="77" t="str">
        <f t="shared" si="32"/>
        <v/>
      </c>
      <c r="EI14" s="495" t="str">
        <f t="shared" si="110"/>
        <v/>
      </c>
      <c r="EJ14" s="86" t="str">
        <f t="shared" si="111"/>
        <v/>
      </c>
      <c r="EK14" s="78" t="str">
        <f t="shared" si="33"/>
        <v/>
      </c>
      <c r="EL14" s="79" t="str">
        <f t="shared" si="112"/>
        <v/>
      </c>
      <c r="EM14" s="139" t="str">
        <f t="shared" si="34"/>
        <v/>
      </c>
      <c r="EN14" s="77" t="str">
        <f t="shared" si="113"/>
        <v/>
      </c>
      <c r="EO14" s="77" t="str">
        <f>IF(EN14="","",ATTENDANCE!Q15&amp;"/"&amp;ATTENDANCE!$Q$7)</f>
        <v/>
      </c>
      <c r="EP14" s="80" t="str">
        <f t="shared" si="35"/>
        <v/>
      </c>
      <c r="EQ14" s="80" t="str">
        <f t="shared" si="114"/>
        <v/>
      </c>
      <c r="ER14" s="80" t="str">
        <f t="shared" si="115"/>
        <v/>
      </c>
      <c r="ES14" s="80" t="str">
        <f t="shared" si="116"/>
        <v/>
      </c>
      <c r="ET14" s="80" t="str">
        <f t="shared" si="117"/>
        <v/>
      </c>
      <c r="EU14" s="80" t="str">
        <f t="shared" si="118"/>
        <v/>
      </c>
      <c r="EV14" s="492" t="str">
        <f t="shared" si="119"/>
        <v/>
      </c>
      <c r="EW14" s="129" t="str">
        <f t="shared" si="36"/>
        <v/>
      </c>
      <c r="EX14" s="129" t="str">
        <f t="shared" si="120"/>
        <v/>
      </c>
      <c r="EY14" s="129" t="str">
        <f t="shared" si="121"/>
        <v/>
      </c>
      <c r="EZ14" s="129" t="str">
        <f t="shared" si="122"/>
        <v/>
      </c>
      <c r="FA14" s="129" t="str">
        <f t="shared" si="123"/>
        <v/>
      </c>
      <c r="FB14" s="129" t="str">
        <f t="shared" si="124"/>
        <v/>
      </c>
      <c r="FC14" s="80" t="str">
        <f t="shared" si="37"/>
        <v/>
      </c>
      <c r="FD14" s="80" t="str">
        <f t="shared" si="38"/>
        <v/>
      </c>
      <c r="FE14" s="80" t="str">
        <f t="shared" si="39"/>
        <v/>
      </c>
      <c r="FF14" s="488" t="str">
        <f t="shared" si="125"/>
        <v/>
      </c>
      <c r="FG14" s="80" t="str">
        <f t="shared" si="126"/>
        <v/>
      </c>
      <c r="FH14" s="80" t="str">
        <f t="shared" si="127"/>
        <v/>
      </c>
      <c r="FI14" s="496" t="str">
        <f t="shared" si="128"/>
        <v/>
      </c>
      <c r="FJ14" s="140" t="str">
        <f t="shared" si="40"/>
        <v/>
      </c>
      <c r="FK14" s="492" t="str">
        <f t="shared" si="129"/>
        <v/>
      </c>
      <c r="FL14" s="490" t="str">
        <f t="shared" si="130"/>
        <v/>
      </c>
      <c r="FM14" s="74" t="str">
        <f t="shared" si="131"/>
        <v/>
      </c>
    </row>
    <row r="15" spans="1:169" ht="28.5" customHeight="1" x14ac:dyDescent="0.3">
      <c r="A15" s="6"/>
      <c r="B15" s="25">
        <f>DATA!B13</f>
        <v>0</v>
      </c>
      <c r="C15" s="25" t="str">
        <f>IF(DATA!C13="","",DATA!C13)</f>
        <v/>
      </c>
      <c r="D15" s="25" t="str">
        <f>IF(DATA!D13="","",DATA!D13)</f>
        <v/>
      </c>
      <c r="E15" s="738" t="str">
        <f>IF(DATA!E13="","",DATA!E13)</f>
        <v/>
      </c>
      <c r="F15" s="738" t="str">
        <f>IF(DATA!F13="","",DATA!F13)</f>
        <v/>
      </c>
      <c r="G15" s="738" t="str">
        <f>IF(DATA!G13="","",DATA!G13)</f>
        <v/>
      </c>
      <c r="H15" s="214" t="str">
        <f>IF(DATA!H13="","",DATA!H13)</f>
        <v/>
      </c>
      <c r="I15" s="214" t="str">
        <f>IF(DATA!I13="","",DATA!I13)</f>
        <v/>
      </c>
      <c r="J15" s="214" t="str">
        <f>IF(DATA!J13="","",DATA!J13)</f>
        <v/>
      </c>
      <c r="K15" s="214" t="str">
        <f>IF(DATA!K13="","",DATA!K13)</f>
        <v/>
      </c>
      <c r="L15" s="73" t="str">
        <f>IF(ENGLISH!E15="","",ENGLISH!E15)</f>
        <v/>
      </c>
      <c r="M15" s="73" t="str">
        <f t="shared" si="41"/>
        <v/>
      </c>
      <c r="N15" s="73" t="str">
        <f>IF(ENGLISH!F15="","",ENGLISH!F15)</f>
        <v/>
      </c>
      <c r="O15" s="73" t="str">
        <f t="shared" si="42"/>
        <v/>
      </c>
      <c r="P15" s="73" t="str">
        <f>IF(ENGLISH!G15="","",ENGLISH!G15)</f>
        <v/>
      </c>
      <c r="Q15" s="73" t="str">
        <f t="shared" si="43"/>
        <v/>
      </c>
      <c r="R15" s="73" t="str">
        <f>IF(ENGLISH!H15="","",ENGLISH!H15)</f>
        <v/>
      </c>
      <c r="S15" s="73" t="str">
        <f>IF(ENGLISH!I15="","",ENGLISH!I15)</f>
        <v/>
      </c>
      <c r="T15" s="73" t="str">
        <f>IF(ENGLISH!J15="","",ENGLISH!J15)</f>
        <v/>
      </c>
      <c r="U15" s="73" t="str">
        <f>IF(ENGLISH!K15="","",ENGLISH!K15)</f>
        <v/>
      </c>
      <c r="V15" s="73" t="str">
        <f t="shared" si="44"/>
        <v/>
      </c>
      <c r="W15" s="81" t="str">
        <f>IF(ENGLISH!L15="","",ENGLISH!L15)</f>
        <v/>
      </c>
      <c r="X15" s="73" t="str">
        <f t="shared" si="45"/>
        <v/>
      </c>
      <c r="Y15" s="73" t="str">
        <f t="shared" si="46"/>
        <v/>
      </c>
      <c r="Z15" s="73" t="str">
        <f t="shared" si="47"/>
        <v/>
      </c>
      <c r="AA15" s="73" t="str">
        <f>IF(ENGLISH!O15="","",ENGLISH!O15*40/ENGLISH!$O$6)</f>
        <v/>
      </c>
      <c r="AB15" s="73" t="str">
        <f t="shared" si="48"/>
        <v/>
      </c>
      <c r="AC15" s="73" t="str">
        <f t="shared" si="49"/>
        <v/>
      </c>
      <c r="AD15" s="74" t="str">
        <f>IF(MATHS!E15="","",MATHS!E15)</f>
        <v/>
      </c>
      <c r="AE15" s="643" t="str">
        <f t="shared" si="50"/>
        <v/>
      </c>
      <c r="AF15" s="74" t="str">
        <f>IF(MATHS!F15="","",MATHS!F15)</f>
        <v/>
      </c>
      <c r="AG15" s="643" t="str">
        <f t="shared" si="51"/>
        <v/>
      </c>
      <c r="AH15" s="74" t="str">
        <f>IF(MATHS!G15="","",MATHS!G15)</f>
        <v/>
      </c>
      <c r="AI15" s="643" t="str">
        <f t="shared" si="52"/>
        <v/>
      </c>
      <c r="AJ15" s="75" t="str">
        <f t="shared" si="53"/>
        <v/>
      </c>
      <c r="AK15" s="75" t="str">
        <f t="shared" si="54"/>
        <v/>
      </c>
      <c r="AL15" s="75" t="str">
        <f t="shared" si="55"/>
        <v/>
      </c>
      <c r="AM15" s="75" t="str">
        <f>IF(MATHS!H15="","",MATHS!H15)</f>
        <v/>
      </c>
      <c r="AN15" s="75" t="str">
        <f>IF(MATHS!I15="","",MATHS!I15)</f>
        <v/>
      </c>
      <c r="AO15" s="75" t="str">
        <f>IF(MATHS!J15="","",MATHS!J15)</f>
        <v/>
      </c>
      <c r="AP15" s="75" t="str">
        <f t="shared" si="56"/>
        <v/>
      </c>
      <c r="AQ15" s="75" t="str">
        <f t="shared" si="57"/>
        <v/>
      </c>
      <c r="AR15" s="75" t="str">
        <f>IF(MATHS!K15="","",CEILING(MATHS!K15*$AR$6/MATHS!$K$6,1))</f>
        <v/>
      </c>
      <c r="AS15" s="76" t="str">
        <f t="shared" si="58"/>
        <v/>
      </c>
      <c r="AT15" s="76" t="str">
        <f t="shared" si="59"/>
        <v/>
      </c>
      <c r="AU15" s="76" t="str">
        <f>IF(MATHS!O15="","",MATHS!O15*$AU$6/MATHS!$O$6)</f>
        <v/>
      </c>
      <c r="AV15" s="76" t="str">
        <f t="shared" si="60"/>
        <v/>
      </c>
      <c r="AW15" s="76" t="str">
        <f t="shared" si="61"/>
        <v/>
      </c>
      <c r="AX15" s="73" t="str">
        <f>IF(PHYSICS!E16="","",PHYSICS!E16)</f>
        <v/>
      </c>
      <c r="AY15" s="644" t="str">
        <f t="shared" si="62"/>
        <v/>
      </c>
      <c r="AZ15" s="73" t="str">
        <f>IF(PHYSICS!F16="","",PHYSICS!F16)</f>
        <v/>
      </c>
      <c r="BA15" s="73" t="str">
        <f>IF(PHYSICS!G16="","",PHYSICS!G16)</f>
        <v/>
      </c>
      <c r="BB15" s="73" t="str">
        <f t="shared" si="63"/>
        <v/>
      </c>
      <c r="BC15" s="73" t="str">
        <f t="shared" si="64"/>
        <v/>
      </c>
      <c r="BD15" s="73" t="str">
        <f>IF(PHYSICS!H16="","",PHYSICS!H16)</f>
        <v/>
      </c>
      <c r="BE15" s="645" t="str">
        <f t="shared" si="65"/>
        <v/>
      </c>
      <c r="BF15" s="73" t="str">
        <f>IF(PHYSICS!I16="","",PHYSICS!I16)</f>
        <v/>
      </c>
      <c r="BG15" s="73" t="str">
        <f>IF(PHYSICS!J16="","",PHYSICS!J16)</f>
        <v/>
      </c>
      <c r="BH15" s="73" t="str">
        <f t="shared" si="66"/>
        <v/>
      </c>
      <c r="BI15" s="73" t="str">
        <f t="shared" si="67"/>
        <v/>
      </c>
      <c r="BJ15" s="73" t="str">
        <f t="shared" si="68"/>
        <v/>
      </c>
      <c r="BK15" s="73" t="str">
        <f t="shared" si="69"/>
        <v/>
      </c>
      <c r="BL15" s="73" t="str">
        <f t="shared" si="70"/>
        <v/>
      </c>
      <c r="BM15" s="73" t="str">
        <f t="shared" si="71"/>
        <v/>
      </c>
      <c r="BN15" s="73" t="str">
        <f>IF(PHYSICS!M16="","",PHYSICS!M16*$BN$6/PHYSICS!$M$7)</f>
        <v/>
      </c>
      <c r="BO15" s="73" t="str">
        <f t="shared" si="72"/>
        <v/>
      </c>
      <c r="BP15" s="73" t="str">
        <f t="shared" si="73"/>
        <v/>
      </c>
      <c r="BQ15" s="48" t="str">
        <f>IF(CHEMISTRY!E16="","",CHEMISTRY!E16)</f>
        <v/>
      </c>
      <c r="BR15" s="646" t="str">
        <f t="shared" si="74"/>
        <v/>
      </c>
      <c r="BS15" s="48" t="str">
        <f>IF(CHEMISTRY!F16="","",CHEMISTRY!F16)</f>
        <v/>
      </c>
      <c r="BT15" s="48" t="str">
        <f>IF(CHEMISTRY!G16="","",CHEMISTRY!G16)</f>
        <v/>
      </c>
      <c r="BU15" s="48" t="str">
        <f t="shared" si="75"/>
        <v/>
      </c>
      <c r="BV15" s="48" t="str">
        <f t="shared" si="76"/>
        <v/>
      </c>
      <c r="BW15" s="48" t="str">
        <f>IF(CHEMISTRY!H16="","",CHEMISTRY!H16)</f>
        <v/>
      </c>
      <c r="BX15" s="646" t="str">
        <f t="shared" si="77"/>
        <v/>
      </c>
      <c r="BY15" s="48" t="str">
        <f>IF(CHEMISTRY!I16="","",CHEMISTRY!I16)</f>
        <v/>
      </c>
      <c r="BZ15" s="48" t="str">
        <f>IF(CHEMISTRY!J16="","",CHEMISTRY!J16)</f>
        <v/>
      </c>
      <c r="CA15" s="48" t="str">
        <f t="shared" si="78"/>
        <v/>
      </c>
      <c r="CB15" s="48" t="str">
        <f t="shared" si="79"/>
        <v/>
      </c>
      <c r="CC15" s="48" t="str">
        <f t="shared" si="80"/>
        <v/>
      </c>
      <c r="CD15" s="48" t="str">
        <f t="shared" si="81"/>
        <v/>
      </c>
      <c r="CE15" s="48" t="str">
        <f t="shared" si="82"/>
        <v/>
      </c>
      <c r="CF15" s="48" t="str">
        <f t="shared" si="83"/>
        <v/>
      </c>
      <c r="CG15" s="48" t="str">
        <f>IF(CHEMISTRY!M16="","",CHEMISTRY!M16*$CG$6/CHEMISTRY!$M$7)</f>
        <v/>
      </c>
      <c r="CH15" s="48" t="str">
        <f t="shared" si="84"/>
        <v/>
      </c>
      <c r="CI15" s="48" t="str">
        <f t="shared" si="85"/>
        <v/>
      </c>
      <c r="CJ15" s="73" t="str">
        <f>IF(BIOLOGY!E16="","",BIOLOGY!E16)</f>
        <v/>
      </c>
      <c r="CK15" s="73" t="str">
        <f t="shared" si="86"/>
        <v/>
      </c>
      <c r="CL15" s="73" t="str">
        <f>IF(BIOLOGY!F16="","",BIOLOGY!F16)</f>
        <v/>
      </c>
      <c r="CM15" s="73" t="str">
        <f>IF(BIOLOGY!G16="","",BIOLOGY!G16)</f>
        <v/>
      </c>
      <c r="CN15" s="73" t="str">
        <f t="shared" si="87"/>
        <v/>
      </c>
      <c r="CO15" s="73" t="str">
        <f t="shared" si="88"/>
        <v/>
      </c>
      <c r="CP15" s="73" t="str">
        <f>IF(BIOLOGY!H16="","",BIOLOGY!H16)</f>
        <v/>
      </c>
      <c r="CQ15" s="73" t="str">
        <f t="shared" si="89"/>
        <v/>
      </c>
      <c r="CR15" s="73" t="str">
        <f>IF(BIOLOGY!I16="","",BIOLOGY!I16)</f>
        <v/>
      </c>
      <c r="CS15" s="73" t="str">
        <f>IF(BIOLOGY!J16="","",BIOLOGY!J16)</f>
        <v/>
      </c>
      <c r="CT15" s="73" t="str">
        <f t="shared" si="90"/>
        <v/>
      </c>
      <c r="CU15" s="73" t="str">
        <f t="shared" si="91"/>
        <v/>
      </c>
      <c r="CV15" s="73" t="str">
        <f t="shared" si="92"/>
        <v/>
      </c>
      <c r="CW15" s="73" t="str">
        <f t="shared" si="93"/>
        <v/>
      </c>
      <c r="CX15" s="73" t="str">
        <f t="shared" si="94"/>
        <v/>
      </c>
      <c r="CY15" s="73" t="str">
        <f t="shared" si="95"/>
        <v/>
      </c>
      <c r="CZ15" s="73" t="str">
        <f>IF(BIOLOGY!M16="","",CEILING((BIOLOGY!M16*$CZ$6/BIOLOGY!$M$7),1))</f>
        <v/>
      </c>
      <c r="DA15" s="73" t="str">
        <f t="shared" si="96"/>
        <v/>
      </c>
      <c r="DB15" s="73" t="str">
        <f t="shared" si="97"/>
        <v/>
      </c>
      <c r="DC15" s="76" t="str">
        <f>IF('PHY EDU '!E16="","",'PHY EDU '!E16)</f>
        <v/>
      </c>
      <c r="DD15" s="647" t="str">
        <f t="shared" si="98"/>
        <v/>
      </c>
      <c r="DE15" s="76" t="str">
        <f>IF('PHY EDU '!F16="","",'PHY EDU '!F16)</f>
        <v/>
      </c>
      <c r="DF15" s="76" t="str">
        <f>IF('PHY EDU '!G16="","",'PHY EDU '!G16)</f>
        <v/>
      </c>
      <c r="DG15" s="76" t="str">
        <f t="shared" si="99"/>
        <v/>
      </c>
      <c r="DH15" s="76" t="str">
        <f t="shared" si="100"/>
        <v/>
      </c>
      <c r="DI15" s="76" t="str">
        <f>IF('PHY EDU '!H16="","",'PHY EDU '!H16)</f>
        <v/>
      </c>
      <c r="DJ15" s="647" t="str">
        <f t="shared" si="101"/>
        <v/>
      </c>
      <c r="DK15" s="76" t="str">
        <f>IF('PHY EDU '!I16="","",'PHY EDU '!I16)</f>
        <v/>
      </c>
      <c r="DL15" s="76" t="str">
        <f>IF('PHY EDU '!J16="","",'PHY EDU '!J16)</f>
        <v/>
      </c>
      <c r="DM15" s="76" t="str">
        <f t="shared" si="102"/>
        <v/>
      </c>
      <c r="DN15" s="76" t="str">
        <f t="shared" si="103"/>
        <v/>
      </c>
      <c r="DO15" s="76" t="str">
        <f t="shared" si="104"/>
        <v/>
      </c>
      <c r="DP15" s="76" t="str">
        <f t="shared" si="105"/>
        <v/>
      </c>
      <c r="DQ15" s="76" t="str">
        <f t="shared" si="106"/>
        <v/>
      </c>
      <c r="DR15" s="76" t="str">
        <f t="shared" si="107"/>
        <v/>
      </c>
      <c r="DS15" s="76" t="str">
        <f>IF('PHY EDU '!M16="","",ROUNDUP('PHY EDU '!M16*$DS$6/'PHY EDU '!$M$7,0))</f>
        <v/>
      </c>
      <c r="DT15" s="76" t="str">
        <f t="shared" si="108"/>
        <v/>
      </c>
      <c r="DU15" s="76" t="str">
        <f t="shared" si="109"/>
        <v/>
      </c>
      <c r="DV15" s="72" t="str">
        <f t="shared" si="20"/>
        <v/>
      </c>
      <c r="DW15" s="72" t="str">
        <f t="shared" si="21"/>
        <v/>
      </c>
      <c r="DX15" s="72" t="str">
        <f t="shared" si="22"/>
        <v/>
      </c>
      <c r="DY15" s="72" t="str">
        <f t="shared" si="23"/>
        <v/>
      </c>
      <c r="DZ15" s="72" t="str">
        <f t="shared" si="24"/>
        <v/>
      </c>
      <c r="EA15" s="72" t="str">
        <f t="shared" si="25"/>
        <v/>
      </c>
      <c r="EB15" s="76" t="str">
        <f t="shared" si="26"/>
        <v/>
      </c>
      <c r="EC15" s="76" t="str">
        <f t="shared" si="27"/>
        <v/>
      </c>
      <c r="ED15" s="76" t="str">
        <f t="shared" si="28"/>
        <v/>
      </c>
      <c r="EE15" s="76" t="str">
        <f t="shared" si="29"/>
        <v/>
      </c>
      <c r="EF15" s="76" t="str">
        <f t="shared" si="30"/>
        <v/>
      </c>
      <c r="EG15" s="76" t="str">
        <f t="shared" si="31"/>
        <v/>
      </c>
      <c r="EH15" s="77" t="str">
        <f t="shared" si="32"/>
        <v/>
      </c>
      <c r="EI15" s="495" t="str">
        <f t="shared" si="110"/>
        <v/>
      </c>
      <c r="EJ15" s="86" t="str">
        <f t="shared" si="111"/>
        <v/>
      </c>
      <c r="EK15" s="78" t="str">
        <f t="shared" si="33"/>
        <v/>
      </c>
      <c r="EL15" s="79" t="str">
        <f t="shared" si="112"/>
        <v/>
      </c>
      <c r="EM15" s="139" t="str">
        <f t="shared" si="34"/>
        <v/>
      </c>
      <c r="EN15" s="77" t="str">
        <f t="shared" si="113"/>
        <v/>
      </c>
      <c r="EO15" s="77" t="str">
        <f>IF(EN15="","",ATTENDANCE!Q16&amp;"/"&amp;ATTENDANCE!$Q$7)</f>
        <v/>
      </c>
      <c r="EP15" s="80" t="str">
        <f t="shared" si="35"/>
        <v/>
      </c>
      <c r="EQ15" s="80" t="str">
        <f t="shared" si="114"/>
        <v/>
      </c>
      <c r="ER15" s="80" t="str">
        <f t="shared" si="115"/>
        <v/>
      </c>
      <c r="ES15" s="80" t="str">
        <f t="shared" si="116"/>
        <v/>
      </c>
      <c r="ET15" s="80" t="str">
        <f t="shared" si="117"/>
        <v/>
      </c>
      <c r="EU15" s="80" t="str">
        <f t="shared" si="118"/>
        <v/>
      </c>
      <c r="EV15" s="492" t="str">
        <f t="shared" si="119"/>
        <v/>
      </c>
      <c r="EW15" s="129" t="str">
        <f t="shared" si="36"/>
        <v/>
      </c>
      <c r="EX15" s="129" t="str">
        <f t="shared" si="120"/>
        <v/>
      </c>
      <c r="EY15" s="129" t="str">
        <f t="shared" si="121"/>
        <v/>
      </c>
      <c r="EZ15" s="129" t="str">
        <f t="shared" si="122"/>
        <v/>
      </c>
      <c r="FA15" s="129" t="str">
        <f t="shared" si="123"/>
        <v/>
      </c>
      <c r="FB15" s="129" t="str">
        <f t="shared" si="124"/>
        <v/>
      </c>
      <c r="FC15" s="80" t="str">
        <f t="shared" si="37"/>
        <v/>
      </c>
      <c r="FD15" s="80" t="str">
        <f t="shared" si="38"/>
        <v/>
      </c>
      <c r="FE15" s="80" t="str">
        <f t="shared" si="39"/>
        <v/>
      </c>
      <c r="FF15" s="488" t="str">
        <f t="shared" si="125"/>
        <v/>
      </c>
      <c r="FG15" s="80" t="str">
        <f t="shared" si="126"/>
        <v/>
      </c>
      <c r="FH15" s="80" t="str">
        <f t="shared" si="127"/>
        <v/>
      </c>
      <c r="FI15" s="496" t="str">
        <f t="shared" si="128"/>
        <v/>
      </c>
      <c r="FJ15" s="140" t="str">
        <f t="shared" si="40"/>
        <v/>
      </c>
      <c r="FK15" s="492" t="str">
        <f t="shared" si="129"/>
        <v/>
      </c>
      <c r="FL15" s="490" t="str">
        <f t="shared" si="130"/>
        <v/>
      </c>
      <c r="FM15" s="74" t="str">
        <f t="shared" si="131"/>
        <v/>
      </c>
    </row>
    <row r="16" spans="1:169" ht="28.5" customHeight="1" x14ac:dyDescent="0.3">
      <c r="A16" s="6"/>
      <c r="B16" s="25">
        <f>DATA!B14</f>
        <v>0</v>
      </c>
      <c r="C16" s="25" t="str">
        <f>IF(DATA!C14="","",DATA!C14)</f>
        <v/>
      </c>
      <c r="D16" s="25" t="str">
        <f>IF(DATA!D14="","",DATA!D14)</f>
        <v/>
      </c>
      <c r="E16" s="738" t="str">
        <f>IF(DATA!E14="","",DATA!E14)</f>
        <v/>
      </c>
      <c r="F16" s="738" t="str">
        <f>IF(DATA!F14="","",DATA!F14)</f>
        <v/>
      </c>
      <c r="G16" s="738" t="str">
        <f>IF(DATA!G14="","",DATA!G14)</f>
        <v/>
      </c>
      <c r="H16" s="214" t="str">
        <f>IF(DATA!H14="","",DATA!H14)</f>
        <v/>
      </c>
      <c r="I16" s="214" t="str">
        <f>IF(DATA!I14="","",DATA!I14)</f>
        <v/>
      </c>
      <c r="J16" s="214" t="str">
        <f>IF(DATA!J14="","",DATA!J14)</f>
        <v/>
      </c>
      <c r="K16" s="214" t="str">
        <f>IF(DATA!K14="","",DATA!K14)</f>
        <v/>
      </c>
      <c r="L16" s="73" t="str">
        <f>IF(ENGLISH!E16="","",ENGLISH!E16)</f>
        <v/>
      </c>
      <c r="M16" s="73" t="str">
        <f t="shared" si="41"/>
        <v/>
      </c>
      <c r="N16" s="73" t="str">
        <f>IF(ENGLISH!F16="","",ENGLISH!F16)</f>
        <v/>
      </c>
      <c r="O16" s="73" t="str">
        <f t="shared" si="42"/>
        <v/>
      </c>
      <c r="P16" s="73" t="str">
        <f>IF(ENGLISH!G16="","",ENGLISH!G16)</f>
        <v/>
      </c>
      <c r="Q16" s="73" t="str">
        <f t="shared" si="43"/>
        <v/>
      </c>
      <c r="R16" s="73" t="str">
        <f>IF(ENGLISH!H16="","",ENGLISH!H16)</f>
        <v/>
      </c>
      <c r="S16" s="73" t="str">
        <f>IF(ENGLISH!I16="","",ENGLISH!I16)</f>
        <v/>
      </c>
      <c r="T16" s="73" t="str">
        <f>IF(ENGLISH!J16="","",ENGLISH!J16)</f>
        <v/>
      </c>
      <c r="U16" s="73" t="str">
        <f>IF(ENGLISH!K16="","",ENGLISH!K16)</f>
        <v/>
      </c>
      <c r="V16" s="73" t="str">
        <f t="shared" si="44"/>
        <v/>
      </c>
      <c r="W16" s="81" t="str">
        <f>IF(ENGLISH!L16="","",ENGLISH!L16)</f>
        <v/>
      </c>
      <c r="X16" s="73" t="str">
        <f t="shared" si="45"/>
        <v/>
      </c>
      <c r="Y16" s="73" t="str">
        <f t="shared" si="46"/>
        <v/>
      </c>
      <c r="Z16" s="73" t="str">
        <f t="shared" si="47"/>
        <v/>
      </c>
      <c r="AA16" s="73" t="str">
        <f>IF(ENGLISH!O16="","",ENGLISH!O16*40/ENGLISH!$O$6)</f>
        <v/>
      </c>
      <c r="AB16" s="73" t="str">
        <f t="shared" si="48"/>
        <v/>
      </c>
      <c r="AC16" s="73" t="str">
        <f t="shared" si="49"/>
        <v/>
      </c>
      <c r="AD16" s="74" t="str">
        <f>IF(MATHS!E16="","",MATHS!E16)</f>
        <v/>
      </c>
      <c r="AE16" s="643" t="str">
        <f t="shared" si="50"/>
        <v/>
      </c>
      <c r="AF16" s="74" t="str">
        <f>IF(MATHS!F16="","",MATHS!F16)</f>
        <v/>
      </c>
      <c r="AG16" s="643" t="str">
        <f t="shared" si="51"/>
        <v/>
      </c>
      <c r="AH16" s="74" t="str">
        <f>IF(MATHS!G16="","",MATHS!G16)</f>
        <v/>
      </c>
      <c r="AI16" s="643" t="str">
        <f t="shared" si="52"/>
        <v/>
      </c>
      <c r="AJ16" s="75" t="str">
        <f t="shared" si="53"/>
        <v/>
      </c>
      <c r="AK16" s="75" t="str">
        <f t="shared" si="54"/>
        <v/>
      </c>
      <c r="AL16" s="75" t="str">
        <f t="shared" si="55"/>
        <v/>
      </c>
      <c r="AM16" s="75" t="str">
        <f>IF(MATHS!H16="","",MATHS!H16)</f>
        <v/>
      </c>
      <c r="AN16" s="75" t="str">
        <f>IF(MATHS!I16="","",MATHS!I16)</f>
        <v/>
      </c>
      <c r="AO16" s="75" t="str">
        <f>IF(MATHS!J16="","",MATHS!J16)</f>
        <v/>
      </c>
      <c r="AP16" s="75" t="str">
        <f t="shared" si="56"/>
        <v/>
      </c>
      <c r="AQ16" s="75" t="str">
        <f t="shared" si="57"/>
        <v/>
      </c>
      <c r="AR16" s="75" t="str">
        <f>IF(MATHS!K16="","",CEILING(MATHS!K16*$AR$6/MATHS!$K$6,1))</f>
        <v/>
      </c>
      <c r="AS16" s="76" t="str">
        <f t="shared" si="58"/>
        <v/>
      </c>
      <c r="AT16" s="76" t="str">
        <f t="shared" si="59"/>
        <v/>
      </c>
      <c r="AU16" s="76" t="str">
        <f>IF(MATHS!O16="","",MATHS!O16*$AU$6/MATHS!$O$6)</f>
        <v/>
      </c>
      <c r="AV16" s="76" t="str">
        <f t="shared" si="60"/>
        <v/>
      </c>
      <c r="AW16" s="76" t="str">
        <f t="shared" si="61"/>
        <v/>
      </c>
      <c r="AX16" s="73" t="str">
        <f>IF(PHYSICS!E17="","",PHYSICS!E17)</f>
        <v/>
      </c>
      <c r="AY16" s="644" t="str">
        <f t="shared" si="62"/>
        <v/>
      </c>
      <c r="AZ16" s="73" t="str">
        <f>IF(PHYSICS!F17="","",PHYSICS!F17)</f>
        <v/>
      </c>
      <c r="BA16" s="73" t="str">
        <f>IF(PHYSICS!G17="","",PHYSICS!G17)</f>
        <v/>
      </c>
      <c r="BB16" s="73" t="str">
        <f t="shared" si="63"/>
        <v/>
      </c>
      <c r="BC16" s="73" t="str">
        <f t="shared" si="64"/>
        <v/>
      </c>
      <c r="BD16" s="73" t="str">
        <f>IF(PHYSICS!H17="","",PHYSICS!H17)</f>
        <v/>
      </c>
      <c r="BE16" s="645" t="str">
        <f t="shared" si="65"/>
        <v/>
      </c>
      <c r="BF16" s="73" t="str">
        <f>IF(PHYSICS!I17="","",PHYSICS!I17)</f>
        <v/>
      </c>
      <c r="BG16" s="73" t="str">
        <f>IF(PHYSICS!J17="","",PHYSICS!J17)</f>
        <v/>
      </c>
      <c r="BH16" s="73" t="str">
        <f t="shared" si="66"/>
        <v/>
      </c>
      <c r="BI16" s="73" t="str">
        <f t="shared" si="67"/>
        <v/>
      </c>
      <c r="BJ16" s="73" t="str">
        <f t="shared" si="68"/>
        <v/>
      </c>
      <c r="BK16" s="73" t="str">
        <f t="shared" si="69"/>
        <v/>
      </c>
      <c r="BL16" s="73" t="str">
        <f t="shared" si="70"/>
        <v/>
      </c>
      <c r="BM16" s="73" t="str">
        <f t="shared" si="71"/>
        <v/>
      </c>
      <c r="BN16" s="73" t="str">
        <f>IF(PHYSICS!M17="","",PHYSICS!M17*$BN$6/PHYSICS!$M$7)</f>
        <v/>
      </c>
      <c r="BO16" s="73" t="str">
        <f t="shared" si="72"/>
        <v/>
      </c>
      <c r="BP16" s="73" t="str">
        <f t="shared" si="73"/>
        <v/>
      </c>
      <c r="BQ16" s="48" t="str">
        <f>IF(CHEMISTRY!E17="","",CHEMISTRY!E17)</f>
        <v/>
      </c>
      <c r="BR16" s="646" t="str">
        <f t="shared" si="74"/>
        <v/>
      </c>
      <c r="BS16" s="48" t="str">
        <f>IF(CHEMISTRY!F17="","",CHEMISTRY!F17)</f>
        <v/>
      </c>
      <c r="BT16" s="48" t="str">
        <f>IF(CHEMISTRY!G17="","",CHEMISTRY!G17)</f>
        <v/>
      </c>
      <c r="BU16" s="48" t="str">
        <f t="shared" si="75"/>
        <v/>
      </c>
      <c r="BV16" s="48" t="str">
        <f t="shared" si="76"/>
        <v/>
      </c>
      <c r="BW16" s="48" t="str">
        <f>IF(CHEMISTRY!H17="","",CHEMISTRY!H17)</f>
        <v/>
      </c>
      <c r="BX16" s="646" t="str">
        <f t="shared" si="77"/>
        <v/>
      </c>
      <c r="BY16" s="48" t="str">
        <f>IF(CHEMISTRY!I17="","",CHEMISTRY!I17)</f>
        <v/>
      </c>
      <c r="BZ16" s="48" t="str">
        <f>IF(CHEMISTRY!J17="","",CHEMISTRY!J17)</f>
        <v/>
      </c>
      <c r="CA16" s="48" t="str">
        <f t="shared" si="78"/>
        <v/>
      </c>
      <c r="CB16" s="48" t="str">
        <f t="shared" si="79"/>
        <v/>
      </c>
      <c r="CC16" s="48" t="str">
        <f t="shared" si="80"/>
        <v/>
      </c>
      <c r="CD16" s="48" t="str">
        <f t="shared" si="81"/>
        <v/>
      </c>
      <c r="CE16" s="48" t="str">
        <f t="shared" si="82"/>
        <v/>
      </c>
      <c r="CF16" s="48" t="str">
        <f t="shared" si="83"/>
        <v/>
      </c>
      <c r="CG16" s="48" t="str">
        <f>IF(CHEMISTRY!M17="","",CHEMISTRY!M17*$CG$6/CHEMISTRY!$M$7)</f>
        <v/>
      </c>
      <c r="CH16" s="48" t="str">
        <f t="shared" si="84"/>
        <v/>
      </c>
      <c r="CI16" s="48" t="str">
        <f t="shared" si="85"/>
        <v/>
      </c>
      <c r="CJ16" s="73" t="str">
        <f>IF(BIOLOGY!E17="","",BIOLOGY!E17)</f>
        <v/>
      </c>
      <c r="CK16" s="73" t="str">
        <f t="shared" si="86"/>
        <v/>
      </c>
      <c r="CL16" s="73" t="str">
        <f>IF(BIOLOGY!F17="","",BIOLOGY!F17)</f>
        <v/>
      </c>
      <c r="CM16" s="73" t="str">
        <f>IF(BIOLOGY!G17="","",BIOLOGY!G17)</f>
        <v/>
      </c>
      <c r="CN16" s="73" t="str">
        <f t="shared" si="87"/>
        <v/>
      </c>
      <c r="CO16" s="73" t="str">
        <f t="shared" si="88"/>
        <v/>
      </c>
      <c r="CP16" s="73" t="str">
        <f>IF(BIOLOGY!H17="","",BIOLOGY!H17)</f>
        <v/>
      </c>
      <c r="CQ16" s="73" t="str">
        <f t="shared" si="89"/>
        <v/>
      </c>
      <c r="CR16" s="73" t="str">
        <f>IF(BIOLOGY!I17="","",BIOLOGY!I17)</f>
        <v/>
      </c>
      <c r="CS16" s="73" t="str">
        <f>IF(BIOLOGY!J17="","",BIOLOGY!J17)</f>
        <v/>
      </c>
      <c r="CT16" s="73" t="str">
        <f t="shared" si="90"/>
        <v/>
      </c>
      <c r="CU16" s="73" t="str">
        <f t="shared" si="91"/>
        <v/>
      </c>
      <c r="CV16" s="73" t="str">
        <f t="shared" si="92"/>
        <v/>
      </c>
      <c r="CW16" s="73" t="str">
        <f t="shared" si="93"/>
        <v/>
      </c>
      <c r="CX16" s="73" t="str">
        <f t="shared" si="94"/>
        <v/>
      </c>
      <c r="CY16" s="73" t="str">
        <f t="shared" si="95"/>
        <v/>
      </c>
      <c r="CZ16" s="73" t="str">
        <f>IF(BIOLOGY!M17="","",CEILING((BIOLOGY!M17*$CZ$6/BIOLOGY!$M$7),1))</f>
        <v/>
      </c>
      <c r="DA16" s="73" t="str">
        <f t="shared" si="96"/>
        <v/>
      </c>
      <c r="DB16" s="73" t="str">
        <f t="shared" si="97"/>
        <v/>
      </c>
      <c r="DC16" s="76" t="str">
        <f>IF('PHY EDU '!E17="","",'PHY EDU '!E17)</f>
        <v/>
      </c>
      <c r="DD16" s="647" t="str">
        <f t="shared" si="98"/>
        <v/>
      </c>
      <c r="DE16" s="76" t="str">
        <f>IF('PHY EDU '!F17="","",'PHY EDU '!F17)</f>
        <v/>
      </c>
      <c r="DF16" s="76" t="str">
        <f>IF('PHY EDU '!G17="","",'PHY EDU '!G17)</f>
        <v/>
      </c>
      <c r="DG16" s="76" t="str">
        <f t="shared" si="99"/>
        <v/>
      </c>
      <c r="DH16" s="76" t="str">
        <f t="shared" si="100"/>
        <v/>
      </c>
      <c r="DI16" s="76" t="str">
        <f>IF('PHY EDU '!H17="","",'PHY EDU '!H17)</f>
        <v/>
      </c>
      <c r="DJ16" s="647" t="str">
        <f t="shared" si="101"/>
        <v/>
      </c>
      <c r="DK16" s="76" t="str">
        <f>IF('PHY EDU '!I17="","",'PHY EDU '!I17)</f>
        <v/>
      </c>
      <c r="DL16" s="76" t="str">
        <f>IF('PHY EDU '!J17="","",'PHY EDU '!J17)</f>
        <v/>
      </c>
      <c r="DM16" s="76" t="str">
        <f t="shared" si="102"/>
        <v/>
      </c>
      <c r="DN16" s="76" t="str">
        <f t="shared" si="103"/>
        <v/>
      </c>
      <c r="DO16" s="76" t="str">
        <f t="shared" si="104"/>
        <v/>
      </c>
      <c r="DP16" s="76" t="str">
        <f t="shared" si="105"/>
        <v/>
      </c>
      <c r="DQ16" s="76" t="str">
        <f t="shared" si="106"/>
        <v/>
      </c>
      <c r="DR16" s="76" t="str">
        <f t="shared" si="107"/>
        <v/>
      </c>
      <c r="DS16" s="76" t="str">
        <f>IF('PHY EDU '!M17="","",ROUNDUP('PHY EDU '!M17*$DS$6/'PHY EDU '!$M$7,0))</f>
        <v/>
      </c>
      <c r="DT16" s="76" t="str">
        <f t="shared" si="108"/>
        <v/>
      </c>
      <c r="DU16" s="76" t="str">
        <f t="shared" si="109"/>
        <v/>
      </c>
      <c r="DV16" s="72" t="str">
        <f t="shared" si="20"/>
        <v/>
      </c>
      <c r="DW16" s="72" t="str">
        <f t="shared" si="21"/>
        <v/>
      </c>
      <c r="DX16" s="72" t="str">
        <f t="shared" si="22"/>
        <v/>
      </c>
      <c r="DY16" s="72" t="str">
        <f t="shared" si="23"/>
        <v/>
      </c>
      <c r="DZ16" s="72" t="str">
        <f t="shared" si="24"/>
        <v/>
      </c>
      <c r="EA16" s="72" t="str">
        <f t="shared" si="25"/>
        <v/>
      </c>
      <c r="EB16" s="76" t="str">
        <f t="shared" si="26"/>
        <v/>
      </c>
      <c r="EC16" s="76" t="str">
        <f t="shared" si="27"/>
        <v/>
      </c>
      <c r="ED16" s="76" t="str">
        <f t="shared" si="28"/>
        <v/>
      </c>
      <c r="EE16" s="76" t="str">
        <f t="shared" si="29"/>
        <v/>
      </c>
      <c r="EF16" s="76" t="str">
        <f t="shared" si="30"/>
        <v/>
      </c>
      <c r="EG16" s="76" t="str">
        <f t="shared" si="31"/>
        <v/>
      </c>
      <c r="EH16" s="77" t="str">
        <f t="shared" si="32"/>
        <v/>
      </c>
      <c r="EI16" s="495" t="str">
        <f t="shared" si="110"/>
        <v/>
      </c>
      <c r="EJ16" s="86" t="str">
        <f t="shared" si="111"/>
        <v/>
      </c>
      <c r="EK16" s="78" t="str">
        <f t="shared" si="33"/>
        <v/>
      </c>
      <c r="EL16" s="79" t="str">
        <f t="shared" si="112"/>
        <v/>
      </c>
      <c r="EM16" s="139" t="str">
        <f t="shared" si="34"/>
        <v/>
      </c>
      <c r="EN16" s="77" t="str">
        <f t="shared" si="113"/>
        <v/>
      </c>
      <c r="EO16" s="77" t="str">
        <f>IF(EN16="","",ATTENDANCE!Q17&amp;"/"&amp;ATTENDANCE!$Q$7)</f>
        <v/>
      </c>
      <c r="EP16" s="80" t="str">
        <f t="shared" si="35"/>
        <v/>
      </c>
      <c r="EQ16" s="80" t="str">
        <f t="shared" si="114"/>
        <v/>
      </c>
      <c r="ER16" s="80" t="str">
        <f t="shared" si="115"/>
        <v/>
      </c>
      <c r="ES16" s="80" t="str">
        <f t="shared" si="116"/>
        <v/>
      </c>
      <c r="ET16" s="80" t="str">
        <f t="shared" si="117"/>
        <v/>
      </c>
      <c r="EU16" s="80" t="str">
        <f t="shared" si="118"/>
        <v/>
      </c>
      <c r="EV16" s="492" t="str">
        <f t="shared" si="119"/>
        <v/>
      </c>
      <c r="EW16" s="129" t="str">
        <f t="shared" si="36"/>
        <v/>
      </c>
      <c r="EX16" s="129" t="str">
        <f t="shared" si="120"/>
        <v/>
      </c>
      <c r="EY16" s="129" t="str">
        <f t="shared" si="121"/>
        <v/>
      </c>
      <c r="EZ16" s="129" t="str">
        <f t="shared" si="122"/>
        <v/>
      </c>
      <c r="FA16" s="129" t="str">
        <f t="shared" si="123"/>
        <v/>
      </c>
      <c r="FB16" s="129" t="str">
        <f t="shared" si="124"/>
        <v/>
      </c>
      <c r="FC16" s="80" t="str">
        <f t="shared" si="37"/>
        <v/>
      </c>
      <c r="FD16" s="80" t="str">
        <f t="shared" si="38"/>
        <v/>
      </c>
      <c r="FE16" s="80" t="str">
        <f t="shared" si="39"/>
        <v/>
      </c>
      <c r="FF16" s="488" t="str">
        <f t="shared" si="125"/>
        <v/>
      </c>
      <c r="FG16" s="80" t="str">
        <f t="shared" si="126"/>
        <v/>
      </c>
      <c r="FH16" s="80" t="str">
        <f t="shared" si="127"/>
        <v/>
      </c>
      <c r="FI16" s="496" t="str">
        <f t="shared" si="128"/>
        <v/>
      </c>
      <c r="FJ16" s="140" t="str">
        <f t="shared" si="40"/>
        <v/>
      </c>
      <c r="FK16" s="492" t="str">
        <f t="shared" si="129"/>
        <v/>
      </c>
      <c r="FL16" s="490" t="str">
        <f t="shared" si="130"/>
        <v/>
      </c>
      <c r="FM16" s="74" t="str">
        <f t="shared" si="131"/>
        <v/>
      </c>
    </row>
    <row r="17" spans="1:169" ht="28.5" customHeight="1" x14ac:dyDescent="0.3">
      <c r="A17" s="6"/>
      <c r="B17" s="25">
        <f>DATA!B15</f>
        <v>0</v>
      </c>
      <c r="C17" s="25" t="str">
        <f>IF(DATA!C15="","",DATA!C15)</f>
        <v/>
      </c>
      <c r="D17" s="25" t="str">
        <f>IF(DATA!D15="","",DATA!D15)</f>
        <v/>
      </c>
      <c r="E17" s="738" t="str">
        <f>IF(DATA!E15="","",DATA!E15)</f>
        <v/>
      </c>
      <c r="F17" s="738" t="str">
        <f>IF(DATA!F15="","",DATA!F15)</f>
        <v/>
      </c>
      <c r="G17" s="738" t="str">
        <f>IF(DATA!G15="","",DATA!G15)</f>
        <v/>
      </c>
      <c r="H17" s="214" t="str">
        <f>IF(DATA!H15="","",DATA!H15)</f>
        <v/>
      </c>
      <c r="I17" s="214" t="str">
        <f>IF(DATA!I15="","",DATA!I15)</f>
        <v/>
      </c>
      <c r="J17" s="214" t="str">
        <f>IF(DATA!J15="","",DATA!J15)</f>
        <v/>
      </c>
      <c r="K17" s="214" t="str">
        <f>IF(DATA!K15="","",DATA!K15)</f>
        <v/>
      </c>
      <c r="L17" s="73" t="str">
        <f>IF(ENGLISH!E17="","",ENGLISH!E17)</f>
        <v/>
      </c>
      <c r="M17" s="73" t="str">
        <f t="shared" si="41"/>
        <v/>
      </c>
      <c r="N17" s="73" t="str">
        <f>IF(ENGLISH!F17="","",ENGLISH!F17)</f>
        <v/>
      </c>
      <c r="O17" s="73" t="str">
        <f t="shared" si="42"/>
        <v/>
      </c>
      <c r="P17" s="73" t="str">
        <f>IF(ENGLISH!G17="","",ENGLISH!G17)</f>
        <v/>
      </c>
      <c r="Q17" s="73" t="str">
        <f t="shared" si="43"/>
        <v/>
      </c>
      <c r="R17" s="73" t="str">
        <f>IF(ENGLISH!H17="","",ENGLISH!H17)</f>
        <v/>
      </c>
      <c r="S17" s="73" t="str">
        <f>IF(ENGLISH!I17="","",ENGLISH!I17)</f>
        <v/>
      </c>
      <c r="T17" s="73" t="str">
        <f>IF(ENGLISH!J17="","",ENGLISH!J17)</f>
        <v/>
      </c>
      <c r="U17" s="73" t="str">
        <f>IF(ENGLISH!K17="","",ENGLISH!K17)</f>
        <v/>
      </c>
      <c r="V17" s="73" t="str">
        <f t="shared" si="44"/>
        <v/>
      </c>
      <c r="W17" s="81" t="str">
        <f>IF(ENGLISH!L17="","",ENGLISH!L17)</f>
        <v/>
      </c>
      <c r="X17" s="73" t="str">
        <f t="shared" si="45"/>
        <v/>
      </c>
      <c r="Y17" s="73" t="str">
        <f t="shared" si="46"/>
        <v/>
      </c>
      <c r="Z17" s="73" t="str">
        <f t="shared" si="47"/>
        <v/>
      </c>
      <c r="AA17" s="73" t="str">
        <f>IF(ENGLISH!O17="","",ENGLISH!O17*40/ENGLISH!$O$6)</f>
        <v/>
      </c>
      <c r="AB17" s="73" t="str">
        <f t="shared" si="48"/>
        <v/>
      </c>
      <c r="AC17" s="73" t="str">
        <f t="shared" si="49"/>
        <v/>
      </c>
      <c r="AD17" s="74" t="str">
        <f>IF(MATHS!E17="","",MATHS!E17)</f>
        <v/>
      </c>
      <c r="AE17" s="643" t="str">
        <f t="shared" si="50"/>
        <v/>
      </c>
      <c r="AF17" s="74" t="str">
        <f>IF(MATHS!F17="","",MATHS!F17)</f>
        <v/>
      </c>
      <c r="AG17" s="643" t="str">
        <f t="shared" si="51"/>
        <v/>
      </c>
      <c r="AH17" s="74" t="str">
        <f>IF(MATHS!G17="","",MATHS!G17)</f>
        <v/>
      </c>
      <c r="AI17" s="643" t="str">
        <f t="shared" si="52"/>
        <v/>
      </c>
      <c r="AJ17" s="75" t="str">
        <f t="shared" si="53"/>
        <v/>
      </c>
      <c r="AK17" s="75" t="str">
        <f t="shared" si="54"/>
        <v/>
      </c>
      <c r="AL17" s="75" t="str">
        <f t="shared" si="55"/>
        <v/>
      </c>
      <c r="AM17" s="75" t="str">
        <f>IF(MATHS!H17="","",MATHS!H17)</f>
        <v/>
      </c>
      <c r="AN17" s="75" t="str">
        <f>IF(MATHS!I17="","",MATHS!I17)</f>
        <v/>
      </c>
      <c r="AO17" s="75" t="str">
        <f>IF(MATHS!J17="","",MATHS!J17)</f>
        <v/>
      </c>
      <c r="AP17" s="75" t="str">
        <f t="shared" si="56"/>
        <v/>
      </c>
      <c r="AQ17" s="75" t="str">
        <f t="shared" si="57"/>
        <v/>
      </c>
      <c r="AR17" s="75" t="str">
        <f>IF(MATHS!K17="","",CEILING(MATHS!K17*$AR$6/MATHS!$K$6,1))</f>
        <v/>
      </c>
      <c r="AS17" s="76" t="str">
        <f t="shared" si="58"/>
        <v/>
      </c>
      <c r="AT17" s="76" t="str">
        <f t="shared" si="59"/>
        <v/>
      </c>
      <c r="AU17" s="76" t="str">
        <f>IF(MATHS!O17="","",MATHS!O17*$AU$6/MATHS!$O$6)</f>
        <v/>
      </c>
      <c r="AV17" s="76" t="str">
        <f t="shared" si="60"/>
        <v/>
      </c>
      <c r="AW17" s="76" t="str">
        <f t="shared" si="61"/>
        <v/>
      </c>
      <c r="AX17" s="73" t="str">
        <f>IF(PHYSICS!E18="","",PHYSICS!E18)</f>
        <v/>
      </c>
      <c r="AY17" s="644" t="str">
        <f t="shared" si="62"/>
        <v/>
      </c>
      <c r="AZ17" s="73" t="str">
        <f>IF(PHYSICS!F18="","",PHYSICS!F18)</f>
        <v/>
      </c>
      <c r="BA17" s="73" t="str">
        <f>IF(PHYSICS!G18="","",PHYSICS!G18)</f>
        <v/>
      </c>
      <c r="BB17" s="73" t="str">
        <f t="shared" si="63"/>
        <v/>
      </c>
      <c r="BC17" s="73" t="str">
        <f t="shared" si="64"/>
        <v/>
      </c>
      <c r="BD17" s="73" t="str">
        <f>IF(PHYSICS!H18="","",PHYSICS!H18)</f>
        <v/>
      </c>
      <c r="BE17" s="645" t="str">
        <f t="shared" si="65"/>
        <v/>
      </c>
      <c r="BF17" s="73" t="str">
        <f>IF(PHYSICS!I18="","",PHYSICS!I18)</f>
        <v/>
      </c>
      <c r="BG17" s="73" t="str">
        <f>IF(PHYSICS!J18="","",PHYSICS!J18)</f>
        <v/>
      </c>
      <c r="BH17" s="73" t="str">
        <f t="shared" si="66"/>
        <v/>
      </c>
      <c r="BI17" s="73" t="str">
        <f t="shared" si="67"/>
        <v/>
      </c>
      <c r="BJ17" s="73" t="str">
        <f t="shared" si="68"/>
        <v/>
      </c>
      <c r="BK17" s="73" t="str">
        <f t="shared" si="69"/>
        <v/>
      </c>
      <c r="BL17" s="73" t="str">
        <f t="shared" si="70"/>
        <v/>
      </c>
      <c r="BM17" s="73" t="str">
        <f t="shared" si="71"/>
        <v/>
      </c>
      <c r="BN17" s="73" t="str">
        <f>IF(PHYSICS!M18="","",PHYSICS!M18*$BN$6/PHYSICS!$M$7)</f>
        <v/>
      </c>
      <c r="BO17" s="73" t="str">
        <f t="shared" si="72"/>
        <v/>
      </c>
      <c r="BP17" s="73" t="str">
        <f t="shared" si="73"/>
        <v/>
      </c>
      <c r="BQ17" s="48" t="str">
        <f>IF(CHEMISTRY!E18="","",CHEMISTRY!E18)</f>
        <v/>
      </c>
      <c r="BR17" s="646" t="str">
        <f t="shared" si="74"/>
        <v/>
      </c>
      <c r="BS17" s="48" t="str">
        <f>IF(CHEMISTRY!F18="","",CHEMISTRY!F18)</f>
        <v/>
      </c>
      <c r="BT17" s="48" t="str">
        <f>IF(CHEMISTRY!G18="","",CHEMISTRY!G18)</f>
        <v/>
      </c>
      <c r="BU17" s="48" t="str">
        <f t="shared" si="75"/>
        <v/>
      </c>
      <c r="BV17" s="48" t="str">
        <f t="shared" si="76"/>
        <v/>
      </c>
      <c r="BW17" s="48" t="str">
        <f>IF(CHEMISTRY!H18="","",CHEMISTRY!H18)</f>
        <v/>
      </c>
      <c r="BX17" s="646" t="str">
        <f t="shared" si="77"/>
        <v/>
      </c>
      <c r="BY17" s="48" t="str">
        <f>IF(CHEMISTRY!I18="","",CHEMISTRY!I18)</f>
        <v/>
      </c>
      <c r="BZ17" s="48" t="str">
        <f>IF(CHEMISTRY!J18="","",CHEMISTRY!J18)</f>
        <v/>
      </c>
      <c r="CA17" s="48" t="str">
        <f t="shared" si="78"/>
        <v/>
      </c>
      <c r="CB17" s="48" t="str">
        <f t="shared" si="79"/>
        <v/>
      </c>
      <c r="CC17" s="48" t="str">
        <f t="shared" si="80"/>
        <v/>
      </c>
      <c r="CD17" s="48" t="str">
        <f t="shared" si="81"/>
        <v/>
      </c>
      <c r="CE17" s="48" t="str">
        <f t="shared" si="82"/>
        <v/>
      </c>
      <c r="CF17" s="48" t="str">
        <f t="shared" si="83"/>
        <v/>
      </c>
      <c r="CG17" s="48" t="str">
        <f>IF(CHEMISTRY!M18="","",CHEMISTRY!M18*$CG$6/CHEMISTRY!$M$7)</f>
        <v/>
      </c>
      <c r="CH17" s="48" t="str">
        <f t="shared" si="84"/>
        <v/>
      </c>
      <c r="CI17" s="48" t="str">
        <f t="shared" si="85"/>
        <v/>
      </c>
      <c r="CJ17" s="73" t="str">
        <f>IF(BIOLOGY!E18="","",BIOLOGY!E18)</f>
        <v/>
      </c>
      <c r="CK17" s="73" t="str">
        <f t="shared" si="86"/>
        <v/>
      </c>
      <c r="CL17" s="73" t="str">
        <f>IF(BIOLOGY!F18="","",BIOLOGY!F18)</f>
        <v/>
      </c>
      <c r="CM17" s="73" t="str">
        <f>IF(BIOLOGY!G18="","",BIOLOGY!G18)</f>
        <v/>
      </c>
      <c r="CN17" s="73" t="str">
        <f t="shared" si="87"/>
        <v/>
      </c>
      <c r="CO17" s="73" t="str">
        <f t="shared" si="88"/>
        <v/>
      </c>
      <c r="CP17" s="73" t="str">
        <f>IF(BIOLOGY!H18="","",BIOLOGY!H18)</f>
        <v/>
      </c>
      <c r="CQ17" s="73" t="str">
        <f t="shared" si="89"/>
        <v/>
      </c>
      <c r="CR17" s="73" t="str">
        <f>IF(BIOLOGY!I18="","",BIOLOGY!I18)</f>
        <v/>
      </c>
      <c r="CS17" s="73" t="str">
        <f>IF(BIOLOGY!J18="","",BIOLOGY!J18)</f>
        <v/>
      </c>
      <c r="CT17" s="73" t="str">
        <f t="shared" si="90"/>
        <v/>
      </c>
      <c r="CU17" s="73" t="str">
        <f t="shared" si="91"/>
        <v/>
      </c>
      <c r="CV17" s="73" t="str">
        <f t="shared" si="92"/>
        <v/>
      </c>
      <c r="CW17" s="73" t="str">
        <f t="shared" si="93"/>
        <v/>
      </c>
      <c r="CX17" s="73" t="str">
        <f t="shared" si="94"/>
        <v/>
      </c>
      <c r="CY17" s="73" t="str">
        <f t="shared" si="95"/>
        <v/>
      </c>
      <c r="CZ17" s="73" t="str">
        <f>IF(BIOLOGY!M18="","",CEILING((BIOLOGY!M18*$CZ$6/BIOLOGY!$M$7),1))</f>
        <v/>
      </c>
      <c r="DA17" s="73" t="str">
        <f t="shared" si="96"/>
        <v/>
      </c>
      <c r="DB17" s="73" t="str">
        <f t="shared" si="97"/>
        <v/>
      </c>
      <c r="DC17" s="76" t="str">
        <f>IF('PHY EDU '!E18="","",'PHY EDU '!E18)</f>
        <v/>
      </c>
      <c r="DD17" s="647" t="str">
        <f t="shared" si="98"/>
        <v/>
      </c>
      <c r="DE17" s="76" t="str">
        <f>IF('PHY EDU '!F18="","",'PHY EDU '!F18)</f>
        <v/>
      </c>
      <c r="DF17" s="76" t="str">
        <f>IF('PHY EDU '!G18="","",'PHY EDU '!G18)</f>
        <v/>
      </c>
      <c r="DG17" s="76" t="str">
        <f t="shared" si="99"/>
        <v/>
      </c>
      <c r="DH17" s="76" t="str">
        <f t="shared" si="100"/>
        <v/>
      </c>
      <c r="DI17" s="76" t="str">
        <f>IF('PHY EDU '!H18="","",'PHY EDU '!H18)</f>
        <v/>
      </c>
      <c r="DJ17" s="647" t="str">
        <f t="shared" si="101"/>
        <v/>
      </c>
      <c r="DK17" s="76" t="str">
        <f>IF('PHY EDU '!I18="","",'PHY EDU '!I18)</f>
        <v/>
      </c>
      <c r="DL17" s="76" t="str">
        <f>IF('PHY EDU '!J18="","",'PHY EDU '!J18)</f>
        <v/>
      </c>
      <c r="DM17" s="76" t="str">
        <f t="shared" si="102"/>
        <v/>
      </c>
      <c r="DN17" s="76" t="str">
        <f t="shared" si="103"/>
        <v/>
      </c>
      <c r="DO17" s="76" t="str">
        <f t="shared" si="104"/>
        <v/>
      </c>
      <c r="DP17" s="76" t="str">
        <f t="shared" si="105"/>
        <v/>
      </c>
      <c r="DQ17" s="76" t="str">
        <f t="shared" si="106"/>
        <v/>
      </c>
      <c r="DR17" s="76" t="str">
        <f t="shared" si="107"/>
        <v/>
      </c>
      <c r="DS17" s="76" t="str">
        <f>IF('PHY EDU '!M18="","",ROUNDUP('PHY EDU '!M18*$DS$6/'PHY EDU '!$M$7,0))</f>
        <v/>
      </c>
      <c r="DT17" s="76" t="str">
        <f t="shared" si="108"/>
        <v/>
      </c>
      <c r="DU17" s="76" t="str">
        <f t="shared" si="109"/>
        <v/>
      </c>
      <c r="DV17" s="72" t="str">
        <f t="shared" si="20"/>
        <v/>
      </c>
      <c r="DW17" s="72" t="str">
        <f t="shared" si="21"/>
        <v/>
      </c>
      <c r="DX17" s="72" t="str">
        <f t="shared" si="22"/>
        <v/>
      </c>
      <c r="DY17" s="72" t="str">
        <f t="shared" si="23"/>
        <v/>
      </c>
      <c r="DZ17" s="72" t="str">
        <f t="shared" si="24"/>
        <v/>
      </c>
      <c r="EA17" s="72" t="str">
        <f t="shared" si="25"/>
        <v/>
      </c>
      <c r="EB17" s="76" t="str">
        <f t="shared" si="26"/>
        <v/>
      </c>
      <c r="EC17" s="76" t="str">
        <f t="shared" si="27"/>
        <v/>
      </c>
      <c r="ED17" s="76" t="str">
        <f t="shared" si="28"/>
        <v/>
      </c>
      <c r="EE17" s="76" t="str">
        <f t="shared" si="29"/>
        <v/>
      </c>
      <c r="EF17" s="76" t="str">
        <f t="shared" si="30"/>
        <v/>
      </c>
      <c r="EG17" s="76" t="str">
        <f t="shared" si="31"/>
        <v/>
      </c>
      <c r="EH17" s="77" t="str">
        <f t="shared" si="32"/>
        <v/>
      </c>
      <c r="EI17" s="495" t="str">
        <f t="shared" si="110"/>
        <v/>
      </c>
      <c r="EJ17" s="86" t="str">
        <f t="shared" si="111"/>
        <v/>
      </c>
      <c r="EK17" s="78" t="str">
        <f t="shared" si="33"/>
        <v/>
      </c>
      <c r="EL17" s="79" t="str">
        <f t="shared" si="112"/>
        <v/>
      </c>
      <c r="EM17" s="139" t="str">
        <f t="shared" si="34"/>
        <v/>
      </c>
      <c r="EN17" s="77" t="str">
        <f t="shared" si="113"/>
        <v/>
      </c>
      <c r="EO17" s="77" t="str">
        <f>IF(EN17="","",ATTENDANCE!Q18&amp;"/"&amp;ATTENDANCE!$Q$7)</f>
        <v/>
      </c>
      <c r="EP17" s="80" t="str">
        <f t="shared" si="35"/>
        <v/>
      </c>
      <c r="EQ17" s="80" t="str">
        <f t="shared" si="114"/>
        <v/>
      </c>
      <c r="ER17" s="80" t="str">
        <f t="shared" si="115"/>
        <v/>
      </c>
      <c r="ES17" s="80" t="str">
        <f t="shared" si="116"/>
        <v/>
      </c>
      <c r="ET17" s="80" t="str">
        <f t="shared" si="117"/>
        <v/>
      </c>
      <c r="EU17" s="80" t="str">
        <f t="shared" si="118"/>
        <v/>
      </c>
      <c r="EV17" s="492" t="str">
        <f t="shared" si="119"/>
        <v/>
      </c>
      <c r="EW17" s="129" t="str">
        <f t="shared" si="36"/>
        <v/>
      </c>
      <c r="EX17" s="129" t="str">
        <f t="shared" si="120"/>
        <v/>
      </c>
      <c r="EY17" s="129" t="str">
        <f t="shared" si="121"/>
        <v/>
      </c>
      <c r="EZ17" s="129" t="str">
        <f t="shared" si="122"/>
        <v/>
      </c>
      <c r="FA17" s="129" t="str">
        <f t="shared" si="123"/>
        <v/>
      </c>
      <c r="FB17" s="129" t="str">
        <f t="shared" si="124"/>
        <v/>
      </c>
      <c r="FC17" s="80" t="str">
        <f t="shared" si="37"/>
        <v/>
      </c>
      <c r="FD17" s="80" t="str">
        <f t="shared" si="38"/>
        <v/>
      </c>
      <c r="FE17" s="80" t="str">
        <f t="shared" si="39"/>
        <v/>
      </c>
      <c r="FF17" s="488" t="str">
        <f t="shared" si="125"/>
        <v/>
      </c>
      <c r="FG17" s="80" t="str">
        <f t="shared" si="126"/>
        <v/>
      </c>
      <c r="FH17" s="80" t="str">
        <f t="shared" si="127"/>
        <v/>
      </c>
      <c r="FI17" s="496" t="str">
        <f t="shared" si="128"/>
        <v/>
      </c>
      <c r="FJ17" s="140" t="str">
        <f t="shared" si="40"/>
        <v/>
      </c>
      <c r="FK17" s="492" t="str">
        <f t="shared" si="129"/>
        <v/>
      </c>
      <c r="FL17" s="490" t="str">
        <f t="shared" si="130"/>
        <v/>
      </c>
      <c r="FM17" s="74" t="str">
        <f t="shared" si="131"/>
        <v/>
      </c>
    </row>
    <row r="18" spans="1:169" ht="28.5" customHeight="1" x14ac:dyDescent="0.3">
      <c r="A18" s="6"/>
      <c r="B18" s="25">
        <f>DATA!B16</f>
        <v>0</v>
      </c>
      <c r="C18" s="25" t="str">
        <f>IF(DATA!C16="","",DATA!C16)</f>
        <v/>
      </c>
      <c r="D18" s="25" t="str">
        <f>IF(DATA!D16="","",DATA!D16)</f>
        <v/>
      </c>
      <c r="E18" s="738" t="str">
        <f>IF(DATA!E16="","",DATA!E16)</f>
        <v/>
      </c>
      <c r="F18" s="738" t="str">
        <f>IF(DATA!F16="","",DATA!F16)</f>
        <v/>
      </c>
      <c r="G18" s="738" t="str">
        <f>IF(DATA!G16="","",DATA!G16)</f>
        <v/>
      </c>
      <c r="H18" s="214" t="str">
        <f>IF(DATA!H16="","",DATA!H16)</f>
        <v/>
      </c>
      <c r="I18" s="214" t="str">
        <f>IF(DATA!I16="","",DATA!I16)</f>
        <v/>
      </c>
      <c r="J18" s="214" t="str">
        <f>IF(DATA!J16="","",DATA!J16)</f>
        <v/>
      </c>
      <c r="K18" s="214" t="str">
        <f>IF(DATA!K16="","",DATA!K16)</f>
        <v/>
      </c>
      <c r="L18" s="73" t="str">
        <f>IF(ENGLISH!E18="","",ENGLISH!E18)</f>
        <v/>
      </c>
      <c r="M18" s="73" t="str">
        <f t="shared" si="41"/>
        <v/>
      </c>
      <c r="N18" s="73" t="str">
        <f>IF(ENGLISH!F18="","",ENGLISH!F18)</f>
        <v/>
      </c>
      <c r="O18" s="73" t="str">
        <f t="shared" si="42"/>
        <v/>
      </c>
      <c r="P18" s="73" t="str">
        <f>IF(ENGLISH!G18="","",ENGLISH!G18)</f>
        <v/>
      </c>
      <c r="Q18" s="73" t="str">
        <f t="shared" si="43"/>
        <v/>
      </c>
      <c r="R18" s="73" t="str">
        <f>IF(ENGLISH!H18="","",ENGLISH!H18)</f>
        <v/>
      </c>
      <c r="S18" s="73" t="str">
        <f>IF(ENGLISH!I18="","",ENGLISH!I18)</f>
        <v/>
      </c>
      <c r="T18" s="73" t="str">
        <f>IF(ENGLISH!J18="","",ENGLISH!J18)</f>
        <v/>
      </c>
      <c r="U18" s="73" t="str">
        <f>IF(ENGLISH!K18="","",ENGLISH!K18)</f>
        <v/>
      </c>
      <c r="V18" s="73" t="str">
        <f t="shared" si="44"/>
        <v/>
      </c>
      <c r="W18" s="81" t="str">
        <f>IF(ENGLISH!L18="","",ENGLISH!L18)</f>
        <v/>
      </c>
      <c r="X18" s="73" t="str">
        <f t="shared" si="45"/>
        <v/>
      </c>
      <c r="Y18" s="73" t="str">
        <f t="shared" si="46"/>
        <v/>
      </c>
      <c r="Z18" s="73" t="str">
        <f t="shared" si="47"/>
        <v/>
      </c>
      <c r="AA18" s="73" t="str">
        <f>IF(ENGLISH!O18="","",ENGLISH!O18*40/ENGLISH!$O$6)</f>
        <v/>
      </c>
      <c r="AB18" s="73" t="str">
        <f t="shared" si="48"/>
        <v/>
      </c>
      <c r="AC18" s="73" t="str">
        <f t="shared" si="49"/>
        <v/>
      </c>
      <c r="AD18" s="74" t="str">
        <f>IF(MATHS!E18="","",MATHS!E18)</f>
        <v/>
      </c>
      <c r="AE18" s="643" t="str">
        <f t="shared" si="50"/>
        <v/>
      </c>
      <c r="AF18" s="74" t="str">
        <f>IF(MATHS!F18="","",MATHS!F18)</f>
        <v/>
      </c>
      <c r="AG18" s="643" t="str">
        <f t="shared" si="51"/>
        <v/>
      </c>
      <c r="AH18" s="74" t="str">
        <f>IF(MATHS!G18="","",MATHS!G18)</f>
        <v/>
      </c>
      <c r="AI18" s="643" t="str">
        <f t="shared" si="52"/>
        <v/>
      </c>
      <c r="AJ18" s="75" t="str">
        <f t="shared" si="53"/>
        <v/>
      </c>
      <c r="AK18" s="75" t="str">
        <f t="shared" si="54"/>
        <v/>
      </c>
      <c r="AL18" s="75" t="str">
        <f t="shared" si="55"/>
        <v/>
      </c>
      <c r="AM18" s="75" t="str">
        <f>IF(MATHS!H18="","",MATHS!H18)</f>
        <v/>
      </c>
      <c r="AN18" s="75" t="str">
        <f>IF(MATHS!I18="","",MATHS!I18)</f>
        <v/>
      </c>
      <c r="AO18" s="75" t="str">
        <f>IF(MATHS!J18="","",MATHS!J18)</f>
        <v/>
      </c>
      <c r="AP18" s="75" t="str">
        <f t="shared" si="56"/>
        <v/>
      </c>
      <c r="AQ18" s="75" t="str">
        <f t="shared" si="57"/>
        <v/>
      </c>
      <c r="AR18" s="75" t="str">
        <f>IF(MATHS!K18="","",CEILING(MATHS!K18*$AR$6/MATHS!$K$6,1))</f>
        <v/>
      </c>
      <c r="AS18" s="76" t="str">
        <f t="shared" si="58"/>
        <v/>
      </c>
      <c r="AT18" s="76" t="str">
        <f t="shared" si="59"/>
        <v/>
      </c>
      <c r="AU18" s="76" t="str">
        <f>IF(MATHS!O18="","",MATHS!O18*$AU$6/MATHS!$O$6)</f>
        <v/>
      </c>
      <c r="AV18" s="76" t="str">
        <f t="shared" si="60"/>
        <v/>
      </c>
      <c r="AW18" s="76" t="str">
        <f t="shared" si="61"/>
        <v/>
      </c>
      <c r="AX18" s="73" t="str">
        <f>IF(PHYSICS!E19="","",PHYSICS!E19)</f>
        <v/>
      </c>
      <c r="AY18" s="644" t="str">
        <f t="shared" si="62"/>
        <v/>
      </c>
      <c r="AZ18" s="73" t="str">
        <f>IF(PHYSICS!F19="","",PHYSICS!F19)</f>
        <v/>
      </c>
      <c r="BA18" s="73" t="str">
        <f>IF(PHYSICS!G19="","",PHYSICS!G19)</f>
        <v/>
      </c>
      <c r="BB18" s="73" t="str">
        <f t="shared" si="63"/>
        <v/>
      </c>
      <c r="BC18" s="73" t="str">
        <f t="shared" si="64"/>
        <v/>
      </c>
      <c r="BD18" s="73" t="str">
        <f>IF(PHYSICS!H19="","",PHYSICS!H19)</f>
        <v/>
      </c>
      <c r="BE18" s="645" t="str">
        <f t="shared" si="65"/>
        <v/>
      </c>
      <c r="BF18" s="73" t="str">
        <f>IF(PHYSICS!I19="","",PHYSICS!I19)</f>
        <v/>
      </c>
      <c r="BG18" s="73" t="str">
        <f>IF(PHYSICS!J19="","",PHYSICS!J19)</f>
        <v/>
      </c>
      <c r="BH18" s="73" t="str">
        <f t="shared" si="66"/>
        <v/>
      </c>
      <c r="BI18" s="73" t="str">
        <f t="shared" si="67"/>
        <v/>
      </c>
      <c r="BJ18" s="73" t="str">
        <f t="shared" si="68"/>
        <v/>
      </c>
      <c r="BK18" s="73" t="str">
        <f t="shared" si="69"/>
        <v/>
      </c>
      <c r="BL18" s="73" t="str">
        <f t="shared" si="70"/>
        <v/>
      </c>
      <c r="BM18" s="73" t="str">
        <f t="shared" si="71"/>
        <v/>
      </c>
      <c r="BN18" s="73" t="str">
        <f>IF(PHYSICS!M19="","",PHYSICS!M19*$BN$6/PHYSICS!$M$7)</f>
        <v/>
      </c>
      <c r="BO18" s="73" t="str">
        <f t="shared" si="72"/>
        <v/>
      </c>
      <c r="BP18" s="73" t="str">
        <f t="shared" si="73"/>
        <v/>
      </c>
      <c r="BQ18" s="48" t="str">
        <f>IF(CHEMISTRY!E19="","",CHEMISTRY!E19)</f>
        <v/>
      </c>
      <c r="BR18" s="646" t="str">
        <f t="shared" si="74"/>
        <v/>
      </c>
      <c r="BS18" s="48" t="str">
        <f>IF(CHEMISTRY!F19="","",CHEMISTRY!F19)</f>
        <v/>
      </c>
      <c r="BT18" s="48" t="str">
        <f>IF(CHEMISTRY!G19="","",CHEMISTRY!G19)</f>
        <v/>
      </c>
      <c r="BU18" s="48" t="str">
        <f t="shared" si="75"/>
        <v/>
      </c>
      <c r="BV18" s="48" t="str">
        <f t="shared" si="76"/>
        <v/>
      </c>
      <c r="BW18" s="48" t="str">
        <f>IF(CHEMISTRY!H19="","",CHEMISTRY!H19)</f>
        <v/>
      </c>
      <c r="BX18" s="646" t="str">
        <f t="shared" si="77"/>
        <v/>
      </c>
      <c r="BY18" s="48" t="str">
        <f>IF(CHEMISTRY!I19="","",CHEMISTRY!I19)</f>
        <v/>
      </c>
      <c r="BZ18" s="48" t="str">
        <f>IF(CHEMISTRY!J19="","",CHEMISTRY!J19)</f>
        <v/>
      </c>
      <c r="CA18" s="48" t="str">
        <f t="shared" si="78"/>
        <v/>
      </c>
      <c r="CB18" s="48" t="str">
        <f t="shared" si="79"/>
        <v/>
      </c>
      <c r="CC18" s="48" t="str">
        <f t="shared" si="80"/>
        <v/>
      </c>
      <c r="CD18" s="48" t="str">
        <f t="shared" si="81"/>
        <v/>
      </c>
      <c r="CE18" s="48" t="str">
        <f t="shared" si="82"/>
        <v/>
      </c>
      <c r="CF18" s="48" t="str">
        <f t="shared" si="83"/>
        <v/>
      </c>
      <c r="CG18" s="48" t="str">
        <f>IF(CHEMISTRY!M19="","",CHEMISTRY!M19*$CG$6/CHEMISTRY!$M$7)</f>
        <v/>
      </c>
      <c r="CH18" s="48" t="str">
        <f t="shared" si="84"/>
        <v/>
      </c>
      <c r="CI18" s="48" t="str">
        <f t="shared" si="85"/>
        <v/>
      </c>
      <c r="CJ18" s="73" t="str">
        <f>IF(BIOLOGY!E19="","",BIOLOGY!E19)</f>
        <v/>
      </c>
      <c r="CK18" s="73" t="str">
        <f t="shared" si="86"/>
        <v/>
      </c>
      <c r="CL18" s="73" t="str">
        <f>IF(BIOLOGY!F19="","",BIOLOGY!F19)</f>
        <v/>
      </c>
      <c r="CM18" s="73" t="str">
        <f>IF(BIOLOGY!G19="","",BIOLOGY!G19)</f>
        <v/>
      </c>
      <c r="CN18" s="73" t="str">
        <f t="shared" si="87"/>
        <v/>
      </c>
      <c r="CO18" s="73" t="str">
        <f t="shared" si="88"/>
        <v/>
      </c>
      <c r="CP18" s="73" t="str">
        <f>IF(BIOLOGY!H19="","",BIOLOGY!H19)</f>
        <v/>
      </c>
      <c r="CQ18" s="73" t="str">
        <f t="shared" si="89"/>
        <v/>
      </c>
      <c r="CR18" s="73" t="str">
        <f>IF(BIOLOGY!I19="","",BIOLOGY!I19)</f>
        <v/>
      </c>
      <c r="CS18" s="73" t="str">
        <f>IF(BIOLOGY!J19="","",BIOLOGY!J19)</f>
        <v/>
      </c>
      <c r="CT18" s="73" t="str">
        <f t="shared" si="90"/>
        <v/>
      </c>
      <c r="CU18" s="73" t="str">
        <f t="shared" si="91"/>
        <v/>
      </c>
      <c r="CV18" s="73" t="str">
        <f t="shared" si="92"/>
        <v/>
      </c>
      <c r="CW18" s="73" t="str">
        <f t="shared" si="93"/>
        <v/>
      </c>
      <c r="CX18" s="73" t="str">
        <f t="shared" si="94"/>
        <v/>
      </c>
      <c r="CY18" s="73" t="str">
        <f t="shared" si="95"/>
        <v/>
      </c>
      <c r="CZ18" s="73" t="str">
        <f>IF(BIOLOGY!M19="","",CEILING((BIOLOGY!M19*$CZ$6/BIOLOGY!$M$7),1))</f>
        <v/>
      </c>
      <c r="DA18" s="73" t="str">
        <f t="shared" si="96"/>
        <v/>
      </c>
      <c r="DB18" s="73" t="str">
        <f t="shared" si="97"/>
        <v/>
      </c>
      <c r="DC18" s="76" t="str">
        <f>IF('PHY EDU '!E19="","",'PHY EDU '!E19)</f>
        <v/>
      </c>
      <c r="DD18" s="647" t="str">
        <f t="shared" si="98"/>
        <v/>
      </c>
      <c r="DE18" s="76" t="str">
        <f>IF('PHY EDU '!F19="","",'PHY EDU '!F19)</f>
        <v/>
      </c>
      <c r="DF18" s="76" t="str">
        <f>IF('PHY EDU '!G19="","",'PHY EDU '!G19)</f>
        <v/>
      </c>
      <c r="DG18" s="76" t="str">
        <f t="shared" si="99"/>
        <v/>
      </c>
      <c r="DH18" s="76" t="str">
        <f t="shared" si="100"/>
        <v/>
      </c>
      <c r="DI18" s="76" t="str">
        <f>IF('PHY EDU '!H19="","",'PHY EDU '!H19)</f>
        <v/>
      </c>
      <c r="DJ18" s="647" t="str">
        <f t="shared" si="101"/>
        <v/>
      </c>
      <c r="DK18" s="76" t="str">
        <f>IF('PHY EDU '!I19="","",'PHY EDU '!I19)</f>
        <v/>
      </c>
      <c r="DL18" s="76" t="str">
        <f>IF('PHY EDU '!J19="","",'PHY EDU '!J19)</f>
        <v/>
      </c>
      <c r="DM18" s="76" t="str">
        <f t="shared" si="102"/>
        <v/>
      </c>
      <c r="DN18" s="76" t="str">
        <f t="shared" si="103"/>
        <v/>
      </c>
      <c r="DO18" s="76" t="str">
        <f t="shared" si="104"/>
        <v/>
      </c>
      <c r="DP18" s="76" t="str">
        <f t="shared" si="105"/>
        <v/>
      </c>
      <c r="DQ18" s="76" t="str">
        <f t="shared" si="106"/>
        <v/>
      </c>
      <c r="DR18" s="76" t="str">
        <f t="shared" si="107"/>
        <v/>
      </c>
      <c r="DS18" s="76" t="str">
        <f>IF('PHY EDU '!M19="","",ROUNDUP('PHY EDU '!M19*$DS$6/'PHY EDU '!$M$7,0))</f>
        <v/>
      </c>
      <c r="DT18" s="76" t="str">
        <f t="shared" si="108"/>
        <v/>
      </c>
      <c r="DU18" s="76" t="str">
        <f t="shared" si="109"/>
        <v/>
      </c>
      <c r="DV18" s="72" t="str">
        <f t="shared" si="20"/>
        <v/>
      </c>
      <c r="DW18" s="72" t="str">
        <f t="shared" si="21"/>
        <v/>
      </c>
      <c r="DX18" s="72" t="str">
        <f t="shared" si="22"/>
        <v/>
      </c>
      <c r="DY18" s="72" t="str">
        <f t="shared" si="23"/>
        <v/>
      </c>
      <c r="DZ18" s="72" t="str">
        <f t="shared" si="24"/>
        <v/>
      </c>
      <c r="EA18" s="72" t="str">
        <f t="shared" si="25"/>
        <v/>
      </c>
      <c r="EB18" s="76" t="str">
        <f t="shared" si="26"/>
        <v/>
      </c>
      <c r="EC18" s="76" t="str">
        <f t="shared" si="27"/>
        <v/>
      </c>
      <c r="ED18" s="76" t="str">
        <f t="shared" si="28"/>
        <v/>
      </c>
      <c r="EE18" s="76" t="str">
        <f t="shared" si="29"/>
        <v/>
      </c>
      <c r="EF18" s="76" t="str">
        <f t="shared" si="30"/>
        <v/>
      </c>
      <c r="EG18" s="76" t="str">
        <f t="shared" si="31"/>
        <v/>
      </c>
      <c r="EH18" s="77" t="str">
        <f t="shared" si="32"/>
        <v/>
      </c>
      <c r="EI18" s="495" t="str">
        <f t="shared" si="110"/>
        <v/>
      </c>
      <c r="EJ18" s="86" t="str">
        <f t="shared" si="111"/>
        <v/>
      </c>
      <c r="EK18" s="78" t="str">
        <f t="shared" si="33"/>
        <v/>
      </c>
      <c r="EL18" s="79" t="str">
        <f t="shared" si="112"/>
        <v/>
      </c>
      <c r="EM18" s="139" t="str">
        <f t="shared" si="34"/>
        <v/>
      </c>
      <c r="EN18" s="77" t="str">
        <f t="shared" si="113"/>
        <v/>
      </c>
      <c r="EO18" s="77" t="str">
        <f>IF(EN18="","",ATTENDANCE!Q19&amp;"/"&amp;ATTENDANCE!$Q$7)</f>
        <v/>
      </c>
      <c r="EP18" s="80" t="str">
        <f t="shared" si="35"/>
        <v/>
      </c>
      <c r="EQ18" s="80" t="str">
        <f t="shared" si="114"/>
        <v/>
      </c>
      <c r="ER18" s="80" t="str">
        <f t="shared" si="115"/>
        <v/>
      </c>
      <c r="ES18" s="80" t="str">
        <f t="shared" si="116"/>
        <v/>
      </c>
      <c r="ET18" s="80" t="str">
        <f t="shared" si="117"/>
        <v/>
      </c>
      <c r="EU18" s="80" t="str">
        <f t="shared" si="118"/>
        <v/>
      </c>
      <c r="EV18" s="492" t="str">
        <f t="shared" si="119"/>
        <v/>
      </c>
      <c r="EW18" s="129" t="str">
        <f t="shared" si="36"/>
        <v/>
      </c>
      <c r="EX18" s="129" t="str">
        <f t="shared" si="120"/>
        <v/>
      </c>
      <c r="EY18" s="129" t="str">
        <f t="shared" si="121"/>
        <v/>
      </c>
      <c r="EZ18" s="129" t="str">
        <f t="shared" si="122"/>
        <v/>
      </c>
      <c r="FA18" s="129" t="str">
        <f t="shared" si="123"/>
        <v/>
      </c>
      <c r="FB18" s="129" t="str">
        <f t="shared" si="124"/>
        <v/>
      </c>
      <c r="FC18" s="80" t="str">
        <f t="shared" si="37"/>
        <v/>
      </c>
      <c r="FD18" s="80" t="str">
        <f t="shared" si="38"/>
        <v/>
      </c>
      <c r="FE18" s="80" t="str">
        <f t="shared" si="39"/>
        <v/>
      </c>
      <c r="FF18" s="488" t="str">
        <f t="shared" si="125"/>
        <v/>
      </c>
      <c r="FG18" s="80" t="str">
        <f t="shared" si="126"/>
        <v/>
      </c>
      <c r="FH18" s="80" t="str">
        <f t="shared" si="127"/>
        <v/>
      </c>
      <c r="FI18" s="496" t="str">
        <f t="shared" si="128"/>
        <v/>
      </c>
      <c r="FJ18" s="140" t="str">
        <f t="shared" si="40"/>
        <v/>
      </c>
      <c r="FK18" s="492" t="str">
        <f t="shared" si="129"/>
        <v/>
      </c>
      <c r="FL18" s="490" t="str">
        <f t="shared" si="130"/>
        <v/>
      </c>
      <c r="FM18" s="74" t="str">
        <f t="shared" si="131"/>
        <v/>
      </c>
    </row>
    <row r="19" spans="1:169" ht="28.5" customHeight="1" x14ac:dyDescent="0.3">
      <c r="A19" s="6"/>
      <c r="B19" s="25">
        <f>DATA!B17</f>
        <v>0</v>
      </c>
      <c r="C19" s="25" t="str">
        <f>IF(DATA!C17="","",DATA!C17)</f>
        <v/>
      </c>
      <c r="D19" s="25" t="str">
        <f>IF(DATA!D17="","",DATA!D17)</f>
        <v/>
      </c>
      <c r="E19" s="738" t="str">
        <f>IF(DATA!E17="","",DATA!E17)</f>
        <v/>
      </c>
      <c r="F19" s="738" t="str">
        <f>IF(DATA!F17="","",DATA!F17)</f>
        <v/>
      </c>
      <c r="G19" s="738" t="str">
        <f>IF(DATA!G17="","",DATA!G17)</f>
        <v/>
      </c>
      <c r="H19" s="214" t="str">
        <f>IF(DATA!H17="","",DATA!H17)</f>
        <v/>
      </c>
      <c r="I19" s="214" t="str">
        <f>IF(DATA!I17="","",DATA!I17)</f>
        <v/>
      </c>
      <c r="J19" s="214" t="str">
        <f>IF(DATA!J17="","",DATA!J17)</f>
        <v/>
      </c>
      <c r="K19" s="214" t="str">
        <f>IF(DATA!K17="","",DATA!K17)</f>
        <v/>
      </c>
      <c r="L19" s="73" t="str">
        <f>IF(ENGLISH!E19="","",ENGLISH!E19)</f>
        <v/>
      </c>
      <c r="M19" s="73" t="str">
        <f t="shared" si="41"/>
        <v/>
      </c>
      <c r="N19" s="73" t="str">
        <f>IF(ENGLISH!F19="","",ENGLISH!F19)</f>
        <v/>
      </c>
      <c r="O19" s="73" t="str">
        <f t="shared" si="42"/>
        <v/>
      </c>
      <c r="P19" s="73" t="str">
        <f>IF(ENGLISH!G19="","",ENGLISH!G19)</f>
        <v/>
      </c>
      <c r="Q19" s="73" t="str">
        <f t="shared" si="43"/>
        <v/>
      </c>
      <c r="R19" s="73" t="str">
        <f>IF(ENGLISH!H19="","",ENGLISH!H19)</f>
        <v/>
      </c>
      <c r="S19" s="73" t="str">
        <f>IF(ENGLISH!I19="","",ENGLISH!I19)</f>
        <v/>
      </c>
      <c r="T19" s="73" t="str">
        <f>IF(ENGLISH!J19="","",ENGLISH!J19)</f>
        <v/>
      </c>
      <c r="U19" s="73" t="str">
        <f>IF(ENGLISH!K19="","",ENGLISH!K19)</f>
        <v/>
      </c>
      <c r="V19" s="73" t="str">
        <f t="shared" si="44"/>
        <v/>
      </c>
      <c r="W19" s="81" t="str">
        <f>IF(ENGLISH!L19="","",ENGLISH!L19)</f>
        <v/>
      </c>
      <c r="X19" s="73" t="str">
        <f t="shared" si="45"/>
        <v/>
      </c>
      <c r="Y19" s="73" t="str">
        <f t="shared" si="46"/>
        <v/>
      </c>
      <c r="Z19" s="73" t="str">
        <f t="shared" si="47"/>
        <v/>
      </c>
      <c r="AA19" s="73" t="str">
        <f>IF(ENGLISH!O19="","",ENGLISH!O19*40/ENGLISH!$O$6)</f>
        <v/>
      </c>
      <c r="AB19" s="73" t="str">
        <f t="shared" si="48"/>
        <v/>
      </c>
      <c r="AC19" s="73" t="str">
        <f t="shared" si="49"/>
        <v/>
      </c>
      <c r="AD19" s="74" t="str">
        <f>IF(MATHS!E19="","",MATHS!E19)</f>
        <v/>
      </c>
      <c r="AE19" s="643" t="str">
        <f t="shared" si="50"/>
        <v/>
      </c>
      <c r="AF19" s="74" t="str">
        <f>IF(MATHS!F19="","",MATHS!F19)</f>
        <v/>
      </c>
      <c r="AG19" s="643" t="str">
        <f t="shared" si="51"/>
        <v/>
      </c>
      <c r="AH19" s="74" t="str">
        <f>IF(MATHS!G19="","",MATHS!G19)</f>
        <v/>
      </c>
      <c r="AI19" s="643" t="str">
        <f t="shared" si="52"/>
        <v/>
      </c>
      <c r="AJ19" s="75" t="str">
        <f t="shared" si="53"/>
        <v/>
      </c>
      <c r="AK19" s="75" t="str">
        <f t="shared" si="54"/>
        <v/>
      </c>
      <c r="AL19" s="75" t="str">
        <f t="shared" si="55"/>
        <v/>
      </c>
      <c r="AM19" s="75" t="str">
        <f>IF(MATHS!H19="","",MATHS!H19)</f>
        <v/>
      </c>
      <c r="AN19" s="75" t="str">
        <f>IF(MATHS!I19="","",MATHS!I19)</f>
        <v/>
      </c>
      <c r="AO19" s="75" t="str">
        <f>IF(MATHS!J19="","",MATHS!J19)</f>
        <v/>
      </c>
      <c r="AP19" s="75" t="str">
        <f t="shared" si="56"/>
        <v/>
      </c>
      <c r="AQ19" s="75" t="str">
        <f t="shared" si="57"/>
        <v/>
      </c>
      <c r="AR19" s="75" t="str">
        <f>IF(MATHS!K19="","",CEILING(MATHS!K19*$AR$6/MATHS!$K$6,1))</f>
        <v/>
      </c>
      <c r="AS19" s="76" t="str">
        <f t="shared" si="58"/>
        <v/>
      </c>
      <c r="AT19" s="76" t="str">
        <f t="shared" si="59"/>
        <v/>
      </c>
      <c r="AU19" s="76" t="str">
        <f>IF(MATHS!O19="","",MATHS!O19*$AU$6/MATHS!$O$6)</f>
        <v/>
      </c>
      <c r="AV19" s="76" t="str">
        <f t="shared" si="60"/>
        <v/>
      </c>
      <c r="AW19" s="76" t="str">
        <f t="shared" si="61"/>
        <v/>
      </c>
      <c r="AX19" s="73" t="str">
        <f>IF(PHYSICS!E20="","",PHYSICS!E20)</f>
        <v/>
      </c>
      <c r="AY19" s="644" t="str">
        <f t="shared" si="62"/>
        <v/>
      </c>
      <c r="AZ19" s="73" t="str">
        <f>IF(PHYSICS!F20="","",PHYSICS!F20)</f>
        <v/>
      </c>
      <c r="BA19" s="73" t="str">
        <f>IF(PHYSICS!G20="","",PHYSICS!G20)</f>
        <v/>
      </c>
      <c r="BB19" s="73" t="str">
        <f t="shared" si="63"/>
        <v/>
      </c>
      <c r="BC19" s="73" t="str">
        <f t="shared" si="64"/>
        <v/>
      </c>
      <c r="BD19" s="73" t="str">
        <f>IF(PHYSICS!H20="","",PHYSICS!H20)</f>
        <v/>
      </c>
      <c r="BE19" s="645" t="str">
        <f t="shared" si="65"/>
        <v/>
      </c>
      <c r="BF19" s="73" t="str">
        <f>IF(PHYSICS!I20="","",PHYSICS!I20)</f>
        <v/>
      </c>
      <c r="BG19" s="73" t="str">
        <f>IF(PHYSICS!J20="","",PHYSICS!J20)</f>
        <v/>
      </c>
      <c r="BH19" s="73" t="str">
        <f t="shared" si="66"/>
        <v/>
      </c>
      <c r="BI19" s="73" t="str">
        <f t="shared" si="67"/>
        <v/>
      </c>
      <c r="BJ19" s="73" t="str">
        <f t="shared" si="68"/>
        <v/>
      </c>
      <c r="BK19" s="73" t="str">
        <f t="shared" si="69"/>
        <v/>
      </c>
      <c r="BL19" s="73" t="str">
        <f t="shared" si="70"/>
        <v/>
      </c>
      <c r="BM19" s="73" t="str">
        <f t="shared" si="71"/>
        <v/>
      </c>
      <c r="BN19" s="73" t="str">
        <f>IF(PHYSICS!M20="","",PHYSICS!M20*$BN$6/PHYSICS!$M$7)</f>
        <v/>
      </c>
      <c r="BO19" s="73" t="str">
        <f t="shared" si="72"/>
        <v/>
      </c>
      <c r="BP19" s="73" t="str">
        <f t="shared" si="73"/>
        <v/>
      </c>
      <c r="BQ19" s="48" t="str">
        <f>IF(CHEMISTRY!E20="","",CHEMISTRY!E20)</f>
        <v/>
      </c>
      <c r="BR19" s="646" t="str">
        <f t="shared" si="74"/>
        <v/>
      </c>
      <c r="BS19" s="48" t="str">
        <f>IF(CHEMISTRY!F20="","",CHEMISTRY!F20)</f>
        <v/>
      </c>
      <c r="BT19" s="48" t="str">
        <f>IF(CHEMISTRY!G20="","",CHEMISTRY!G20)</f>
        <v/>
      </c>
      <c r="BU19" s="48" t="str">
        <f t="shared" si="75"/>
        <v/>
      </c>
      <c r="BV19" s="48" t="str">
        <f t="shared" si="76"/>
        <v/>
      </c>
      <c r="BW19" s="48" t="str">
        <f>IF(CHEMISTRY!H20="","",CHEMISTRY!H20)</f>
        <v/>
      </c>
      <c r="BX19" s="646" t="str">
        <f t="shared" si="77"/>
        <v/>
      </c>
      <c r="BY19" s="48" t="str">
        <f>IF(CHEMISTRY!I20="","",CHEMISTRY!I20)</f>
        <v/>
      </c>
      <c r="BZ19" s="48" t="str">
        <f>IF(CHEMISTRY!J20="","",CHEMISTRY!J20)</f>
        <v/>
      </c>
      <c r="CA19" s="48" t="str">
        <f t="shared" si="78"/>
        <v/>
      </c>
      <c r="CB19" s="48" t="str">
        <f t="shared" si="79"/>
        <v/>
      </c>
      <c r="CC19" s="48" t="str">
        <f t="shared" si="80"/>
        <v/>
      </c>
      <c r="CD19" s="48" t="str">
        <f t="shared" si="81"/>
        <v/>
      </c>
      <c r="CE19" s="48" t="str">
        <f t="shared" si="82"/>
        <v/>
      </c>
      <c r="CF19" s="48" t="str">
        <f t="shared" si="83"/>
        <v/>
      </c>
      <c r="CG19" s="48" t="str">
        <f>IF(CHEMISTRY!M20="","",CHEMISTRY!M20*$CG$6/CHEMISTRY!$M$7)</f>
        <v/>
      </c>
      <c r="CH19" s="48" t="str">
        <f t="shared" si="84"/>
        <v/>
      </c>
      <c r="CI19" s="48" t="str">
        <f t="shared" si="85"/>
        <v/>
      </c>
      <c r="CJ19" s="73" t="str">
        <f>IF(BIOLOGY!E20="","",BIOLOGY!E20)</f>
        <v/>
      </c>
      <c r="CK19" s="73" t="str">
        <f t="shared" si="86"/>
        <v/>
      </c>
      <c r="CL19" s="73" t="str">
        <f>IF(BIOLOGY!F20="","",BIOLOGY!F20)</f>
        <v/>
      </c>
      <c r="CM19" s="73" t="str">
        <f>IF(BIOLOGY!G20="","",BIOLOGY!G20)</f>
        <v/>
      </c>
      <c r="CN19" s="73" t="str">
        <f t="shared" si="87"/>
        <v/>
      </c>
      <c r="CO19" s="73" t="str">
        <f t="shared" si="88"/>
        <v/>
      </c>
      <c r="CP19" s="73" t="str">
        <f>IF(BIOLOGY!H20="","",BIOLOGY!H20)</f>
        <v/>
      </c>
      <c r="CQ19" s="73" t="str">
        <f t="shared" si="89"/>
        <v/>
      </c>
      <c r="CR19" s="73" t="str">
        <f>IF(BIOLOGY!I20="","",BIOLOGY!I20)</f>
        <v/>
      </c>
      <c r="CS19" s="73" t="str">
        <f>IF(BIOLOGY!J20="","",BIOLOGY!J20)</f>
        <v/>
      </c>
      <c r="CT19" s="73" t="str">
        <f t="shared" si="90"/>
        <v/>
      </c>
      <c r="CU19" s="73" t="str">
        <f t="shared" si="91"/>
        <v/>
      </c>
      <c r="CV19" s="73" t="str">
        <f t="shared" si="92"/>
        <v/>
      </c>
      <c r="CW19" s="73" t="str">
        <f t="shared" si="93"/>
        <v/>
      </c>
      <c r="CX19" s="73" t="str">
        <f t="shared" si="94"/>
        <v/>
      </c>
      <c r="CY19" s="73" t="str">
        <f t="shared" si="95"/>
        <v/>
      </c>
      <c r="CZ19" s="73" t="str">
        <f>IF(BIOLOGY!M20="","",CEILING((BIOLOGY!M20*$CZ$6/BIOLOGY!$M$7),1))</f>
        <v/>
      </c>
      <c r="DA19" s="73" t="str">
        <f t="shared" si="96"/>
        <v/>
      </c>
      <c r="DB19" s="73" t="str">
        <f t="shared" si="97"/>
        <v/>
      </c>
      <c r="DC19" s="76" t="str">
        <f>IF('PHY EDU '!E20="","",'PHY EDU '!E20)</f>
        <v/>
      </c>
      <c r="DD19" s="647" t="str">
        <f t="shared" si="98"/>
        <v/>
      </c>
      <c r="DE19" s="76" t="str">
        <f>IF('PHY EDU '!F20="","",'PHY EDU '!F20)</f>
        <v/>
      </c>
      <c r="DF19" s="76" t="str">
        <f>IF('PHY EDU '!G20="","",'PHY EDU '!G20)</f>
        <v/>
      </c>
      <c r="DG19" s="76" t="str">
        <f t="shared" si="99"/>
        <v/>
      </c>
      <c r="DH19" s="76" t="str">
        <f t="shared" si="100"/>
        <v/>
      </c>
      <c r="DI19" s="76" t="str">
        <f>IF('PHY EDU '!H20="","",'PHY EDU '!H20)</f>
        <v/>
      </c>
      <c r="DJ19" s="647" t="str">
        <f t="shared" si="101"/>
        <v/>
      </c>
      <c r="DK19" s="76" t="str">
        <f>IF('PHY EDU '!I20="","",'PHY EDU '!I20)</f>
        <v/>
      </c>
      <c r="DL19" s="76" t="str">
        <f>IF('PHY EDU '!J20="","",'PHY EDU '!J20)</f>
        <v/>
      </c>
      <c r="DM19" s="76" t="str">
        <f t="shared" si="102"/>
        <v/>
      </c>
      <c r="DN19" s="76" t="str">
        <f t="shared" si="103"/>
        <v/>
      </c>
      <c r="DO19" s="76" t="str">
        <f t="shared" si="104"/>
        <v/>
      </c>
      <c r="DP19" s="76" t="str">
        <f t="shared" si="105"/>
        <v/>
      </c>
      <c r="DQ19" s="76" t="str">
        <f t="shared" si="106"/>
        <v/>
      </c>
      <c r="DR19" s="76" t="str">
        <f t="shared" si="107"/>
        <v/>
      </c>
      <c r="DS19" s="76" t="str">
        <f>IF('PHY EDU '!M20="","",ROUNDUP('PHY EDU '!M20*$DS$6/'PHY EDU '!$M$7,0))</f>
        <v/>
      </c>
      <c r="DT19" s="76" t="str">
        <f t="shared" si="108"/>
        <v/>
      </c>
      <c r="DU19" s="76" t="str">
        <f t="shared" si="109"/>
        <v/>
      </c>
      <c r="DV19" s="72" t="str">
        <f t="shared" si="20"/>
        <v/>
      </c>
      <c r="DW19" s="72" t="str">
        <f t="shared" si="21"/>
        <v/>
      </c>
      <c r="DX19" s="72" t="str">
        <f t="shared" si="22"/>
        <v/>
      </c>
      <c r="DY19" s="72" t="str">
        <f t="shared" si="23"/>
        <v/>
      </c>
      <c r="DZ19" s="72" t="str">
        <f t="shared" si="24"/>
        <v/>
      </c>
      <c r="EA19" s="72" t="str">
        <f t="shared" si="25"/>
        <v/>
      </c>
      <c r="EB19" s="76" t="str">
        <f t="shared" si="26"/>
        <v/>
      </c>
      <c r="EC19" s="76" t="str">
        <f t="shared" si="27"/>
        <v/>
      </c>
      <c r="ED19" s="76" t="str">
        <f t="shared" si="28"/>
        <v/>
      </c>
      <c r="EE19" s="76" t="str">
        <f t="shared" si="29"/>
        <v/>
      </c>
      <c r="EF19" s="76" t="str">
        <f t="shared" si="30"/>
        <v/>
      </c>
      <c r="EG19" s="76" t="str">
        <f t="shared" si="31"/>
        <v/>
      </c>
      <c r="EH19" s="77" t="str">
        <f t="shared" si="32"/>
        <v/>
      </c>
      <c r="EI19" s="495" t="str">
        <f t="shared" si="110"/>
        <v/>
      </c>
      <c r="EJ19" s="86" t="str">
        <f t="shared" si="111"/>
        <v/>
      </c>
      <c r="EK19" s="78" t="str">
        <f t="shared" si="33"/>
        <v/>
      </c>
      <c r="EL19" s="79" t="str">
        <f t="shared" si="112"/>
        <v/>
      </c>
      <c r="EM19" s="139" t="str">
        <f t="shared" si="34"/>
        <v/>
      </c>
      <c r="EN19" s="77" t="str">
        <f t="shared" si="113"/>
        <v/>
      </c>
      <c r="EO19" s="77" t="str">
        <f>IF(EN19="","",ATTENDANCE!Q20&amp;"/"&amp;ATTENDANCE!$Q$7)</f>
        <v/>
      </c>
      <c r="EP19" s="80" t="str">
        <f t="shared" si="35"/>
        <v/>
      </c>
      <c r="EQ19" s="80" t="str">
        <f t="shared" si="114"/>
        <v/>
      </c>
      <c r="ER19" s="80" t="str">
        <f t="shared" si="115"/>
        <v/>
      </c>
      <c r="ES19" s="80" t="str">
        <f t="shared" si="116"/>
        <v/>
      </c>
      <c r="ET19" s="80" t="str">
        <f t="shared" si="117"/>
        <v/>
      </c>
      <c r="EU19" s="80" t="str">
        <f t="shared" si="118"/>
        <v/>
      </c>
      <c r="EV19" s="492" t="str">
        <f t="shared" si="119"/>
        <v/>
      </c>
      <c r="EW19" s="129" t="str">
        <f t="shared" si="36"/>
        <v/>
      </c>
      <c r="EX19" s="129" t="str">
        <f t="shared" si="120"/>
        <v/>
      </c>
      <c r="EY19" s="129" t="str">
        <f t="shared" si="121"/>
        <v/>
      </c>
      <c r="EZ19" s="129" t="str">
        <f t="shared" si="122"/>
        <v/>
      </c>
      <c r="FA19" s="129" t="str">
        <f t="shared" si="123"/>
        <v/>
      </c>
      <c r="FB19" s="129" t="str">
        <f t="shared" si="124"/>
        <v/>
      </c>
      <c r="FC19" s="80" t="str">
        <f t="shared" si="37"/>
        <v/>
      </c>
      <c r="FD19" s="80" t="str">
        <f t="shared" si="38"/>
        <v/>
      </c>
      <c r="FE19" s="80" t="str">
        <f t="shared" si="39"/>
        <v/>
      </c>
      <c r="FF19" s="488" t="str">
        <f t="shared" si="125"/>
        <v/>
      </c>
      <c r="FG19" s="80" t="str">
        <f t="shared" si="126"/>
        <v/>
      </c>
      <c r="FH19" s="80" t="str">
        <f t="shared" si="127"/>
        <v/>
      </c>
      <c r="FI19" s="496" t="str">
        <f t="shared" si="128"/>
        <v/>
      </c>
      <c r="FJ19" s="140" t="str">
        <f t="shared" si="40"/>
        <v/>
      </c>
      <c r="FK19" s="492" t="str">
        <f t="shared" si="129"/>
        <v/>
      </c>
      <c r="FL19" s="490" t="str">
        <f t="shared" si="130"/>
        <v/>
      </c>
      <c r="FM19" s="74" t="str">
        <f t="shared" si="131"/>
        <v/>
      </c>
    </row>
    <row r="20" spans="1:169" ht="28.5" customHeight="1" x14ac:dyDescent="0.3">
      <c r="A20" s="6"/>
      <c r="B20" s="25">
        <f>DATA!B18</f>
        <v>0</v>
      </c>
      <c r="C20" s="25" t="str">
        <f>IF(DATA!C18="","",DATA!C18)</f>
        <v/>
      </c>
      <c r="D20" s="25" t="str">
        <f>IF(DATA!D18="","",DATA!D18)</f>
        <v/>
      </c>
      <c r="E20" s="738" t="str">
        <f>IF(DATA!E18="","",DATA!E18)</f>
        <v/>
      </c>
      <c r="F20" s="738" t="str">
        <f>IF(DATA!F18="","",DATA!F18)</f>
        <v/>
      </c>
      <c r="G20" s="738" t="str">
        <f>IF(DATA!G18="","",DATA!G18)</f>
        <v/>
      </c>
      <c r="H20" s="214" t="str">
        <f>IF(DATA!H18="","",DATA!H18)</f>
        <v/>
      </c>
      <c r="I20" s="214" t="str">
        <f>IF(DATA!I18="","",DATA!I18)</f>
        <v/>
      </c>
      <c r="J20" s="214" t="str">
        <f>IF(DATA!J18="","",DATA!J18)</f>
        <v/>
      </c>
      <c r="K20" s="214" t="str">
        <f>IF(DATA!K18="","",DATA!K18)</f>
        <v/>
      </c>
      <c r="L20" s="73" t="str">
        <f>IF(ENGLISH!E20="","",ENGLISH!E20)</f>
        <v/>
      </c>
      <c r="M20" s="73" t="str">
        <f t="shared" si="41"/>
        <v/>
      </c>
      <c r="N20" s="73" t="str">
        <f>IF(ENGLISH!F20="","",ENGLISH!F20)</f>
        <v/>
      </c>
      <c r="O20" s="73" t="str">
        <f t="shared" si="42"/>
        <v/>
      </c>
      <c r="P20" s="73" t="str">
        <f>IF(ENGLISH!G20="","",ENGLISH!G20)</f>
        <v/>
      </c>
      <c r="Q20" s="73" t="str">
        <f t="shared" si="43"/>
        <v/>
      </c>
      <c r="R20" s="73" t="str">
        <f>IF(ENGLISH!H20="","",ENGLISH!H20)</f>
        <v/>
      </c>
      <c r="S20" s="73" t="str">
        <f>IF(ENGLISH!I20="","",ENGLISH!I20)</f>
        <v/>
      </c>
      <c r="T20" s="73" t="str">
        <f>IF(ENGLISH!J20="","",ENGLISH!J20)</f>
        <v/>
      </c>
      <c r="U20" s="73" t="str">
        <f>IF(ENGLISH!K20="","",ENGLISH!K20)</f>
        <v/>
      </c>
      <c r="V20" s="73" t="str">
        <f t="shared" si="44"/>
        <v/>
      </c>
      <c r="W20" s="81" t="str">
        <f>IF(ENGLISH!L20="","",ENGLISH!L20)</f>
        <v/>
      </c>
      <c r="X20" s="73" t="str">
        <f t="shared" si="45"/>
        <v/>
      </c>
      <c r="Y20" s="73" t="str">
        <f t="shared" si="46"/>
        <v/>
      </c>
      <c r="Z20" s="73" t="str">
        <f t="shared" si="47"/>
        <v/>
      </c>
      <c r="AA20" s="73" t="str">
        <f>IF(ENGLISH!O20="","",ENGLISH!O20*40/ENGLISH!$O$6)</f>
        <v/>
      </c>
      <c r="AB20" s="73" t="str">
        <f t="shared" si="48"/>
        <v/>
      </c>
      <c r="AC20" s="73" t="str">
        <f t="shared" si="49"/>
        <v/>
      </c>
      <c r="AD20" s="74" t="str">
        <f>IF(MATHS!E20="","",MATHS!E20)</f>
        <v/>
      </c>
      <c r="AE20" s="643" t="str">
        <f t="shared" si="50"/>
        <v/>
      </c>
      <c r="AF20" s="74" t="str">
        <f>IF(MATHS!F20="","",MATHS!F20)</f>
        <v/>
      </c>
      <c r="AG20" s="643" t="str">
        <f t="shared" si="51"/>
        <v/>
      </c>
      <c r="AH20" s="74" t="str">
        <f>IF(MATHS!G20="","",MATHS!G20)</f>
        <v/>
      </c>
      <c r="AI20" s="643" t="str">
        <f t="shared" si="52"/>
        <v/>
      </c>
      <c r="AJ20" s="75" t="str">
        <f t="shared" si="53"/>
        <v/>
      </c>
      <c r="AK20" s="75" t="str">
        <f t="shared" si="54"/>
        <v/>
      </c>
      <c r="AL20" s="75" t="str">
        <f t="shared" si="55"/>
        <v/>
      </c>
      <c r="AM20" s="75" t="str">
        <f>IF(MATHS!H20="","",MATHS!H20)</f>
        <v/>
      </c>
      <c r="AN20" s="75" t="str">
        <f>IF(MATHS!I20="","",MATHS!I20)</f>
        <v/>
      </c>
      <c r="AO20" s="75" t="str">
        <f>IF(MATHS!J20="","",MATHS!J20)</f>
        <v/>
      </c>
      <c r="AP20" s="75" t="str">
        <f t="shared" si="56"/>
        <v/>
      </c>
      <c r="AQ20" s="75" t="str">
        <f t="shared" si="57"/>
        <v/>
      </c>
      <c r="AR20" s="75" t="str">
        <f>IF(MATHS!K20="","",CEILING(MATHS!K20*$AR$6/MATHS!$K$6,1))</f>
        <v/>
      </c>
      <c r="AS20" s="76" t="str">
        <f t="shared" si="58"/>
        <v/>
      </c>
      <c r="AT20" s="76" t="str">
        <f t="shared" si="59"/>
        <v/>
      </c>
      <c r="AU20" s="76" t="str">
        <f>IF(MATHS!O20="","",MATHS!O20*$AU$6/MATHS!$O$6)</f>
        <v/>
      </c>
      <c r="AV20" s="76" t="str">
        <f t="shared" si="60"/>
        <v/>
      </c>
      <c r="AW20" s="76" t="str">
        <f t="shared" si="61"/>
        <v/>
      </c>
      <c r="AX20" s="73" t="str">
        <f>IF(PHYSICS!E21="","",PHYSICS!E21)</f>
        <v/>
      </c>
      <c r="AY20" s="644" t="str">
        <f t="shared" si="62"/>
        <v/>
      </c>
      <c r="AZ20" s="73" t="str">
        <f>IF(PHYSICS!F21="","",PHYSICS!F21)</f>
        <v/>
      </c>
      <c r="BA20" s="73" t="str">
        <f>IF(PHYSICS!G21="","",PHYSICS!G21)</f>
        <v/>
      </c>
      <c r="BB20" s="73" t="str">
        <f t="shared" si="63"/>
        <v/>
      </c>
      <c r="BC20" s="73" t="str">
        <f t="shared" si="64"/>
        <v/>
      </c>
      <c r="BD20" s="73" t="str">
        <f>IF(PHYSICS!H21="","",PHYSICS!H21)</f>
        <v/>
      </c>
      <c r="BE20" s="645" t="str">
        <f t="shared" si="65"/>
        <v/>
      </c>
      <c r="BF20" s="73" t="str">
        <f>IF(PHYSICS!I21="","",PHYSICS!I21)</f>
        <v/>
      </c>
      <c r="BG20" s="73" t="str">
        <f>IF(PHYSICS!J21="","",PHYSICS!J21)</f>
        <v/>
      </c>
      <c r="BH20" s="73" t="str">
        <f t="shared" si="66"/>
        <v/>
      </c>
      <c r="BI20" s="73" t="str">
        <f t="shared" si="67"/>
        <v/>
      </c>
      <c r="BJ20" s="73" t="str">
        <f t="shared" si="68"/>
        <v/>
      </c>
      <c r="BK20" s="73" t="str">
        <f t="shared" si="69"/>
        <v/>
      </c>
      <c r="BL20" s="73" t="str">
        <f t="shared" si="70"/>
        <v/>
      </c>
      <c r="BM20" s="73" t="str">
        <f t="shared" si="71"/>
        <v/>
      </c>
      <c r="BN20" s="73" t="str">
        <f>IF(PHYSICS!M21="","",PHYSICS!M21*$BN$6/PHYSICS!$M$7)</f>
        <v/>
      </c>
      <c r="BO20" s="73" t="str">
        <f t="shared" si="72"/>
        <v/>
      </c>
      <c r="BP20" s="73" t="str">
        <f t="shared" si="73"/>
        <v/>
      </c>
      <c r="BQ20" s="48" t="str">
        <f>IF(CHEMISTRY!E21="","",CHEMISTRY!E21)</f>
        <v/>
      </c>
      <c r="BR20" s="646" t="str">
        <f t="shared" si="74"/>
        <v/>
      </c>
      <c r="BS20" s="48" t="str">
        <f>IF(CHEMISTRY!F21="","",CHEMISTRY!F21)</f>
        <v/>
      </c>
      <c r="BT20" s="48" t="str">
        <f>IF(CHEMISTRY!G21="","",CHEMISTRY!G21)</f>
        <v/>
      </c>
      <c r="BU20" s="48" t="str">
        <f t="shared" si="75"/>
        <v/>
      </c>
      <c r="BV20" s="48" t="str">
        <f t="shared" si="76"/>
        <v/>
      </c>
      <c r="BW20" s="48" t="str">
        <f>IF(CHEMISTRY!H21="","",CHEMISTRY!H21)</f>
        <v/>
      </c>
      <c r="BX20" s="646" t="str">
        <f t="shared" si="77"/>
        <v/>
      </c>
      <c r="BY20" s="48" t="str">
        <f>IF(CHEMISTRY!I21="","",CHEMISTRY!I21)</f>
        <v/>
      </c>
      <c r="BZ20" s="48" t="str">
        <f>IF(CHEMISTRY!J21="","",CHEMISTRY!J21)</f>
        <v/>
      </c>
      <c r="CA20" s="48" t="str">
        <f t="shared" si="78"/>
        <v/>
      </c>
      <c r="CB20" s="48" t="str">
        <f t="shared" si="79"/>
        <v/>
      </c>
      <c r="CC20" s="48" t="str">
        <f t="shared" si="80"/>
        <v/>
      </c>
      <c r="CD20" s="48" t="str">
        <f t="shared" si="81"/>
        <v/>
      </c>
      <c r="CE20" s="48" t="str">
        <f t="shared" si="82"/>
        <v/>
      </c>
      <c r="CF20" s="48" t="str">
        <f t="shared" si="83"/>
        <v/>
      </c>
      <c r="CG20" s="48" t="str">
        <f>IF(CHEMISTRY!M21="","",CHEMISTRY!M21*$CG$6/CHEMISTRY!$M$7)</f>
        <v/>
      </c>
      <c r="CH20" s="48" t="str">
        <f t="shared" si="84"/>
        <v/>
      </c>
      <c r="CI20" s="48" t="str">
        <f t="shared" si="85"/>
        <v/>
      </c>
      <c r="CJ20" s="73" t="str">
        <f>IF(BIOLOGY!E21="","",BIOLOGY!E21)</f>
        <v/>
      </c>
      <c r="CK20" s="73" t="str">
        <f t="shared" si="86"/>
        <v/>
      </c>
      <c r="CL20" s="73" t="str">
        <f>IF(BIOLOGY!F21="","",BIOLOGY!F21)</f>
        <v/>
      </c>
      <c r="CM20" s="73" t="str">
        <f>IF(BIOLOGY!G21="","",BIOLOGY!G21)</f>
        <v/>
      </c>
      <c r="CN20" s="73" t="str">
        <f t="shared" si="87"/>
        <v/>
      </c>
      <c r="CO20" s="73" t="str">
        <f t="shared" si="88"/>
        <v/>
      </c>
      <c r="CP20" s="73" t="str">
        <f>IF(BIOLOGY!H21="","",BIOLOGY!H21)</f>
        <v/>
      </c>
      <c r="CQ20" s="73" t="str">
        <f t="shared" si="89"/>
        <v/>
      </c>
      <c r="CR20" s="73" t="str">
        <f>IF(BIOLOGY!I21="","",BIOLOGY!I21)</f>
        <v/>
      </c>
      <c r="CS20" s="73" t="str">
        <f>IF(BIOLOGY!J21="","",BIOLOGY!J21)</f>
        <v/>
      </c>
      <c r="CT20" s="73" t="str">
        <f t="shared" si="90"/>
        <v/>
      </c>
      <c r="CU20" s="73" t="str">
        <f t="shared" si="91"/>
        <v/>
      </c>
      <c r="CV20" s="73" t="str">
        <f t="shared" si="92"/>
        <v/>
      </c>
      <c r="CW20" s="73" t="str">
        <f t="shared" si="93"/>
        <v/>
      </c>
      <c r="CX20" s="73" t="str">
        <f t="shared" si="94"/>
        <v/>
      </c>
      <c r="CY20" s="73" t="str">
        <f t="shared" si="95"/>
        <v/>
      </c>
      <c r="CZ20" s="73" t="str">
        <f>IF(BIOLOGY!M21="","",CEILING((BIOLOGY!M21*$CZ$6/BIOLOGY!$M$7),1))</f>
        <v/>
      </c>
      <c r="DA20" s="73" t="str">
        <f t="shared" si="96"/>
        <v/>
      </c>
      <c r="DB20" s="73" t="str">
        <f t="shared" si="97"/>
        <v/>
      </c>
      <c r="DC20" s="76" t="str">
        <f>IF('PHY EDU '!E21="","",'PHY EDU '!E21)</f>
        <v/>
      </c>
      <c r="DD20" s="647" t="str">
        <f t="shared" si="98"/>
        <v/>
      </c>
      <c r="DE20" s="76" t="str">
        <f>IF('PHY EDU '!F21="","",'PHY EDU '!F21)</f>
        <v/>
      </c>
      <c r="DF20" s="76" t="str">
        <f>IF('PHY EDU '!G21="","",'PHY EDU '!G21)</f>
        <v/>
      </c>
      <c r="DG20" s="76" t="str">
        <f t="shared" si="99"/>
        <v/>
      </c>
      <c r="DH20" s="76" t="str">
        <f t="shared" si="100"/>
        <v/>
      </c>
      <c r="DI20" s="76" t="str">
        <f>IF('PHY EDU '!H21="","",'PHY EDU '!H21)</f>
        <v/>
      </c>
      <c r="DJ20" s="647" t="str">
        <f t="shared" si="101"/>
        <v/>
      </c>
      <c r="DK20" s="76" t="str">
        <f>IF('PHY EDU '!I21="","",'PHY EDU '!I21)</f>
        <v/>
      </c>
      <c r="DL20" s="76" t="str">
        <f>IF('PHY EDU '!J21="","",'PHY EDU '!J21)</f>
        <v/>
      </c>
      <c r="DM20" s="76" t="str">
        <f t="shared" si="102"/>
        <v/>
      </c>
      <c r="DN20" s="76" t="str">
        <f t="shared" si="103"/>
        <v/>
      </c>
      <c r="DO20" s="76" t="str">
        <f t="shared" si="104"/>
        <v/>
      </c>
      <c r="DP20" s="76" t="str">
        <f t="shared" si="105"/>
        <v/>
      </c>
      <c r="DQ20" s="76" t="str">
        <f t="shared" si="106"/>
        <v/>
      </c>
      <c r="DR20" s="76" t="str">
        <f t="shared" si="107"/>
        <v/>
      </c>
      <c r="DS20" s="76" t="str">
        <f>IF('PHY EDU '!M21="","",ROUNDUP('PHY EDU '!M21*$DS$6/'PHY EDU '!$M$7,0))</f>
        <v/>
      </c>
      <c r="DT20" s="76" t="str">
        <f t="shared" si="108"/>
        <v/>
      </c>
      <c r="DU20" s="76" t="str">
        <f t="shared" si="109"/>
        <v/>
      </c>
      <c r="DV20" s="72" t="str">
        <f t="shared" si="20"/>
        <v/>
      </c>
      <c r="DW20" s="72" t="str">
        <f t="shared" si="21"/>
        <v/>
      </c>
      <c r="DX20" s="72" t="str">
        <f t="shared" si="22"/>
        <v/>
      </c>
      <c r="DY20" s="72" t="str">
        <f t="shared" si="23"/>
        <v/>
      </c>
      <c r="DZ20" s="72" t="str">
        <f t="shared" si="24"/>
        <v/>
      </c>
      <c r="EA20" s="72" t="str">
        <f t="shared" si="25"/>
        <v/>
      </c>
      <c r="EB20" s="76" t="str">
        <f t="shared" si="26"/>
        <v/>
      </c>
      <c r="EC20" s="76" t="str">
        <f t="shared" si="27"/>
        <v/>
      </c>
      <c r="ED20" s="76" t="str">
        <f t="shared" si="28"/>
        <v/>
      </c>
      <c r="EE20" s="76" t="str">
        <f t="shared" si="29"/>
        <v/>
      </c>
      <c r="EF20" s="76" t="str">
        <f t="shared" si="30"/>
        <v/>
      </c>
      <c r="EG20" s="76" t="str">
        <f t="shared" si="31"/>
        <v/>
      </c>
      <c r="EH20" s="77" t="str">
        <f t="shared" si="32"/>
        <v/>
      </c>
      <c r="EI20" s="495" t="str">
        <f t="shared" si="110"/>
        <v/>
      </c>
      <c r="EJ20" s="86" t="str">
        <f t="shared" si="111"/>
        <v/>
      </c>
      <c r="EK20" s="78" t="str">
        <f t="shared" si="33"/>
        <v/>
      </c>
      <c r="EL20" s="79" t="str">
        <f t="shared" si="112"/>
        <v/>
      </c>
      <c r="EM20" s="139" t="str">
        <f t="shared" si="34"/>
        <v/>
      </c>
      <c r="EN20" s="77" t="str">
        <f t="shared" si="113"/>
        <v/>
      </c>
      <c r="EO20" s="77" t="str">
        <f>IF(EN20="","",ATTENDANCE!Q21&amp;"/"&amp;ATTENDANCE!$Q$7)</f>
        <v/>
      </c>
      <c r="EP20" s="80" t="str">
        <f t="shared" si="35"/>
        <v/>
      </c>
      <c r="EQ20" s="80" t="str">
        <f t="shared" si="114"/>
        <v/>
      </c>
      <c r="ER20" s="80" t="str">
        <f t="shared" si="115"/>
        <v/>
      </c>
      <c r="ES20" s="80" t="str">
        <f t="shared" si="116"/>
        <v/>
      </c>
      <c r="ET20" s="80" t="str">
        <f t="shared" si="117"/>
        <v/>
      </c>
      <c r="EU20" s="80" t="str">
        <f t="shared" si="118"/>
        <v/>
      </c>
      <c r="EV20" s="492" t="str">
        <f t="shared" si="119"/>
        <v/>
      </c>
      <c r="EW20" s="129" t="str">
        <f t="shared" si="36"/>
        <v/>
      </c>
      <c r="EX20" s="129" t="str">
        <f t="shared" si="120"/>
        <v/>
      </c>
      <c r="EY20" s="129" t="str">
        <f t="shared" si="121"/>
        <v/>
      </c>
      <c r="EZ20" s="129" t="str">
        <f t="shared" si="122"/>
        <v/>
      </c>
      <c r="FA20" s="129" t="str">
        <f t="shared" si="123"/>
        <v/>
      </c>
      <c r="FB20" s="129" t="str">
        <f t="shared" si="124"/>
        <v/>
      </c>
      <c r="FC20" s="80" t="str">
        <f t="shared" si="37"/>
        <v/>
      </c>
      <c r="FD20" s="80" t="str">
        <f t="shared" si="38"/>
        <v/>
      </c>
      <c r="FE20" s="80" t="str">
        <f t="shared" si="39"/>
        <v/>
      </c>
      <c r="FF20" s="488" t="str">
        <f t="shared" si="125"/>
        <v/>
      </c>
      <c r="FG20" s="80" t="str">
        <f t="shared" si="126"/>
        <v/>
      </c>
      <c r="FH20" s="80" t="str">
        <f t="shared" si="127"/>
        <v/>
      </c>
      <c r="FI20" s="496" t="str">
        <f t="shared" si="128"/>
        <v/>
      </c>
      <c r="FJ20" s="140" t="str">
        <f t="shared" si="40"/>
        <v/>
      </c>
      <c r="FK20" s="492" t="str">
        <f t="shared" si="129"/>
        <v/>
      </c>
      <c r="FL20" s="490" t="str">
        <f t="shared" si="130"/>
        <v/>
      </c>
      <c r="FM20" s="74" t="str">
        <f t="shared" si="131"/>
        <v/>
      </c>
    </row>
    <row r="21" spans="1:169" ht="28.5" customHeight="1" x14ac:dyDescent="0.3">
      <c r="A21" s="6"/>
      <c r="B21" s="25">
        <f>DATA!B19</f>
        <v>0</v>
      </c>
      <c r="C21" s="25" t="str">
        <f>IF(DATA!C19="","",DATA!C19)</f>
        <v/>
      </c>
      <c r="D21" s="25" t="str">
        <f>IF(DATA!D19="","",DATA!D19)</f>
        <v/>
      </c>
      <c r="E21" s="738" t="str">
        <f>IF(DATA!E19="","",DATA!E19)</f>
        <v/>
      </c>
      <c r="F21" s="738" t="str">
        <f>IF(DATA!F19="","",DATA!F19)</f>
        <v/>
      </c>
      <c r="G21" s="738" t="str">
        <f>IF(DATA!G19="","",DATA!G19)</f>
        <v/>
      </c>
      <c r="H21" s="214" t="str">
        <f>IF(DATA!H19="","",DATA!H19)</f>
        <v/>
      </c>
      <c r="I21" s="214" t="str">
        <f>IF(DATA!I19="","",DATA!I19)</f>
        <v/>
      </c>
      <c r="J21" s="214" t="str">
        <f>IF(DATA!J19="","",DATA!J19)</f>
        <v/>
      </c>
      <c r="K21" s="214" t="str">
        <f>IF(DATA!K19="","",DATA!K19)</f>
        <v/>
      </c>
      <c r="L21" s="73" t="str">
        <f>IF(ENGLISH!E21="","",ENGLISH!E21)</f>
        <v/>
      </c>
      <c r="M21" s="73" t="str">
        <f t="shared" si="41"/>
        <v/>
      </c>
      <c r="N21" s="73" t="str">
        <f>IF(ENGLISH!F21="","",ENGLISH!F21)</f>
        <v/>
      </c>
      <c r="O21" s="73" t="str">
        <f t="shared" si="42"/>
        <v/>
      </c>
      <c r="P21" s="73" t="str">
        <f>IF(ENGLISH!G21="","",ENGLISH!G21)</f>
        <v/>
      </c>
      <c r="Q21" s="73" t="str">
        <f t="shared" si="43"/>
        <v/>
      </c>
      <c r="R21" s="73" t="str">
        <f>IF(ENGLISH!H21="","",ENGLISH!H21)</f>
        <v/>
      </c>
      <c r="S21" s="73" t="str">
        <f>IF(ENGLISH!I21="","",ENGLISH!I21)</f>
        <v/>
      </c>
      <c r="T21" s="73" t="str">
        <f>IF(ENGLISH!J21="","",ENGLISH!J21)</f>
        <v/>
      </c>
      <c r="U21" s="73" t="str">
        <f>IF(ENGLISH!K21="","",ENGLISH!K21)</f>
        <v/>
      </c>
      <c r="V21" s="73" t="str">
        <f t="shared" si="44"/>
        <v/>
      </c>
      <c r="W21" s="81" t="str">
        <f>IF(ENGLISH!L21="","",ENGLISH!L21)</f>
        <v/>
      </c>
      <c r="X21" s="73" t="str">
        <f t="shared" si="45"/>
        <v/>
      </c>
      <c r="Y21" s="73" t="str">
        <f t="shared" si="46"/>
        <v/>
      </c>
      <c r="Z21" s="73" t="str">
        <f t="shared" si="47"/>
        <v/>
      </c>
      <c r="AA21" s="73" t="str">
        <f>IF(ENGLISH!O21="","",ENGLISH!O21*40/ENGLISH!$O$6)</f>
        <v/>
      </c>
      <c r="AB21" s="73" t="str">
        <f t="shared" si="48"/>
        <v/>
      </c>
      <c r="AC21" s="73" t="str">
        <f t="shared" si="49"/>
        <v/>
      </c>
      <c r="AD21" s="74" t="str">
        <f>IF(MATHS!E21="","",MATHS!E21)</f>
        <v/>
      </c>
      <c r="AE21" s="643" t="str">
        <f t="shared" si="50"/>
        <v/>
      </c>
      <c r="AF21" s="74" t="str">
        <f>IF(MATHS!F21="","",MATHS!F21)</f>
        <v/>
      </c>
      <c r="AG21" s="643" t="str">
        <f t="shared" si="51"/>
        <v/>
      </c>
      <c r="AH21" s="74" t="str">
        <f>IF(MATHS!G21="","",MATHS!G21)</f>
        <v/>
      </c>
      <c r="AI21" s="643" t="str">
        <f t="shared" si="52"/>
        <v/>
      </c>
      <c r="AJ21" s="75" t="str">
        <f t="shared" si="53"/>
        <v/>
      </c>
      <c r="AK21" s="75" t="str">
        <f t="shared" si="54"/>
        <v/>
      </c>
      <c r="AL21" s="75" t="str">
        <f t="shared" si="55"/>
        <v/>
      </c>
      <c r="AM21" s="75" t="str">
        <f>IF(MATHS!H21="","",MATHS!H21)</f>
        <v/>
      </c>
      <c r="AN21" s="75" t="str">
        <f>IF(MATHS!I21="","",MATHS!I21)</f>
        <v/>
      </c>
      <c r="AO21" s="75" t="str">
        <f>IF(MATHS!J21="","",MATHS!J21)</f>
        <v/>
      </c>
      <c r="AP21" s="75" t="str">
        <f t="shared" si="56"/>
        <v/>
      </c>
      <c r="AQ21" s="75" t="str">
        <f t="shared" si="57"/>
        <v/>
      </c>
      <c r="AR21" s="75" t="str">
        <f>IF(MATHS!K21="","",CEILING(MATHS!K21*$AR$6/MATHS!$K$6,1))</f>
        <v/>
      </c>
      <c r="AS21" s="76" t="str">
        <f t="shared" si="58"/>
        <v/>
      </c>
      <c r="AT21" s="76" t="str">
        <f t="shared" si="59"/>
        <v/>
      </c>
      <c r="AU21" s="76" t="str">
        <f>IF(MATHS!O21="","",MATHS!O21*$AU$6/MATHS!$O$6)</f>
        <v/>
      </c>
      <c r="AV21" s="76" t="str">
        <f t="shared" si="60"/>
        <v/>
      </c>
      <c r="AW21" s="76" t="str">
        <f t="shared" si="61"/>
        <v/>
      </c>
      <c r="AX21" s="73" t="str">
        <f>IF(PHYSICS!E22="","",PHYSICS!E22)</f>
        <v/>
      </c>
      <c r="AY21" s="644" t="str">
        <f t="shared" si="62"/>
        <v/>
      </c>
      <c r="AZ21" s="73" t="str">
        <f>IF(PHYSICS!F22="","",PHYSICS!F22)</f>
        <v/>
      </c>
      <c r="BA21" s="73" t="str">
        <f>IF(PHYSICS!G22="","",PHYSICS!G22)</f>
        <v/>
      </c>
      <c r="BB21" s="73" t="str">
        <f t="shared" si="63"/>
        <v/>
      </c>
      <c r="BC21" s="73" t="str">
        <f t="shared" si="64"/>
        <v/>
      </c>
      <c r="BD21" s="73" t="str">
        <f>IF(PHYSICS!H22="","",PHYSICS!H22)</f>
        <v/>
      </c>
      <c r="BE21" s="645" t="str">
        <f t="shared" si="65"/>
        <v/>
      </c>
      <c r="BF21" s="73" t="str">
        <f>IF(PHYSICS!I22="","",PHYSICS!I22)</f>
        <v/>
      </c>
      <c r="BG21" s="73" t="str">
        <f>IF(PHYSICS!J22="","",PHYSICS!J22)</f>
        <v/>
      </c>
      <c r="BH21" s="73" t="str">
        <f t="shared" si="66"/>
        <v/>
      </c>
      <c r="BI21" s="73" t="str">
        <f t="shared" si="67"/>
        <v/>
      </c>
      <c r="BJ21" s="73" t="str">
        <f t="shared" si="68"/>
        <v/>
      </c>
      <c r="BK21" s="73" t="str">
        <f t="shared" si="69"/>
        <v/>
      </c>
      <c r="BL21" s="73" t="str">
        <f t="shared" si="70"/>
        <v/>
      </c>
      <c r="BM21" s="73" t="str">
        <f t="shared" si="71"/>
        <v/>
      </c>
      <c r="BN21" s="73" t="str">
        <f>IF(PHYSICS!M22="","",PHYSICS!M22*$BN$6/PHYSICS!$M$7)</f>
        <v/>
      </c>
      <c r="BO21" s="73" t="str">
        <f t="shared" si="72"/>
        <v/>
      </c>
      <c r="BP21" s="73" t="str">
        <f t="shared" si="73"/>
        <v/>
      </c>
      <c r="BQ21" s="48" t="str">
        <f>IF(CHEMISTRY!E22="","",CHEMISTRY!E22)</f>
        <v/>
      </c>
      <c r="BR21" s="646" t="str">
        <f t="shared" si="74"/>
        <v/>
      </c>
      <c r="BS21" s="48" t="str">
        <f>IF(CHEMISTRY!F22="","",CHEMISTRY!F22)</f>
        <v/>
      </c>
      <c r="BT21" s="48" t="str">
        <f>IF(CHEMISTRY!G22="","",CHEMISTRY!G22)</f>
        <v/>
      </c>
      <c r="BU21" s="48" t="str">
        <f t="shared" si="75"/>
        <v/>
      </c>
      <c r="BV21" s="48" t="str">
        <f t="shared" si="76"/>
        <v/>
      </c>
      <c r="BW21" s="48" t="str">
        <f>IF(CHEMISTRY!H22="","",CHEMISTRY!H22)</f>
        <v/>
      </c>
      <c r="BX21" s="646" t="str">
        <f t="shared" si="77"/>
        <v/>
      </c>
      <c r="BY21" s="48" t="str">
        <f>IF(CHEMISTRY!I22="","",CHEMISTRY!I22)</f>
        <v/>
      </c>
      <c r="BZ21" s="48" t="str">
        <f>IF(CHEMISTRY!J22="","",CHEMISTRY!J22)</f>
        <v/>
      </c>
      <c r="CA21" s="48" t="str">
        <f t="shared" si="78"/>
        <v/>
      </c>
      <c r="CB21" s="48" t="str">
        <f t="shared" si="79"/>
        <v/>
      </c>
      <c r="CC21" s="48" t="str">
        <f t="shared" si="80"/>
        <v/>
      </c>
      <c r="CD21" s="48" t="str">
        <f t="shared" si="81"/>
        <v/>
      </c>
      <c r="CE21" s="48" t="str">
        <f t="shared" si="82"/>
        <v/>
      </c>
      <c r="CF21" s="48" t="str">
        <f t="shared" si="83"/>
        <v/>
      </c>
      <c r="CG21" s="48" t="str">
        <f>IF(CHEMISTRY!M22="","",CHEMISTRY!M22*$CG$6/CHEMISTRY!$M$7)</f>
        <v/>
      </c>
      <c r="CH21" s="48" t="str">
        <f t="shared" si="84"/>
        <v/>
      </c>
      <c r="CI21" s="48" t="str">
        <f t="shared" si="85"/>
        <v/>
      </c>
      <c r="CJ21" s="73" t="str">
        <f>IF(BIOLOGY!E22="","",BIOLOGY!E22)</f>
        <v/>
      </c>
      <c r="CK21" s="73" t="str">
        <f t="shared" si="86"/>
        <v/>
      </c>
      <c r="CL21" s="73" t="str">
        <f>IF(BIOLOGY!F22="","",BIOLOGY!F22)</f>
        <v/>
      </c>
      <c r="CM21" s="73" t="str">
        <f>IF(BIOLOGY!G22="","",BIOLOGY!G22)</f>
        <v/>
      </c>
      <c r="CN21" s="73" t="str">
        <f t="shared" si="87"/>
        <v/>
      </c>
      <c r="CO21" s="73" t="str">
        <f t="shared" si="88"/>
        <v/>
      </c>
      <c r="CP21" s="73" t="str">
        <f>IF(BIOLOGY!H22="","",BIOLOGY!H22)</f>
        <v/>
      </c>
      <c r="CQ21" s="73" t="str">
        <f t="shared" si="89"/>
        <v/>
      </c>
      <c r="CR21" s="73" t="str">
        <f>IF(BIOLOGY!I22="","",BIOLOGY!I22)</f>
        <v/>
      </c>
      <c r="CS21" s="73" t="str">
        <f>IF(BIOLOGY!J22="","",BIOLOGY!J22)</f>
        <v/>
      </c>
      <c r="CT21" s="73" t="str">
        <f t="shared" si="90"/>
        <v/>
      </c>
      <c r="CU21" s="73" t="str">
        <f t="shared" si="91"/>
        <v/>
      </c>
      <c r="CV21" s="73" t="str">
        <f t="shared" si="92"/>
        <v/>
      </c>
      <c r="CW21" s="73" t="str">
        <f t="shared" si="93"/>
        <v/>
      </c>
      <c r="CX21" s="73" t="str">
        <f t="shared" si="94"/>
        <v/>
      </c>
      <c r="CY21" s="73" t="str">
        <f t="shared" si="95"/>
        <v/>
      </c>
      <c r="CZ21" s="73" t="str">
        <f>IF(BIOLOGY!M22="","",CEILING((BIOLOGY!M22*$CZ$6/BIOLOGY!$M$7),1))</f>
        <v/>
      </c>
      <c r="DA21" s="73" t="str">
        <f t="shared" si="96"/>
        <v/>
      </c>
      <c r="DB21" s="73" t="str">
        <f t="shared" si="97"/>
        <v/>
      </c>
      <c r="DC21" s="76" t="str">
        <f>IF('PHY EDU '!E22="","",'PHY EDU '!E22)</f>
        <v/>
      </c>
      <c r="DD21" s="647" t="str">
        <f t="shared" si="98"/>
        <v/>
      </c>
      <c r="DE21" s="76" t="str">
        <f>IF('PHY EDU '!F22="","",'PHY EDU '!F22)</f>
        <v/>
      </c>
      <c r="DF21" s="76" t="str">
        <f>IF('PHY EDU '!G22="","",'PHY EDU '!G22)</f>
        <v/>
      </c>
      <c r="DG21" s="76" t="str">
        <f t="shared" si="99"/>
        <v/>
      </c>
      <c r="DH21" s="76" t="str">
        <f t="shared" si="100"/>
        <v/>
      </c>
      <c r="DI21" s="76" t="str">
        <f>IF('PHY EDU '!H22="","",'PHY EDU '!H22)</f>
        <v/>
      </c>
      <c r="DJ21" s="647" t="str">
        <f t="shared" si="101"/>
        <v/>
      </c>
      <c r="DK21" s="76" t="str">
        <f>IF('PHY EDU '!I22="","",'PHY EDU '!I22)</f>
        <v/>
      </c>
      <c r="DL21" s="76" t="str">
        <f>IF('PHY EDU '!J22="","",'PHY EDU '!J22)</f>
        <v/>
      </c>
      <c r="DM21" s="76" t="str">
        <f t="shared" si="102"/>
        <v/>
      </c>
      <c r="DN21" s="76" t="str">
        <f t="shared" si="103"/>
        <v/>
      </c>
      <c r="DO21" s="76" t="str">
        <f t="shared" si="104"/>
        <v/>
      </c>
      <c r="DP21" s="76" t="str">
        <f t="shared" si="105"/>
        <v/>
      </c>
      <c r="DQ21" s="76" t="str">
        <f t="shared" si="106"/>
        <v/>
      </c>
      <c r="DR21" s="76" t="str">
        <f t="shared" si="107"/>
        <v/>
      </c>
      <c r="DS21" s="76" t="str">
        <f>IF('PHY EDU '!M22="","",ROUNDUP('PHY EDU '!M22*$DS$6/'PHY EDU '!$M$7,0))</f>
        <v/>
      </c>
      <c r="DT21" s="76" t="str">
        <f t="shared" si="108"/>
        <v/>
      </c>
      <c r="DU21" s="76" t="str">
        <f t="shared" si="109"/>
        <v/>
      </c>
      <c r="DV21" s="72" t="str">
        <f t="shared" si="20"/>
        <v/>
      </c>
      <c r="DW21" s="72" t="str">
        <f t="shared" si="21"/>
        <v/>
      </c>
      <c r="DX21" s="72" t="str">
        <f t="shared" si="22"/>
        <v/>
      </c>
      <c r="DY21" s="72" t="str">
        <f t="shared" si="23"/>
        <v/>
      </c>
      <c r="DZ21" s="72" t="str">
        <f t="shared" si="24"/>
        <v/>
      </c>
      <c r="EA21" s="72" t="str">
        <f t="shared" si="25"/>
        <v/>
      </c>
      <c r="EB21" s="76" t="str">
        <f t="shared" si="26"/>
        <v/>
      </c>
      <c r="EC21" s="76" t="str">
        <f t="shared" si="27"/>
        <v/>
      </c>
      <c r="ED21" s="76" t="str">
        <f t="shared" si="28"/>
        <v/>
      </c>
      <c r="EE21" s="76" t="str">
        <f t="shared" si="29"/>
        <v/>
      </c>
      <c r="EF21" s="76" t="str">
        <f t="shared" si="30"/>
        <v/>
      </c>
      <c r="EG21" s="76" t="str">
        <f t="shared" si="31"/>
        <v/>
      </c>
      <c r="EH21" s="77" t="str">
        <f t="shared" si="32"/>
        <v/>
      </c>
      <c r="EI21" s="495" t="str">
        <f t="shared" si="110"/>
        <v/>
      </c>
      <c r="EJ21" s="86" t="str">
        <f t="shared" si="111"/>
        <v/>
      </c>
      <c r="EK21" s="78" t="str">
        <f t="shared" si="33"/>
        <v/>
      </c>
      <c r="EL21" s="79" t="str">
        <f t="shared" si="112"/>
        <v/>
      </c>
      <c r="EM21" s="139" t="str">
        <f t="shared" si="34"/>
        <v/>
      </c>
      <c r="EN21" s="77" t="str">
        <f t="shared" si="113"/>
        <v/>
      </c>
      <c r="EO21" s="77" t="str">
        <f>IF(EN21="","",ATTENDANCE!Q22&amp;"/"&amp;ATTENDANCE!$Q$7)</f>
        <v/>
      </c>
      <c r="EP21" s="80" t="str">
        <f t="shared" si="35"/>
        <v/>
      </c>
      <c r="EQ21" s="80" t="str">
        <f t="shared" si="114"/>
        <v/>
      </c>
      <c r="ER21" s="80" t="str">
        <f t="shared" si="115"/>
        <v/>
      </c>
      <c r="ES21" s="80" t="str">
        <f t="shared" si="116"/>
        <v/>
      </c>
      <c r="ET21" s="80" t="str">
        <f t="shared" si="117"/>
        <v/>
      </c>
      <c r="EU21" s="80" t="str">
        <f t="shared" si="118"/>
        <v/>
      </c>
      <c r="EV21" s="492" t="str">
        <f t="shared" si="119"/>
        <v/>
      </c>
      <c r="EW21" s="129" t="str">
        <f t="shared" si="36"/>
        <v/>
      </c>
      <c r="EX21" s="129" t="str">
        <f t="shared" si="120"/>
        <v/>
      </c>
      <c r="EY21" s="129" t="str">
        <f t="shared" si="121"/>
        <v/>
      </c>
      <c r="EZ21" s="129" t="str">
        <f t="shared" si="122"/>
        <v/>
      </c>
      <c r="FA21" s="129" t="str">
        <f t="shared" si="123"/>
        <v/>
      </c>
      <c r="FB21" s="129" t="str">
        <f t="shared" si="124"/>
        <v/>
      </c>
      <c r="FC21" s="80" t="str">
        <f t="shared" si="37"/>
        <v/>
      </c>
      <c r="FD21" s="80" t="str">
        <f t="shared" si="38"/>
        <v/>
      </c>
      <c r="FE21" s="80" t="str">
        <f t="shared" si="39"/>
        <v/>
      </c>
      <c r="FF21" s="488" t="str">
        <f t="shared" si="125"/>
        <v/>
      </c>
      <c r="FG21" s="80" t="str">
        <f t="shared" si="126"/>
        <v/>
      </c>
      <c r="FH21" s="80" t="str">
        <f t="shared" si="127"/>
        <v/>
      </c>
      <c r="FI21" s="496" t="str">
        <f t="shared" si="128"/>
        <v/>
      </c>
      <c r="FJ21" s="140" t="str">
        <f t="shared" si="40"/>
        <v/>
      </c>
      <c r="FK21" s="492" t="str">
        <f t="shared" si="129"/>
        <v/>
      </c>
      <c r="FL21" s="490" t="str">
        <f t="shared" si="130"/>
        <v/>
      </c>
      <c r="FM21" s="74" t="str">
        <f t="shared" si="131"/>
        <v/>
      </c>
    </row>
    <row r="22" spans="1:169" ht="28.5" customHeight="1" x14ac:dyDescent="0.3">
      <c r="A22" s="6"/>
      <c r="B22" s="25">
        <f>DATA!B20</f>
        <v>0</v>
      </c>
      <c r="C22" s="25" t="str">
        <f>IF(DATA!C20="","",DATA!C20)</f>
        <v/>
      </c>
      <c r="D22" s="25" t="str">
        <f>IF(DATA!D20="","",DATA!D20)</f>
        <v/>
      </c>
      <c r="E22" s="738" t="str">
        <f>IF(DATA!E20="","",DATA!E20)</f>
        <v/>
      </c>
      <c r="F22" s="738" t="str">
        <f>IF(DATA!F20="","",DATA!F20)</f>
        <v/>
      </c>
      <c r="G22" s="738" t="str">
        <f>IF(DATA!G20="","",DATA!G20)</f>
        <v/>
      </c>
      <c r="H22" s="214" t="str">
        <f>IF(DATA!H20="","",DATA!H20)</f>
        <v/>
      </c>
      <c r="I22" s="214" t="str">
        <f>IF(DATA!I20="","",DATA!I20)</f>
        <v/>
      </c>
      <c r="J22" s="214" t="str">
        <f>IF(DATA!J20="","",DATA!J20)</f>
        <v/>
      </c>
      <c r="K22" s="214" t="str">
        <f>IF(DATA!K20="","",DATA!K20)</f>
        <v/>
      </c>
      <c r="L22" s="73" t="str">
        <f>IF(ENGLISH!E22="","",ENGLISH!E22)</f>
        <v/>
      </c>
      <c r="M22" s="73" t="str">
        <f t="shared" si="41"/>
        <v/>
      </c>
      <c r="N22" s="73" t="str">
        <f>IF(ENGLISH!F22="","",ENGLISH!F22)</f>
        <v/>
      </c>
      <c r="O22" s="73" t="str">
        <f t="shared" si="42"/>
        <v/>
      </c>
      <c r="P22" s="73" t="str">
        <f>IF(ENGLISH!G22="","",ENGLISH!G22)</f>
        <v/>
      </c>
      <c r="Q22" s="73" t="str">
        <f t="shared" si="43"/>
        <v/>
      </c>
      <c r="R22" s="73" t="str">
        <f>IF(ENGLISH!H22="","",ENGLISH!H22)</f>
        <v/>
      </c>
      <c r="S22" s="73" t="str">
        <f>IF(ENGLISH!I22="","",ENGLISH!I22)</f>
        <v/>
      </c>
      <c r="T22" s="73" t="str">
        <f>IF(ENGLISH!J22="","",ENGLISH!J22)</f>
        <v/>
      </c>
      <c r="U22" s="73" t="str">
        <f>IF(ENGLISH!K22="","",ENGLISH!K22)</f>
        <v/>
      </c>
      <c r="V22" s="73" t="str">
        <f t="shared" si="44"/>
        <v/>
      </c>
      <c r="W22" s="81" t="str">
        <f>IF(ENGLISH!L22="","",ENGLISH!L22)</f>
        <v/>
      </c>
      <c r="X22" s="73" t="str">
        <f t="shared" si="45"/>
        <v/>
      </c>
      <c r="Y22" s="73" t="str">
        <f t="shared" si="46"/>
        <v/>
      </c>
      <c r="Z22" s="73" t="str">
        <f t="shared" si="47"/>
        <v/>
      </c>
      <c r="AA22" s="73" t="str">
        <f>IF(ENGLISH!O22="","",ENGLISH!O22*40/ENGLISH!$O$6)</f>
        <v/>
      </c>
      <c r="AB22" s="73" t="str">
        <f t="shared" si="48"/>
        <v/>
      </c>
      <c r="AC22" s="73" t="str">
        <f t="shared" si="49"/>
        <v/>
      </c>
      <c r="AD22" s="74" t="str">
        <f>IF(MATHS!E22="","",MATHS!E22)</f>
        <v/>
      </c>
      <c r="AE22" s="643" t="str">
        <f t="shared" si="50"/>
        <v/>
      </c>
      <c r="AF22" s="74" t="str">
        <f>IF(MATHS!F22="","",MATHS!F22)</f>
        <v/>
      </c>
      <c r="AG22" s="643" t="str">
        <f t="shared" si="51"/>
        <v/>
      </c>
      <c r="AH22" s="74" t="str">
        <f>IF(MATHS!G22="","",MATHS!G22)</f>
        <v/>
      </c>
      <c r="AI22" s="643" t="str">
        <f t="shared" si="52"/>
        <v/>
      </c>
      <c r="AJ22" s="75" t="str">
        <f t="shared" si="53"/>
        <v/>
      </c>
      <c r="AK22" s="75" t="str">
        <f t="shared" si="54"/>
        <v/>
      </c>
      <c r="AL22" s="75" t="str">
        <f t="shared" si="55"/>
        <v/>
      </c>
      <c r="AM22" s="75" t="str">
        <f>IF(MATHS!H22="","",MATHS!H22)</f>
        <v/>
      </c>
      <c r="AN22" s="75" t="str">
        <f>IF(MATHS!I22="","",MATHS!I22)</f>
        <v/>
      </c>
      <c r="AO22" s="75" t="str">
        <f>IF(MATHS!J22="","",MATHS!J22)</f>
        <v/>
      </c>
      <c r="AP22" s="75" t="str">
        <f t="shared" si="56"/>
        <v/>
      </c>
      <c r="AQ22" s="75" t="str">
        <f t="shared" si="57"/>
        <v/>
      </c>
      <c r="AR22" s="75" t="str">
        <f>IF(MATHS!K22="","",CEILING(MATHS!K22*$AR$6/MATHS!$K$6,1))</f>
        <v/>
      </c>
      <c r="AS22" s="76" t="str">
        <f t="shared" si="58"/>
        <v/>
      </c>
      <c r="AT22" s="76" t="str">
        <f t="shared" si="59"/>
        <v/>
      </c>
      <c r="AU22" s="76" t="str">
        <f>IF(MATHS!O22="","",MATHS!O22*$AU$6/MATHS!$O$6)</f>
        <v/>
      </c>
      <c r="AV22" s="76" t="str">
        <f t="shared" si="60"/>
        <v/>
      </c>
      <c r="AW22" s="76" t="str">
        <f t="shared" si="61"/>
        <v/>
      </c>
      <c r="AX22" s="73" t="str">
        <f>IF(PHYSICS!E23="","",PHYSICS!E23)</f>
        <v/>
      </c>
      <c r="AY22" s="644" t="str">
        <f t="shared" si="62"/>
        <v/>
      </c>
      <c r="AZ22" s="73" t="str">
        <f>IF(PHYSICS!F23="","",PHYSICS!F23)</f>
        <v/>
      </c>
      <c r="BA22" s="73" t="str">
        <f>IF(PHYSICS!G23="","",PHYSICS!G23)</f>
        <v/>
      </c>
      <c r="BB22" s="73" t="str">
        <f t="shared" si="63"/>
        <v/>
      </c>
      <c r="BC22" s="73" t="str">
        <f t="shared" si="64"/>
        <v/>
      </c>
      <c r="BD22" s="73" t="str">
        <f>IF(PHYSICS!H23="","",PHYSICS!H23)</f>
        <v/>
      </c>
      <c r="BE22" s="645" t="str">
        <f t="shared" si="65"/>
        <v/>
      </c>
      <c r="BF22" s="73" t="str">
        <f>IF(PHYSICS!I23="","",PHYSICS!I23)</f>
        <v/>
      </c>
      <c r="BG22" s="73" t="str">
        <f>IF(PHYSICS!J23="","",PHYSICS!J23)</f>
        <v/>
      </c>
      <c r="BH22" s="73" t="str">
        <f t="shared" si="66"/>
        <v/>
      </c>
      <c r="BI22" s="73" t="str">
        <f t="shared" si="67"/>
        <v/>
      </c>
      <c r="BJ22" s="73" t="str">
        <f t="shared" si="68"/>
        <v/>
      </c>
      <c r="BK22" s="73" t="str">
        <f t="shared" si="69"/>
        <v/>
      </c>
      <c r="BL22" s="73" t="str">
        <f t="shared" si="70"/>
        <v/>
      </c>
      <c r="BM22" s="73" t="str">
        <f t="shared" si="71"/>
        <v/>
      </c>
      <c r="BN22" s="73" t="str">
        <f>IF(PHYSICS!M23="","",PHYSICS!M23*$BN$6/PHYSICS!$M$7)</f>
        <v/>
      </c>
      <c r="BO22" s="73" t="str">
        <f t="shared" si="72"/>
        <v/>
      </c>
      <c r="BP22" s="73" t="str">
        <f t="shared" si="73"/>
        <v/>
      </c>
      <c r="BQ22" s="48" t="str">
        <f>IF(CHEMISTRY!E23="","",CHEMISTRY!E23)</f>
        <v/>
      </c>
      <c r="BR22" s="646" t="str">
        <f t="shared" si="74"/>
        <v/>
      </c>
      <c r="BS22" s="48" t="str">
        <f>IF(CHEMISTRY!F23="","",CHEMISTRY!F23)</f>
        <v/>
      </c>
      <c r="BT22" s="48" t="str">
        <f>IF(CHEMISTRY!G23="","",CHEMISTRY!G23)</f>
        <v/>
      </c>
      <c r="BU22" s="48" t="str">
        <f t="shared" si="75"/>
        <v/>
      </c>
      <c r="BV22" s="48" t="str">
        <f t="shared" si="76"/>
        <v/>
      </c>
      <c r="BW22" s="48" t="str">
        <f>IF(CHEMISTRY!H23="","",CHEMISTRY!H23)</f>
        <v/>
      </c>
      <c r="BX22" s="646" t="str">
        <f t="shared" si="77"/>
        <v/>
      </c>
      <c r="BY22" s="48" t="str">
        <f>IF(CHEMISTRY!I23="","",CHEMISTRY!I23)</f>
        <v/>
      </c>
      <c r="BZ22" s="48" t="str">
        <f>IF(CHEMISTRY!J23="","",CHEMISTRY!J23)</f>
        <v/>
      </c>
      <c r="CA22" s="48" t="str">
        <f t="shared" si="78"/>
        <v/>
      </c>
      <c r="CB22" s="48" t="str">
        <f t="shared" si="79"/>
        <v/>
      </c>
      <c r="CC22" s="48" t="str">
        <f t="shared" si="80"/>
        <v/>
      </c>
      <c r="CD22" s="48" t="str">
        <f t="shared" si="81"/>
        <v/>
      </c>
      <c r="CE22" s="48" t="str">
        <f t="shared" si="82"/>
        <v/>
      </c>
      <c r="CF22" s="48" t="str">
        <f t="shared" si="83"/>
        <v/>
      </c>
      <c r="CG22" s="48" t="str">
        <f>IF(CHEMISTRY!M23="","",CHEMISTRY!M23*$CG$6/CHEMISTRY!$M$7)</f>
        <v/>
      </c>
      <c r="CH22" s="48" t="str">
        <f t="shared" si="84"/>
        <v/>
      </c>
      <c r="CI22" s="48" t="str">
        <f t="shared" si="85"/>
        <v/>
      </c>
      <c r="CJ22" s="73" t="str">
        <f>IF(BIOLOGY!E23="","",BIOLOGY!E23)</f>
        <v/>
      </c>
      <c r="CK22" s="73" t="str">
        <f t="shared" si="86"/>
        <v/>
      </c>
      <c r="CL22" s="73" t="str">
        <f>IF(BIOLOGY!F23="","",BIOLOGY!F23)</f>
        <v/>
      </c>
      <c r="CM22" s="73" t="str">
        <f>IF(BIOLOGY!G23="","",BIOLOGY!G23)</f>
        <v/>
      </c>
      <c r="CN22" s="73" t="str">
        <f t="shared" si="87"/>
        <v/>
      </c>
      <c r="CO22" s="73" t="str">
        <f t="shared" si="88"/>
        <v/>
      </c>
      <c r="CP22" s="73" t="str">
        <f>IF(BIOLOGY!H23="","",BIOLOGY!H23)</f>
        <v/>
      </c>
      <c r="CQ22" s="73" t="str">
        <f t="shared" si="89"/>
        <v/>
      </c>
      <c r="CR22" s="73" t="str">
        <f>IF(BIOLOGY!I23="","",BIOLOGY!I23)</f>
        <v/>
      </c>
      <c r="CS22" s="73" t="str">
        <f>IF(BIOLOGY!J23="","",BIOLOGY!J23)</f>
        <v/>
      </c>
      <c r="CT22" s="73" t="str">
        <f t="shared" si="90"/>
        <v/>
      </c>
      <c r="CU22" s="73" t="str">
        <f t="shared" si="91"/>
        <v/>
      </c>
      <c r="CV22" s="73" t="str">
        <f t="shared" si="92"/>
        <v/>
      </c>
      <c r="CW22" s="73" t="str">
        <f t="shared" si="93"/>
        <v/>
      </c>
      <c r="CX22" s="73" t="str">
        <f t="shared" si="94"/>
        <v/>
      </c>
      <c r="CY22" s="73" t="str">
        <f t="shared" si="95"/>
        <v/>
      </c>
      <c r="CZ22" s="73" t="str">
        <f>IF(BIOLOGY!M23="","",CEILING((BIOLOGY!M23*$CZ$6/BIOLOGY!$M$7),1))</f>
        <v/>
      </c>
      <c r="DA22" s="73" t="str">
        <f t="shared" si="96"/>
        <v/>
      </c>
      <c r="DB22" s="73" t="str">
        <f t="shared" si="97"/>
        <v/>
      </c>
      <c r="DC22" s="76" t="str">
        <f>IF('PHY EDU '!E23="","",'PHY EDU '!E23)</f>
        <v/>
      </c>
      <c r="DD22" s="647" t="str">
        <f t="shared" si="98"/>
        <v/>
      </c>
      <c r="DE22" s="76" t="str">
        <f>IF('PHY EDU '!F23="","",'PHY EDU '!F23)</f>
        <v/>
      </c>
      <c r="DF22" s="76" t="str">
        <f>IF('PHY EDU '!G23="","",'PHY EDU '!G23)</f>
        <v/>
      </c>
      <c r="DG22" s="76" t="str">
        <f t="shared" si="99"/>
        <v/>
      </c>
      <c r="DH22" s="76" t="str">
        <f t="shared" si="100"/>
        <v/>
      </c>
      <c r="DI22" s="76" t="str">
        <f>IF('PHY EDU '!H23="","",'PHY EDU '!H23)</f>
        <v/>
      </c>
      <c r="DJ22" s="647" t="str">
        <f t="shared" si="101"/>
        <v/>
      </c>
      <c r="DK22" s="76" t="str">
        <f>IF('PHY EDU '!I23="","",'PHY EDU '!I23)</f>
        <v/>
      </c>
      <c r="DL22" s="76" t="str">
        <f>IF('PHY EDU '!J23="","",'PHY EDU '!J23)</f>
        <v/>
      </c>
      <c r="DM22" s="76" t="str">
        <f t="shared" si="102"/>
        <v/>
      </c>
      <c r="DN22" s="76" t="str">
        <f t="shared" si="103"/>
        <v/>
      </c>
      <c r="DO22" s="76" t="str">
        <f t="shared" si="104"/>
        <v/>
      </c>
      <c r="DP22" s="76" t="str">
        <f t="shared" si="105"/>
        <v/>
      </c>
      <c r="DQ22" s="76" t="str">
        <f t="shared" si="106"/>
        <v/>
      </c>
      <c r="DR22" s="76" t="str">
        <f t="shared" si="107"/>
        <v/>
      </c>
      <c r="DS22" s="76" t="str">
        <f>IF('PHY EDU '!M23="","",ROUNDUP('PHY EDU '!M23*$DS$6/'PHY EDU '!$M$7,0))</f>
        <v/>
      </c>
      <c r="DT22" s="76" t="str">
        <f t="shared" si="108"/>
        <v/>
      </c>
      <c r="DU22" s="76" t="str">
        <f t="shared" si="109"/>
        <v/>
      </c>
      <c r="DV22" s="72" t="str">
        <f t="shared" si="20"/>
        <v/>
      </c>
      <c r="DW22" s="72" t="str">
        <f t="shared" si="21"/>
        <v/>
      </c>
      <c r="DX22" s="72" t="str">
        <f t="shared" si="22"/>
        <v/>
      </c>
      <c r="DY22" s="72" t="str">
        <f t="shared" si="23"/>
        <v/>
      </c>
      <c r="DZ22" s="72" t="str">
        <f t="shared" si="24"/>
        <v/>
      </c>
      <c r="EA22" s="72" t="str">
        <f t="shared" si="25"/>
        <v/>
      </c>
      <c r="EB22" s="76" t="str">
        <f t="shared" si="26"/>
        <v/>
      </c>
      <c r="EC22" s="76" t="str">
        <f t="shared" si="27"/>
        <v/>
      </c>
      <c r="ED22" s="76" t="str">
        <f t="shared" si="28"/>
        <v/>
      </c>
      <c r="EE22" s="76" t="str">
        <f t="shared" si="29"/>
        <v/>
      </c>
      <c r="EF22" s="76" t="str">
        <f t="shared" si="30"/>
        <v/>
      </c>
      <c r="EG22" s="76" t="str">
        <f t="shared" si="31"/>
        <v/>
      </c>
      <c r="EH22" s="77" t="str">
        <f t="shared" si="32"/>
        <v/>
      </c>
      <c r="EI22" s="495" t="str">
        <f t="shared" si="110"/>
        <v/>
      </c>
      <c r="EJ22" s="86" t="str">
        <f t="shared" si="111"/>
        <v/>
      </c>
      <c r="EK22" s="78" t="str">
        <f t="shared" si="33"/>
        <v/>
      </c>
      <c r="EL22" s="79" t="str">
        <f t="shared" si="112"/>
        <v/>
      </c>
      <c r="EM22" s="139" t="str">
        <f t="shared" si="34"/>
        <v/>
      </c>
      <c r="EN22" s="77" t="str">
        <f t="shared" si="113"/>
        <v/>
      </c>
      <c r="EO22" s="77" t="str">
        <f>IF(EN22="","",ATTENDANCE!Q23&amp;"/"&amp;ATTENDANCE!$Q$7)</f>
        <v/>
      </c>
      <c r="EP22" s="80" t="str">
        <f t="shared" si="35"/>
        <v/>
      </c>
      <c r="EQ22" s="80" t="str">
        <f t="shared" si="114"/>
        <v/>
      </c>
      <c r="ER22" s="80" t="str">
        <f t="shared" si="115"/>
        <v/>
      </c>
      <c r="ES22" s="80" t="str">
        <f t="shared" si="116"/>
        <v/>
      </c>
      <c r="ET22" s="80" t="str">
        <f t="shared" si="117"/>
        <v/>
      </c>
      <c r="EU22" s="80" t="str">
        <f t="shared" si="118"/>
        <v/>
      </c>
      <c r="EV22" s="492" t="str">
        <f t="shared" si="119"/>
        <v/>
      </c>
      <c r="EW22" s="129" t="str">
        <f t="shared" si="36"/>
        <v/>
      </c>
      <c r="EX22" s="129" t="str">
        <f t="shared" si="120"/>
        <v/>
      </c>
      <c r="EY22" s="129" t="str">
        <f t="shared" si="121"/>
        <v/>
      </c>
      <c r="EZ22" s="129" t="str">
        <f t="shared" si="122"/>
        <v/>
      </c>
      <c r="FA22" s="129" t="str">
        <f t="shared" si="123"/>
        <v/>
      </c>
      <c r="FB22" s="129" t="str">
        <f t="shared" si="124"/>
        <v/>
      </c>
      <c r="FC22" s="80" t="str">
        <f t="shared" si="37"/>
        <v/>
      </c>
      <c r="FD22" s="80" t="str">
        <f t="shared" si="38"/>
        <v/>
      </c>
      <c r="FE22" s="80" t="str">
        <f t="shared" si="39"/>
        <v/>
      </c>
      <c r="FF22" s="488" t="str">
        <f t="shared" si="125"/>
        <v/>
      </c>
      <c r="FG22" s="80" t="str">
        <f t="shared" si="126"/>
        <v/>
      </c>
      <c r="FH22" s="80" t="str">
        <f t="shared" si="127"/>
        <v/>
      </c>
      <c r="FI22" s="496" t="str">
        <f t="shared" si="128"/>
        <v/>
      </c>
      <c r="FJ22" s="140" t="str">
        <f t="shared" si="40"/>
        <v/>
      </c>
      <c r="FK22" s="492" t="str">
        <f t="shared" si="129"/>
        <v/>
      </c>
      <c r="FL22" s="490" t="str">
        <f t="shared" si="130"/>
        <v/>
      </c>
      <c r="FM22" s="74" t="str">
        <f t="shared" si="131"/>
        <v/>
      </c>
    </row>
    <row r="23" spans="1:169" ht="28.5" customHeight="1" x14ac:dyDescent="0.3">
      <c r="A23" s="6"/>
      <c r="B23" s="25">
        <f>DATA!B21</f>
        <v>0</v>
      </c>
      <c r="C23" s="25" t="str">
        <f>IF(DATA!C21="","",DATA!C21)</f>
        <v/>
      </c>
      <c r="D23" s="25" t="str">
        <f>IF(DATA!D21="","",DATA!D21)</f>
        <v/>
      </c>
      <c r="E23" s="738" t="str">
        <f>IF(DATA!E21="","",DATA!E21)</f>
        <v/>
      </c>
      <c r="F23" s="738" t="str">
        <f>IF(DATA!F21="","",DATA!F21)</f>
        <v/>
      </c>
      <c r="G23" s="738" t="str">
        <f>IF(DATA!G21="","",DATA!G21)</f>
        <v/>
      </c>
      <c r="H23" s="214" t="str">
        <f>IF(DATA!H21="","",DATA!H21)</f>
        <v/>
      </c>
      <c r="I23" s="214" t="str">
        <f>IF(DATA!I21="","",DATA!I21)</f>
        <v/>
      </c>
      <c r="J23" s="214" t="str">
        <f>IF(DATA!J21="","",DATA!J21)</f>
        <v/>
      </c>
      <c r="K23" s="214" t="str">
        <f>IF(DATA!K21="","",DATA!K21)</f>
        <v/>
      </c>
      <c r="L23" s="73" t="str">
        <f>IF(ENGLISH!E23="","",ENGLISH!E23)</f>
        <v/>
      </c>
      <c r="M23" s="73" t="str">
        <f t="shared" si="41"/>
        <v/>
      </c>
      <c r="N23" s="73" t="str">
        <f>IF(ENGLISH!F23="","",ENGLISH!F23)</f>
        <v/>
      </c>
      <c r="O23" s="73" t="str">
        <f t="shared" si="42"/>
        <v/>
      </c>
      <c r="P23" s="73" t="str">
        <f>IF(ENGLISH!G23="","",ENGLISH!G23)</f>
        <v/>
      </c>
      <c r="Q23" s="73" t="str">
        <f t="shared" si="43"/>
        <v/>
      </c>
      <c r="R23" s="73" t="str">
        <f>IF(ENGLISH!H23="","",ENGLISH!H23)</f>
        <v/>
      </c>
      <c r="S23" s="73" t="str">
        <f>IF(ENGLISH!I23="","",ENGLISH!I23)</f>
        <v/>
      </c>
      <c r="T23" s="73" t="str">
        <f>IF(ENGLISH!J23="","",ENGLISH!J23)</f>
        <v/>
      </c>
      <c r="U23" s="73" t="str">
        <f>IF(ENGLISH!K23="","",ENGLISH!K23)</f>
        <v/>
      </c>
      <c r="V23" s="73" t="str">
        <f t="shared" si="44"/>
        <v/>
      </c>
      <c r="W23" s="81" t="str">
        <f>IF(ENGLISH!L23="","",ENGLISH!L23)</f>
        <v/>
      </c>
      <c r="X23" s="73" t="str">
        <f t="shared" si="45"/>
        <v/>
      </c>
      <c r="Y23" s="73" t="str">
        <f t="shared" si="46"/>
        <v/>
      </c>
      <c r="Z23" s="73" t="str">
        <f t="shared" si="47"/>
        <v/>
      </c>
      <c r="AA23" s="73" t="str">
        <f>IF(ENGLISH!O23="","",ENGLISH!O23*40/ENGLISH!$O$6)</f>
        <v/>
      </c>
      <c r="AB23" s="73" t="str">
        <f t="shared" si="48"/>
        <v/>
      </c>
      <c r="AC23" s="73" t="str">
        <f t="shared" si="49"/>
        <v/>
      </c>
      <c r="AD23" s="74" t="str">
        <f>IF(MATHS!E23="","",MATHS!E23)</f>
        <v/>
      </c>
      <c r="AE23" s="643" t="str">
        <f t="shared" si="50"/>
        <v/>
      </c>
      <c r="AF23" s="74" t="str">
        <f>IF(MATHS!F23="","",MATHS!F23)</f>
        <v/>
      </c>
      <c r="AG23" s="643" t="str">
        <f t="shared" si="51"/>
        <v/>
      </c>
      <c r="AH23" s="74" t="str">
        <f>IF(MATHS!G23="","",MATHS!G23)</f>
        <v/>
      </c>
      <c r="AI23" s="643" t="str">
        <f t="shared" si="52"/>
        <v/>
      </c>
      <c r="AJ23" s="75" t="str">
        <f t="shared" si="53"/>
        <v/>
      </c>
      <c r="AK23" s="75" t="str">
        <f t="shared" si="54"/>
        <v/>
      </c>
      <c r="AL23" s="75" t="str">
        <f t="shared" si="55"/>
        <v/>
      </c>
      <c r="AM23" s="75" t="str">
        <f>IF(MATHS!H23="","",MATHS!H23)</f>
        <v/>
      </c>
      <c r="AN23" s="75" t="str">
        <f>IF(MATHS!I23="","",MATHS!I23)</f>
        <v/>
      </c>
      <c r="AO23" s="75" t="str">
        <f>IF(MATHS!J23="","",MATHS!J23)</f>
        <v/>
      </c>
      <c r="AP23" s="75" t="str">
        <f t="shared" si="56"/>
        <v/>
      </c>
      <c r="AQ23" s="75" t="str">
        <f t="shared" si="57"/>
        <v/>
      </c>
      <c r="AR23" s="75" t="str">
        <f>IF(MATHS!K23="","",CEILING(MATHS!K23*$AR$6/MATHS!$K$6,1))</f>
        <v/>
      </c>
      <c r="AS23" s="76" t="str">
        <f t="shared" si="58"/>
        <v/>
      </c>
      <c r="AT23" s="76" t="str">
        <f t="shared" si="59"/>
        <v/>
      </c>
      <c r="AU23" s="76" t="str">
        <f>IF(MATHS!O23="","",MATHS!O23*$AU$6/MATHS!$O$6)</f>
        <v/>
      </c>
      <c r="AV23" s="76" t="str">
        <f t="shared" si="60"/>
        <v/>
      </c>
      <c r="AW23" s="76" t="str">
        <f t="shared" si="61"/>
        <v/>
      </c>
      <c r="AX23" s="73" t="str">
        <f>IF(PHYSICS!E24="","",PHYSICS!E24)</f>
        <v/>
      </c>
      <c r="AY23" s="644" t="str">
        <f t="shared" si="62"/>
        <v/>
      </c>
      <c r="AZ23" s="73" t="str">
        <f>IF(PHYSICS!F24="","",PHYSICS!F24)</f>
        <v/>
      </c>
      <c r="BA23" s="73" t="str">
        <f>IF(PHYSICS!G24="","",PHYSICS!G24)</f>
        <v/>
      </c>
      <c r="BB23" s="73" t="str">
        <f t="shared" si="63"/>
        <v/>
      </c>
      <c r="BC23" s="73" t="str">
        <f t="shared" si="64"/>
        <v/>
      </c>
      <c r="BD23" s="73" t="str">
        <f>IF(PHYSICS!H24="","",PHYSICS!H24)</f>
        <v/>
      </c>
      <c r="BE23" s="645" t="str">
        <f t="shared" si="65"/>
        <v/>
      </c>
      <c r="BF23" s="73" t="str">
        <f>IF(PHYSICS!I24="","",PHYSICS!I24)</f>
        <v/>
      </c>
      <c r="BG23" s="73" t="str">
        <f>IF(PHYSICS!J24="","",PHYSICS!J24)</f>
        <v/>
      </c>
      <c r="BH23" s="73" t="str">
        <f t="shared" si="66"/>
        <v/>
      </c>
      <c r="BI23" s="73" t="str">
        <f t="shared" si="67"/>
        <v/>
      </c>
      <c r="BJ23" s="73" t="str">
        <f t="shared" si="68"/>
        <v/>
      </c>
      <c r="BK23" s="73" t="str">
        <f t="shared" si="69"/>
        <v/>
      </c>
      <c r="BL23" s="73" t="str">
        <f t="shared" si="70"/>
        <v/>
      </c>
      <c r="BM23" s="73" t="str">
        <f t="shared" si="71"/>
        <v/>
      </c>
      <c r="BN23" s="73" t="str">
        <f>IF(PHYSICS!M24="","",PHYSICS!M24*$BN$6/PHYSICS!$M$7)</f>
        <v/>
      </c>
      <c r="BO23" s="73" t="str">
        <f t="shared" si="72"/>
        <v/>
      </c>
      <c r="BP23" s="73" t="str">
        <f t="shared" si="73"/>
        <v/>
      </c>
      <c r="BQ23" s="48" t="str">
        <f>IF(CHEMISTRY!E24="","",CHEMISTRY!E24)</f>
        <v/>
      </c>
      <c r="BR23" s="646" t="str">
        <f t="shared" si="74"/>
        <v/>
      </c>
      <c r="BS23" s="48" t="str">
        <f>IF(CHEMISTRY!F24="","",CHEMISTRY!F24)</f>
        <v/>
      </c>
      <c r="BT23" s="48" t="str">
        <f>IF(CHEMISTRY!G24="","",CHEMISTRY!G24)</f>
        <v/>
      </c>
      <c r="BU23" s="48" t="str">
        <f t="shared" si="75"/>
        <v/>
      </c>
      <c r="BV23" s="48" t="str">
        <f t="shared" si="76"/>
        <v/>
      </c>
      <c r="BW23" s="48" t="str">
        <f>IF(CHEMISTRY!H24="","",CHEMISTRY!H24)</f>
        <v/>
      </c>
      <c r="BX23" s="646" t="str">
        <f t="shared" si="77"/>
        <v/>
      </c>
      <c r="BY23" s="48" t="str">
        <f>IF(CHEMISTRY!I24="","",CHEMISTRY!I24)</f>
        <v/>
      </c>
      <c r="BZ23" s="48" t="str">
        <f>IF(CHEMISTRY!J24="","",CHEMISTRY!J24)</f>
        <v/>
      </c>
      <c r="CA23" s="48" t="str">
        <f t="shared" si="78"/>
        <v/>
      </c>
      <c r="CB23" s="48" t="str">
        <f t="shared" si="79"/>
        <v/>
      </c>
      <c r="CC23" s="48" t="str">
        <f t="shared" si="80"/>
        <v/>
      </c>
      <c r="CD23" s="48" t="str">
        <f t="shared" si="81"/>
        <v/>
      </c>
      <c r="CE23" s="48" t="str">
        <f t="shared" si="82"/>
        <v/>
      </c>
      <c r="CF23" s="48" t="str">
        <f t="shared" si="83"/>
        <v/>
      </c>
      <c r="CG23" s="48" t="str">
        <f>IF(CHEMISTRY!M24="","",CHEMISTRY!M24*$CG$6/CHEMISTRY!$M$7)</f>
        <v/>
      </c>
      <c r="CH23" s="48" t="str">
        <f t="shared" si="84"/>
        <v/>
      </c>
      <c r="CI23" s="48" t="str">
        <f t="shared" si="85"/>
        <v/>
      </c>
      <c r="CJ23" s="73" t="str">
        <f>IF(BIOLOGY!E24="","",BIOLOGY!E24)</f>
        <v/>
      </c>
      <c r="CK23" s="73" t="str">
        <f t="shared" si="86"/>
        <v/>
      </c>
      <c r="CL23" s="73" t="str">
        <f>IF(BIOLOGY!F24="","",BIOLOGY!F24)</f>
        <v/>
      </c>
      <c r="CM23" s="73" t="str">
        <f>IF(BIOLOGY!G24="","",BIOLOGY!G24)</f>
        <v/>
      </c>
      <c r="CN23" s="73" t="str">
        <f t="shared" si="87"/>
        <v/>
      </c>
      <c r="CO23" s="73" t="str">
        <f t="shared" si="88"/>
        <v/>
      </c>
      <c r="CP23" s="73" t="str">
        <f>IF(BIOLOGY!H24="","",BIOLOGY!H24)</f>
        <v/>
      </c>
      <c r="CQ23" s="73" t="str">
        <f t="shared" si="89"/>
        <v/>
      </c>
      <c r="CR23" s="73" t="str">
        <f>IF(BIOLOGY!I24="","",BIOLOGY!I24)</f>
        <v/>
      </c>
      <c r="CS23" s="73" t="str">
        <f>IF(BIOLOGY!J24="","",BIOLOGY!J24)</f>
        <v/>
      </c>
      <c r="CT23" s="73" t="str">
        <f t="shared" si="90"/>
        <v/>
      </c>
      <c r="CU23" s="73" t="str">
        <f t="shared" si="91"/>
        <v/>
      </c>
      <c r="CV23" s="73" t="str">
        <f t="shared" si="92"/>
        <v/>
      </c>
      <c r="CW23" s="73" t="str">
        <f t="shared" si="93"/>
        <v/>
      </c>
      <c r="CX23" s="73" t="str">
        <f t="shared" si="94"/>
        <v/>
      </c>
      <c r="CY23" s="73" t="str">
        <f t="shared" si="95"/>
        <v/>
      </c>
      <c r="CZ23" s="73" t="str">
        <f>IF(BIOLOGY!M24="","",CEILING((BIOLOGY!M24*$CZ$6/BIOLOGY!$M$7),1))</f>
        <v/>
      </c>
      <c r="DA23" s="73" t="str">
        <f t="shared" si="96"/>
        <v/>
      </c>
      <c r="DB23" s="73" t="str">
        <f t="shared" si="97"/>
        <v/>
      </c>
      <c r="DC23" s="76" t="str">
        <f>IF('PHY EDU '!E24="","",'PHY EDU '!E24)</f>
        <v/>
      </c>
      <c r="DD23" s="647" t="str">
        <f t="shared" si="98"/>
        <v/>
      </c>
      <c r="DE23" s="76" t="str">
        <f>IF('PHY EDU '!F24="","",'PHY EDU '!F24)</f>
        <v/>
      </c>
      <c r="DF23" s="76" t="str">
        <f>IF('PHY EDU '!G24="","",'PHY EDU '!G24)</f>
        <v/>
      </c>
      <c r="DG23" s="76" t="str">
        <f t="shared" si="99"/>
        <v/>
      </c>
      <c r="DH23" s="76" t="str">
        <f t="shared" si="100"/>
        <v/>
      </c>
      <c r="DI23" s="76" t="str">
        <f>IF('PHY EDU '!H24="","",'PHY EDU '!H24)</f>
        <v/>
      </c>
      <c r="DJ23" s="647" t="str">
        <f t="shared" si="101"/>
        <v/>
      </c>
      <c r="DK23" s="76" t="str">
        <f>IF('PHY EDU '!I24="","",'PHY EDU '!I24)</f>
        <v/>
      </c>
      <c r="DL23" s="76" t="str">
        <f>IF('PHY EDU '!J24="","",'PHY EDU '!J24)</f>
        <v/>
      </c>
      <c r="DM23" s="76" t="str">
        <f t="shared" si="102"/>
        <v/>
      </c>
      <c r="DN23" s="76" t="str">
        <f t="shared" si="103"/>
        <v/>
      </c>
      <c r="DO23" s="76" t="str">
        <f t="shared" si="104"/>
        <v/>
      </c>
      <c r="DP23" s="76" t="str">
        <f t="shared" si="105"/>
        <v/>
      </c>
      <c r="DQ23" s="76" t="str">
        <f t="shared" si="106"/>
        <v/>
      </c>
      <c r="DR23" s="76" t="str">
        <f t="shared" si="107"/>
        <v/>
      </c>
      <c r="DS23" s="76" t="str">
        <f>IF('PHY EDU '!M24="","",ROUNDUP('PHY EDU '!M24*$DS$6/'PHY EDU '!$M$7,0))</f>
        <v/>
      </c>
      <c r="DT23" s="76" t="str">
        <f t="shared" si="108"/>
        <v/>
      </c>
      <c r="DU23" s="76" t="str">
        <f t="shared" si="109"/>
        <v/>
      </c>
      <c r="DV23" s="72" t="str">
        <f t="shared" si="20"/>
        <v/>
      </c>
      <c r="DW23" s="72" t="str">
        <f t="shared" si="21"/>
        <v/>
      </c>
      <c r="DX23" s="72" t="str">
        <f t="shared" si="22"/>
        <v/>
      </c>
      <c r="DY23" s="72" t="str">
        <f t="shared" si="23"/>
        <v/>
      </c>
      <c r="DZ23" s="72" t="str">
        <f t="shared" si="24"/>
        <v/>
      </c>
      <c r="EA23" s="72" t="str">
        <f t="shared" si="25"/>
        <v/>
      </c>
      <c r="EB23" s="76" t="str">
        <f t="shared" si="26"/>
        <v/>
      </c>
      <c r="EC23" s="76" t="str">
        <f t="shared" si="27"/>
        <v/>
      </c>
      <c r="ED23" s="76" t="str">
        <f t="shared" si="28"/>
        <v/>
      </c>
      <c r="EE23" s="76" t="str">
        <f t="shared" si="29"/>
        <v/>
      </c>
      <c r="EF23" s="76" t="str">
        <f t="shared" si="30"/>
        <v/>
      </c>
      <c r="EG23" s="76" t="str">
        <f t="shared" si="31"/>
        <v/>
      </c>
      <c r="EH23" s="77" t="str">
        <f t="shared" si="32"/>
        <v/>
      </c>
      <c r="EI23" s="495" t="str">
        <f t="shared" si="110"/>
        <v/>
      </c>
      <c r="EJ23" s="86" t="str">
        <f t="shared" si="111"/>
        <v/>
      </c>
      <c r="EK23" s="78" t="str">
        <f t="shared" si="33"/>
        <v/>
      </c>
      <c r="EL23" s="79" t="str">
        <f t="shared" si="112"/>
        <v/>
      </c>
      <c r="EM23" s="139" t="str">
        <f t="shared" si="34"/>
        <v/>
      </c>
      <c r="EN23" s="77" t="str">
        <f t="shared" si="113"/>
        <v/>
      </c>
      <c r="EO23" s="77" t="str">
        <f>IF(EN23="","",ATTENDANCE!Q24&amp;"/"&amp;ATTENDANCE!$Q$7)</f>
        <v/>
      </c>
      <c r="EP23" s="80" t="str">
        <f t="shared" si="35"/>
        <v/>
      </c>
      <c r="EQ23" s="80" t="str">
        <f t="shared" si="114"/>
        <v/>
      </c>
      <c r="ER23" s="80" t="str">
        <f t="shared" si="115"/>
        <v/>
      </c>
      <c r="ES23" s="80" t="str">
        <f t="shared" si="116"/>
        <v/>
      </c>
      <c r="ET23" s="80" t="str">
        <f t="shared" si="117"/>
        <v/>
      </c>
      <c r="EU23" s="80" t="str">
        <f t="shared" si="118"/>
        <v/>
      </c>
      <c r="EV23" s="492" t="str">
        <f t="shared" si="119"/>
        <v/>
      </c>
      <c r="EW23" s="129" t="str">
        <f t="shared" si="36"/>
        <v/>
      </c>
      <c r="EX23" s="129" t="str">
        <f t="shared" si="120"/>
        <v/>
      </c>
      <c r="EY23" s="129" t="str">
        <f t="shared" si="121"/>
        <v/>
      </c>
      <c r="EZ23" s="129" t="str">
        <f t="shared" si="122"/>
        <v/>
      </c>
      <c r="FA23" s="129" t="str">
        <f t="shared" si="123"/>
        <v/>
      </c>
      <c r="FB23" s="129" t="str">
        <f t="shared" si="124"/>
        <v/>
      </c>
      <c r="FC23" s="80" t="str">
        <f t="shared" si="37"/>
        <v/>
      </c>
      <c r="FD23" s="80" t="str">
        <f t="shared" si="38"/>
        <v/>
      </c>
      <c r="FE23" s="80" t="str">
        <f t="shared" si="39"/>
        <v/>
      </c>
      <c r="FF23" s="488" t="str">
        <f t="shared" si="125"/>
        <v/>
      </c>
      <c r="FG23" s="80" t="str">
        <f t="shared" si="126"/>
        <v/>
      </c>
      <c r="FH23" s="80" t="str">
        <f t="shared" si="127"/>
        <v/>
      </c>
      <c r="FI23" s="496" t="str">
        <f t="shared" si="128"/>
        <v/>
      </c>
      <c r="FJ23" s="140" t="str">
        <f t="shared" si="40"/>
        <v/>
      </c>
      <c r="FK23" s="492" t="str">
        <f t="shared" si="129"/>
        <v/>
      </c>
      <c r="FL23" s="490" t="str">
        <f t="shared" si="130"/>
        <v/>
      </c>
      <c r="FM23" s="74" t="str">
        <f t="shared" si="131"/>
        <v/>
      </c>
    </row>
    <row r="24" spans="1:169" ht="28.5" customHeight="1" x14ac:dyDescent="0.3">
      <c r="A24" s="6"/>
      <c r="B24" s="25">
        <f>DATA!B22</f>
        <v>0</v>
      </c>
      <c r="C24" s="25" t="str">
        <f>IF(DATA!C22="","",DATA!C22)</f>
        <v/>
      </c>
      <c r="D24" s="25" t="str">
        <f>IF(DATA!D22="","",DATA!D22)</f>
        <v/>
      </c>
      <c r="E24" s="738" t="str">
        <f>IF(DATA!E22="","",DATA!E22)</f>
        <v/>
      </c>
      <c r="F24" s="738" t="str">
        <f>IF(DATA!F22="","",DATA!F22)</f>
        <v/>
      </c>
      <c r="G24" s="738" t="str">
        <f>IF(DATA!G22="","",DATA!G22)</f>
        <v/>
      </c>
      <c r="H24" s="214" t="str">
        <f>IF(DATA!H22="","",DATA!H22)</f>
        <v/>
      </c>
      <c r="I24" s="214" t="str">
        <f>IF(DATA!I22="","",DATA!I22)</f>
        <v/>
      </c>
      <c r="J24" s="214" t="str">
        <f>IF(DATA!J22="","",DATA!J22)</f>
        <v/>
      </c>
      <c r="K24" s="214" t="str">
        <f>IF(DATA!K22="","",DATA!K22)</f>
        <v/>
      </c>
      <c r="L24" s="73" t="str">
        <f>IF(ENGLISH!E24="","",ENGLISH!E24)</f>
        <v/>
      </c>
      <c r="M24" s="73" t="str">
        <f t="shared" si="41"/>
        <v/>
      </c>
      <c r="N24" s="73" t="str">
        <f>IF(ENGLISH!F24="","",ENGLISH!F24)</f>
        <v/>
      </c>
      <c r="O24" s="73" t="str">
        <f t="shared" si="42"/>
        <v/>
      </c>
      <c r="P24" s="73" t="str">
        <f>IF(ENGLISH!G24="","",ENGLISH!G24)</f>
        <v/>
      </c>
      <c r="Q24" s="73" t="str">
        <f t="shared" si="43"/>
        <v/>
      </c>
      <c r="R24" s="73" t="str">
        <f>IF(ENGLISH!H24="","",ENGLISH!H24)</f>
        <v/>
      </c>
      <c r="S24" s="73" t="str">
        <f>IF(ENGLISH!I24="","",ENGLISH!I24)</f>
        <v/>
      </c>
      <c r="T24" s="73" t="str">
        <f>IF(ENGLISH!J24="","",ENGLISH!J24)</f>
        <v/>
      </c>
      <c r="U24" s="73" t="str">
        <f>IF(ENGLISH!K24="","",ENGLISH!K24)</f>
        <v/>
      </c>
      <c r="V24" s="73" t="str">
        <f t="shared" si="44"/>
        <v/>
      </c>
      <c r="W24" s="81" t="str">
        <f>IF(ENGLISH!L24="","",ENGLISH!L24)</f>
        <v/>
      </c>
      <c r="X24" s="73" t="str">
        <f t="shared" si="45"/>
        <v/>
      </c>
      <c r="Y24" s="73" t="str">
        <f t="shared" si="46"/>
        <v/>
      </c>
      <c r="Z24" s="73" t="str">
        <f t="shared" si="47"/>
        <v/>
      </c>
      <c r="AA24" s="73" t="str">
        <f>IF(ENGLISH!O24="","",ENGLISH!O24*40/ENGLISH!$O$6)</f>
        <v/>
      </c>
      <c r="AB24" s="73" t="str">
        <f t="shared" si="48"/>
        <v/>
      </c>
      <c r="AC24" s="73" t="str">
        <f t="shared" si="49"/>
        <v/>
      </c>
      <c r="AD24" s="74" t="str">
        <f>IF(MATHS!E24="","",MATHS!E24)</f>
        <v/>
      </c>
      <c r="AE24" s="643" t="str">
        <f t="shared" si="50"/>
        <v/>
      </c>
      <c r="AF24" s="74" t="str">
        <f>IF(MATHS!F24="","",MATHS!F24)</f>
        <v/>
      </c>
      <c r="AG24" s="643" t="str">
        <f t="shared" si="51"/>
        <v/>
      </c>
      <c r="AH24" s="74" t="str">
        <f>IF(MATHS!G24="","",MATHS!G24)</f>
        <v/>
      </c>
      <c r="AI24" s="643" t="str">
        <f t="shared" si="52"/>
        <v/>
      </c>
      <c r="AJ24" s="75" t="str">
        <f t="shared" si="53"/>
        <v/>
      </c>
      <c r="AK24" s="75" t="str">
        <f t="shared" si="54"/>
        <v/>
      </c>
      <c r="AL24" s="75" t="str">
        <f t="shared" si="55"/>
        <v/>
      </c>
      <c r="AM24" s="75" t="str">
        <f>IF(MATHS!H24="","",MATHS!H24)</f>
        <v/>
      </c>
      <c r="AN24" s="75" t="str">
        <f>IF(MATHS!I24="","",MATHS!I24)</f>
        <v/>
      </c>
      <c r="AO24" s="75" t="str">
        <f>IF(MATHS!J24="","",MATHS!J24)</f>
        <v/>
      </c>
      <c r="AP24" s="75" t="str">
        <f t="shared" si="56"/>
        <v/>
      </c>
      <c r="AQ24" s="75" t="str">
        <f t="shared" si="57"/>
        <v/>
      </c>
      <c r="AR24" s="75" t="str">
        <f>IF(MATHS!K24="","",CEILING(MATHS!K24*$AR$6/MATHS!$K$6,1))</f>
        <v/>
      </c>
      <c r="AS24" s="76" t="str">
        <f t="shared" si="58"/>
        <v/>
      </c>
      <c r="AT24" s="76" t="str">
        <f t="shared" si="59"/>
        <v/>
      </c>
      <c r="AU24" s="76" t="str">
        <f>IF(MATHS!O24="","",MATHS!O24*$AU$6/MATHS!$O$6)</f>
        <v/>
      </c>
      <c r="AV24" s="76" t="str">
        <f t="shared" si="60"/>
        <v/>
      </c>
      <c r="AW24" s="76" t="str">
        <f t="shared" si="61"/>
        <v/>
      </c>
      <c r="AX24" s="73" t="str">
        <f>IF(PHYSICS!E25="","",PHYSICS!E25)</f>
        <v/>
      </c>
      <c r="AY24" s="644" t="str">
        <f t="shared" si="62"/>
        <v/>
      </c>
      <c r="AZ24" s="73" t="str">
        <f>IF(PHYSICS!F25="","",PHYSICS!F25)</f>
        <v/>
      </c>
      <c r="BA24" s="73" t="str">
        <f>IF(PHYSICS!G25="","",PHYSICS!G25)</f>
        <v/>
      </c>
      <c r="BB24" s="73" t="str">
        <f t="shared" si="63"/>
        <v/>
      </c>
      <c r="BC24" s="73" t="str">
        <f t="shared" si="64"/>
        <v/>
      </c>
      <c r="BD24" s="73" t="str">
        <f>IF(PHYSICS!H25="","",PHYSICS!H25)</f>
        <v/>
      </c>
      <c r="BE24" s="645" t="str">
        <f t="shared" si="65"/>
        <v/>
      </c>
      <c r="BF24" s="73" t="str">
        <f>IF(PHYSICS!I25="","",PHYSICS!I25)</f>
        <v/>
      </c>
      <c r="BG24" s="73" t="str">
        <f>IF(PHYSICS!J25="","",PHYSICS!J25)</f>
        <v/>
      </c>
      <c r="BH24" s="73" t="str">
        <f t="shared" si="66"/>
        <v/>
      </c>
      <c r="BI24" s="73" t="str">
        <f t="shared" si="67"/>
        <v/>
      </c>
      <c r="BJ24" s="73" t="str">
        <f t="shared" si="68"/>
        <v/>
      </c>
      <c r="BK24" s="73" t="str">
        <f t="shared" si="69"/>
        <v/>
      </c>
      <c r="BL24" s="73" t="str">
        <f t="shared" si="70"/>
        <v/>
      </c>
      <c r="BM24" s="73" t="str">
        <f t="shared" si="71"/>
        <v/>
      </c>
      <c r="BN24" s="73" t="str">
        <f>IF(PHYSICS!M25="","",PHYSICS!M25*$BN$6/PHYSICS!$M$7)</f>
        <v/>
      </c>
      <c r="BO24" s="73" t="str">
        <f t="shared" si="72"/>
        <v/>
      </c>
      <c r="BP24" s="73" t="str">
        <f t="shared" si="73"/>
        <v/>
      </c>
      <c r="BQ24" s="48" t="str">
        <f>IF(CHEMISTRY!E25="","",CHEMISTRY!E25)</f>
        <v/>
      </c>
      <c r="BR24" s="646" t="str">
        <f t="shared" si="74"/>
        <v/>
      </c>
      <c r="BS24" s="48" t="str">
        <f>IF(CHEMISTRY!F25="","",CHEMISTRY!F25)</f>
        <v/>
      </c>
      <c r="BT24" s="48" t="str">
        <f>IF(CHEMISTRY!G25="","",CHEMISTRY!G25)</f>
        <v/>
      </c>
      <c r="BU24" s="48" t="str">
        <f t="shared" si="75"/>
        <v/>
      </c>
      <c r="BV24" s="48" t="str">
        <f t="shared" si="76"/>
        <v/>
      </c>
      <c r="BW24" s="48" t="str">
        <f>IF(CHEMISTRY!H25="","",CHEMISTRY!H25)</f>
        <v/>
      </c>
      <c r="BX24" s="646" t="str">
        <f t="shared" si="77"/>
        <v/>
      </c>
      <c r="BY24" s="48" t="str">
        <f>IF(CHEMISTRY!I25="","",CHEMISTRY!I25)</f>
        <v/>
      </c>
      <c r="BZ24" s="48" t="str">
        <f>IF(CHEMISTRY!J25="","",CHEMISTRY!J25)</f>
        <v/>
      </c>
      <c r="CA24" s="48" t="str">
        <f t="shared" si="78"/>
        <v/>
      </c>
      <c r="CB24" s="48" t="str">
        <f t="shared" si="79"/>
        <v/>
      </c>
      <c r="CC24" s="48" t="str">
        <f t="shared" si="80"/>
        <v/>
      </c>
      <c r="CD24" s="48" t="str">
        <f t="shared" si="81"/>
        <v/>
      </c>
      <c r="CE24" s="48" t="str">
        <f t="shared" si="82"/>
        <v/>
      </c>
      <c r="CF24" s="48" t="str">
        <f t="shared" si="83"/>
        <v/>
      </c>
      <c r="CG24" s="48" t="str">
        <f>IF(CHEMISTRY!M25="","",CHEMISTRY!M25*$CG$6/CHEMISTRY!$M$7)</f>
        <v/>
      </c>
      <c r="CH24" s="48" t="str">
        <f t="shared" si="84"/>
        <v/>
      </c>
      <c r="CI24" s="48" t="str">
        <f t="shared" si="85"/>
        <v/>
      </c>
      <c r="CJ24" s="73" t="str">
        <f>IF(BIOLOGY!E25="","",BIOLOGY!E25)</f>
        <v/>
      </c>
      <c r="CK24" s="73" t="str">
        <f t="shared" si="86"/>
        <v/>
      </c>
      <c r="CL24" s="73" t="str">
        <f>IF(BIOLOGY!F25="","",BIOLOGY!F25)</f>
        <v/>
      </c>
      <c r="CM24" s="73" t="str">
        <f>IF(BIOLOGY!G25="","",BIOLOGY!G25)</f>
        <v/>
      </c>
      <c r="CN24" s="73" t="str">
        <f t="shared" si="87"/>
        <v/>
      </c>
      <c r="CO24" s="73" t="str">
        <f t="shared" si="88"/>
        <v/>
      </c>
      <c r="CP24" s="73" t="str">
        <f>IF(BIOLOGY!H25="","",BIOLOGY!H25)</f>
        <v/>
      </c>
      <c r="CQ24" s="73" t="str">
        <f t="shared" si="89"/>
        <v/>
      </c>
      <c r="CR24" s="73" t="str">
        <f>IF(BIOLOGY!I25="","",BIOLOGY!I25)</f>
        <v/>
      </c>
      <c r="CS24" s="73" t="str">
        <f>IF(BIOLOGY!J25="","",BIOLOGY!J25)</f>
        <v/>
      </c>
      <c r="CT24" s="73" t="str">
        <f t="shared" si="90"/>
        <v/>
      </c>
      <c r="CU24" s="73" t="str">
        <f t="shared" si="91"/>
        <v/>
      </c>
      <c r="CV24" s="73" t="str">
        <f t="shared" si="92"/>
        <v/>
      </c>
      <c r="CW24" s="73" t="str">
        <f t="shared" si="93"/>
        <v/>
      </c>
      <c r="CX24" s="73" t="str">
        <f t="shared" si="94"/>
        <v/>
      </c>
      <c r="CY24" s="73" t="str">
        <f t="shared" si="95"/>
        <v/>
      </c>
      <c r="CZ24" s="73" t="str">
        <f>IF(BIOLOGY!M25="","",CEILING((BIOLOGY!M25*$CZ$6/BIOLOGY!$M$7),1))</f>
        <v/>
      </c>
      <c r="DA24" s="73" t="str">
        <f t="shared" si="96"/>
        <v/>
      </c>
      <c r="DB24" s="73" t="str">
        <f t="shared" si="97"/>
        <v/>
      </c>
      <c r="DC24" s="76" t="str">
        <f>IF('PHY EDU '!E25="","",'PHY EDU '!E25)</f>
        <v/>
      </c>
      <c r="DD24" s="647" t="str">
        <f t="shared" si="98"/>
        <v/>
      </c>
      <c r="DE24" s="76" t="str">
        <f>IF('PHY EDU '!F25="","",'PHY EDU '!F25)</f>
        <v/>
      </c>
      <c r="DF24" s="76" t="str">
        <f>IF('PHY EDU '!G25="","",'PHY EDU '!G25)</f>
        <v/>
      </c>
      <c r="DG24" s="76" t="str">
        <f t="shared" si="99"/>
        <v/>
      </c>
      <c r="DH24" s="76" t="str">
        <f t="shared" si="100"/>
        <v/>
      </c>
      <c r="DI24" s="76" t="str">
        <f>IF('PHY EDU '!H25="","",'PHY EDU '!H25)</f>
        <v/>
      </c>
      <c r="DJ24" s="647" t="str">
        <f t="shared" si="101"/>
        <v/>
      </c>
      <c r="DK24" s="76" t="str">
        <f>IF('PHY EDU '!I25="","",'PHY EDU '!I25)</f>
        <v/>
      </c>
      <c r="DL24" s="76" t="str">
        <f>IF('PHY EDU '!J25="","",'PHY EDU '!J25)</f>
        <v/>
      </c>
      <c r="DM24" s="76" t="str">
        <f t="shared" si="102"/>
        <v/>
      </c>
      <c r="DN24" s="76" t="str">
        <f t="shared" si="103"/>
        <v/>
      </c>
      <c r="DO24" s="76" t="str">
        <f t="shared" si="104"/>
        <v/>
      </c>
      <c r="DP24" s="76" t="str">
        <f t="shared" si="105"/>
        <v/>
      </c>
      <c r="DQ24" s="76" t="str">
        <f t="shared" si="106"/>
        <v/>
      </c>
      <c r="DR24" s="76" t="str">
        <f t="shared" si="107"/>
        <v/>
      </c>
      <c r="DS24" s="76" t="str">
        <f>IF('PHY EDU '!M25="","",ROUNDUP('PHY EDU '!M25*$DS$6/'PHY EDU '!$M$7,0))</f>
        <v/>
      </c>
      <c r="DT24" s="76" t="str">
        <f t="shared" si="108"/>
        <v/>
      </c>
      <c r="DU24" s="76" t="str">
        <f t="shared" si="109"/>
        <v/>
      </c>
      <c r="DV24" s="72" t="str">
        <f t="shared" si="20"/>
        <v/>
      </c>
      <c r="DW24" s="72" t="str">
        <f t="shared" si="21"/>
        <v/>
      </c>
      <c r="DX24" s="72" t="str">
        <f t="shared" si="22"/>
        <v/>
      </c>
      <c r="DY24" s="72" t="str">
        <f t="shared" si="23"/>
        <v/>
      </c>
      <c r="DZ24" s="72" t="str">
        <f t="shared" si="24"/>
        <v/>
      </c>
      <c r="EA24" s="72" t="str">
        <f t="shared" si="25"/>
        <v/>
      </c>
      <c r="EB24" s="76" t="str">
        <f t="shared" si="26"/>
        <v/>
      </c>
      <c r="EC24" s="76" t="str">
        <f t="shared" si="27"/>
        <v/>
      </c>
      <c r="ED24" s="76" t="str">
        <f t="shared" si="28"/>
        <v/>
      </c>
      <c r="EE24" s="76" t="str">
        <f t="shared" si="29"/>
        <v/>
      </c>
      <c r="EF24" s="76" t="str">
        <f t="shared" si="30"/>
        <v/>
      </c>
      <c r="EG24" s="76" t="str">
        <f t="shared" si="31"/>
        <v/>
      </c>
      <c r="EH24" s="77" t="str">
        <f t="shared" si="32"/>
        <v/>
      </c>
      <c r="EI24" s="495" t="str">
        <f t="shared" si="110"/>
        <v/>
      </c>
      <c r="EJ24" s="86" t="str">
        <f t="shared" si="111"/>
        <v/>
      </c>
      <c r="EK24" s="78" t="str">
        <f t="shared" si="33"/>
        <v/>
      </c>
      <c r="EL24" s="79" t="str">
        <f t="shared" si="112"/>
        <v/>
      </c>
      <c r="EM24" s="139" t="str">
        <f t="shared" si="34"/>
        <v/>
      </c>
      <c r="EN24" s="77" t="str">
        <f t="shared" si="113"/>
        <v/>
      </c>
      <c r="EO24" s="77" t="str">
        <f>IF(EN24="","",ATTENDANCE!Q25&amp;"/"&amp;ATTENDANCE!$Q$7)</f>
        <v/>
      </c>
      <c r="EP24" s="80" t="str">
        <f t="shared" si="35"/>
        <v/>
      </c>
      <c r="EQ24" s="80" t="str">
        <f t="shared" si="114"/>
        <v/>
      </c>
      <c r="ER24" s="80" t="str">
        <f t="shared" si="115"/>
        <v/>
      </c>
      <c r="ES24" s="80" t="str">
        <f t="shared" si="116"/>
        <v/>
      </c>
      <c r="ET24" s="80" t="str">
        <f t="shared" si="117"/>
        <v/>
      </c>
      <c r="EU24" s="80" t="str">
        <f t="shared" si="118"/>
        <v/>
      </c>
      <c r="EV24" s="492" t="str">
        <f t="shared" si="119"/>
        <v/>
      </c>
      <c r="EW24" s="129" t="str">
        <f t="shared" si="36"/>
        <v/>
      </c>
      <c r="EX24" s="129" t="str">
        <f t="shared" si="120"/>
        <v/>
      </c>
      <c r="EY24" s="129" t="str">
        <f t="shared" si="121"/>
        <v/>
      </c>
      <c r="EZ24" s="129" t="str">
        <f t="shared" si="122"/>
        <v/>
      </c>
      <c r="FA24" s="129" t="str">
        <f t="shared" si="123"/>
        <v/>
      </c>
      <c r="FB24" s="129" t="str">
        <f t="shared" si="124"/>
        <v/>
      </c>
      <c r="FC24" s="80" t="str">
        <f t="shared" si="37"/>
        <v/>
      </c>
      <c r="FD24" s="80" t="str">
        <f t="shared" si="38"/>
        <v/>
      </c>
      <c r="FE24" s="80" t="str">
        <f t="shared" si="39"/>
        <v/>
      </c>
      <c r="FF24" s="488" t="str">
        <f t="shared" si="125"/>
        <v/>
      </c>
      <c r="FG24" s="80" t="str">
        <f t="shared" si="126"/>
        <v/>
      </c>
      <c r="FH24" s="80" t="str">
        <f t="shared" si="127"/>
        <v/>
      </c>
      <c r="FI24" s="496" t="str">
        <f t="shared" si="128"/>
        <v/>
      </c>
      <c r="FJ24" s="140" t="str">
        <f t="shared" si="40"/>
        <v/>
      </c>
      <c r="FK24" s="492" t="str">
        <f t="shared" si="129"/>
        <v/>
      </c>
      <c r="FL24" s="490" t="str">
        <f t="shared" si="130"/>
        <v/>
      </c>
      <c r="FM24" s="74" t="str">
        <f t="shared" si="131"/>
        <v/>
      </c>
    </row>
    <row r="25" spans="1:169" ht="28.5" customHeight="1" x14ac:dyDescent="0.3">
      <c r="A25" s="6"/>
      <c r="B25" s="25">
        <f>DATA!B23</f>
        <v>0</v>
      </c>
      <c r="C25" s="25" t="str">
        <f>IF(DATA!C23="","",DATA!C23)</f>
        <v/>
      </c>
      <c r="D25" s="25" t="str">
        <f>IF(DATA!D23="","",DATA!D23)</f>
        <v/>
      </c>
      <c r="E25" s="738" t="str">
        <f>IF(DATA!E23="","",DATA!E23)</f>
        <v/>
      </c>
      <c r="F25" s="738" t="str">
        <f>IF(DATA!F23="","",DATA!F23)</f>
        <v/>
      </c>
      <c r="G25" s="738" t="str">
        <f>IF(DATA!G23="","",DATA!G23)</f>
        <v/>
      </c>
      <c r="H25" s="214" t="str">
        <f>IF(DATA!H23="","",DATA!H23)</f>
        <v/>
      </c>
      <c r="I25" s="214" t="str">
        <f>IF(DATA!I23="","",DATA!I23)</f>
        <v/>
      </c>
      <c r="J25" s="214" t="str">
        <f>IF(DATA!J23="","",DATA!J23)</f>
        <v/>
      </c>
      <c r="K25" s="214" t="str">
        <f>IF(DATA!K23="","",DATA!K23)</f>
        <v/>
      </c>
      <c r="L25" s="73" t="str">
        <f>IF(ENGLISH!E25="","",ENGLISH!E25)</f>
        <v/>
      </c>
      <c r="M25" s="73" t="str">
        <f t="shared" si="41"/>
        <v/>
      </c>
      <c r="N25" s="73" t="str">
        <f>IF(ENGLISH!F25="","",ENGLISH!F25)</f>
        <v/>
      </c>
      <c r="O25" s="73" t="str">
        <f t="shared" si="42"/>
        <v/>
      </c>
      <c r="P25" s="73" t="str">
        <f>IF(ENGLISH!G25="","",ENGLISH!G25)</f>
        <v/>
      </c>
      <c r="Q25" s="73" t="str">
        <f t="shared" si="43"/>
        <v/>
      </c>
      <c r="R25" s="73" t="str">
        <f>IF(ENGLISH!H25="","",ENGLISH!H25)</f>
        <v/>
      </c>
      <c r="S25" s="73" t="str">
        <f>IF(ENGLISH!I25="","",ENGLISH!I25)</f>
        <v/>
      </c>
      <c r="T25" s="73" t="str">
        <f>IF(ENGLISH!J25="","",ENGLISH!J25)</f>
        <v/>
      </c>
      <c r="U25" s="73" t="str">
        <f>IF(ENGLISH!K25="","",ENGLISH!K25)</f>
        <v/>
      </c>
      <c r="V25" s="73" t="str">
        <f t="shared" si="44"/>
        <v/>
      </c>
      <c r="W25" s="81" t="str">
        <f>IF(ENGLISH!L25="","",ENGLISH!L25)</f>
        <v/>
      </c>
      <c r="X25" s="73" t="str">
        <f t="shared" si="45"/>
        <v/>
      </c>
      <c r="Y25" s="73" t="str">
        <f t="shared" si="46"/>
        <v/>
      </c>
      <c r="Z25" s="73" t="str">
        <f t="shared" si="47"/>
        <v/>
      </c>
      <c r="AA25" s="73" t="str">
        <f>IF(ENGLISH!O25="","",ENGLISH!O25*40/ENGLISH!$O$6)</f>
        <v/>
      </c>
      <c r="AB25" s="73" t="str">
        <f t="shared" si="48"/>
        <v/>
      </c>
      <c r="AC25" s="73" t="str">
        <f t="shared" si="49"/>
        <v/>
      </c>
      <c r="AD25" s="74" t="str">
        <f>IF(MATHS!E25="","",MATHS!E25)</f>
        <v/>
      </c>
      <c r="AE25" s="643" t="str">
        <f t="shared" si="50"/>
        <v/>
      </c>
      <c r="AF25" s="74" t="str">
        <f>IF(MATHS!F25="","",MATHS!F25)</f>
        <v/>
      </c>
      <c r="AG25" s="643" t="str">
        <f t="shared" si="51"/>
        <v/>
      </c>
      <c r="AH25" s="74" t="str">
        <f>IF(MATHS!G25="","",MATHS!G25)</f>
        <v/>
      </c>
      <c r="AI25" s="643" t="str">
        <f t="shared" si="52"/>
        <v/>
      </c>
      <c r="AJ25" s="75" t="str">
        <f t="shared" si="53"/>
        <v/>
      </c>
      <c r="AK25" s="75" t="str">
        <f t="shared" si="54"/>
        <v/>
      </c>
      <c r="AL25" s="75" t="str">
        <f t="shared" si="55"/>
        <v/>
      </c>
      <c r="AM25" s="75" t="str">
        <f>IF(MATHS!H25="","",MATHS!H25)</f>
        <v/>
      </c>
      <c r="AN25" s="75" t="str">
        <f>IF(MATHS!I25="","",MATHS!I25)</f>
        <v/>
      </c>
      <c r="AO25" s="75" t="str">
        <f>IF(MATHS!J25="","",MATHS!J25)</f>
        <v/>
      </c>
      <c r="AP25" s="75" t="str">
        <f t="shared" si="56"/>
        <v/>
      </c>
      <c r="AQ25" s="75" t="str">
        <f t="shared" si="57"/>
        <v/>
      </c>
      <c r="AR25" s="75" t="str">
        <f>IF(MATHS!K25="","",CEILING(MATHS!K25*$AR$6/MATHS!$K$6,1))</f>
        <v/>
      </c>
      <c r="AS25" s="76" t="str">
        <f t="shared" si="58"/>
        <v/>
      </c>
      <c r="AT25" s="76" t="str">
        <f t="shared" si="59"/>
        <v/>
      </c>
      <c r="AU25" s="76" t="str">
        <f>IF(MATHS!O25="","",MATHS!O25*$AU$6/MATHS!$O$6)</f>
        <v/>
      </c>
      <c r="AV25" s="76" t="str">
        <f t="shared" si="60"/>
        <v/>
      </c>
      <c r="AW25" s="76" t="str">
        <f t="shared" si="61"/>
        <v/>
      </c>
      <c r="AX25" s="73" t="str">
        <f>IF(PHYSICS!E26="","",PHYSICS!E26)</f>
        <v/>
      </c>
      <c r="AY25" s="644" t="str">
        <f t="shared" si="62"/>
        <v/>
      </c>
      <c r="AZ25" s="73" t="str">
        <f>IF(PHYSICS!F26="","",PHYSICS!F26)</f>
        <v/>
      </c>
      <c r="BA25" s="73" t="str">
        <f>IF(PHYSICS!G26="","",PHYSICS!G26)</f>
        <v/>
      </c>
      <c r="BB25" s="73" t="str">
        <f t="shared" si="63"/>
        <v/>
      </c>
      <c r="BC25" s="73" t="str">
        <f t="shared" si="64"/>
        <v/>
      </c>
      <c r="BD25" s="73" t="str">
        <f>IF(PHYSICS!H26="","",PHYSICS!H26)</f>
        <v/>
      </c>
      <c r="BE25" s="645" t="str">
        <f t="shared" si="65"/>
        <v/>
      </c>
      <c r="BF25" s="73" t="str">
        <f>IF(PHYSICS!I26="","",PHYSICS!I26)</f>
        <v/>
      </c>
      <c r="BG25" s="73" t="str">
        <f>IF(PHYSICS!J26="","",PHYSICS!J26)</f>
        <v/>
      </c>
      <c r="BH25" s="73" t="str">
        <f t="shared" si="66"/>
        <v/>
      </c>
      <c r="BI25" s="73" t="str">
        <f t="shared" si="67"/>
        <v/>
      </c>
      <c r="BJ25" s="73" t="str">
        <f t="shared" si="68"/>
        <v/>
      </c>
      <c r="BK25" s="73" t="str">
        <f t="shared" si="69"/>
        <v/>
      </c>
      <c r="BL25" s="73" t="str">
        <f t="shared" si="70"/>
        <v/>
      </c>
      <c r="BM25" s="73" t="str">
        <f t="shared" si="71"/>
        <v/>
      </c>
      <c r="BN25" s="73" t="str">
        <f>IF(PHYSICS!M26="","",PHYSICS!M26*$BN$6/PHYSICS!$M$7)</f>
        <v/>
      </c>
      <c r="BO25" s="73" t="str">
        <f t="shared" si="72"/>
        <v/>
      </c>
      <c r="BP25" s="73" t="str">
        <f t="shared" si="73"/>
        <v/>
      </c>
      <c r="BQ25" s="48" t="str">
        <f>IF(CHEMISTRY!E26="","",CHEMISTRY!E26)</f>
        <v/>
      </c>
      <c r="BR25" s="646" t="str">
        <f t="shared" si="74"/>
        <v/>
      </c>
      <c r="BS25" s="48" t="str">
        <f>IF(CHEMISTRY!F26="","",CHEMISTRY!F26)</f>
        <v/>
      </c>
      <c r="BT25" s="48" t="str">
        <f>IF(CHEMISTRY!G26="","",CHEMISTRY!G26)</f>
        <v/>
      </c>
      <c r="BU25" s="48" t="str">
        <f t="shared" si="75"/>
        <v/>
      </c>
      <c r="BV25" s="48" t="str">
        <f t="shared" si="76"/>
        <v/>
      </c>
      <c r="BW25" s="48" t="str">
        <f>IF(CHEMISTRY!H26="","",CHEMISTRY!H26)</f>
        <v/>
      </c>
      <c r="BX25" s="646" t="str">
        <f t="shared" si="77"/>
        <v/>
      </c>
      <c r="BY25" s="48" t="str">
        <f>IF(CHEMISTRY!I26="","",CHEMISTRY!I26)</f>
        <v/>
      </c>
      <c r="BZ25" s="48" t="str">
        <f>IF(CHEMISTRY!J26="","",CHEMISTRY!J26)</f>
        <v/>
      </c>
      <c r="CA25" s="48" t="str">
        <f t="shared" si="78"/>
        <v/>
      </c>
      <c r="CB25" s="48" t="str">
        <f t="shared" si="79"/>
        <v/>
      </c>
      <c r="CC25" s="48" t="str">
        <f t="shared" si="80"/>
        <v/>
      </c>
      <c r="CD25" s="48" t="str">
        <f t="shared" si="81"/>
        <v/>
      </c>
      <c r="CE25" s="48" t="str">
        <f t="shared" si="82"/>
        <v/>
      </c>
      <c r="CF25" s="48" t="str">
        <f t="shared" si="83"/>
        <v/>
      </c>
      <c r="CG25" s="48" t="str">
        <f>IF(CHEMISTRY!M26="","",CHEMISTRY!M26*$CG$6/CHEMISTRY!$M$7)</f>
        <v/>
      </c>
      <c r="CH25" s="48" t="str">
        <f t="shared" si="84"/>
        <v/>
      </c>
      <c r="CI25" s="48" t="str">
        <f t="shared" si="85"/>
        <v/>
      </c>
      <c r="CJ25" s="73" t="str">
        <f>IF(BIOLOGY!E26="","",BIOLOGY!E26)</f>
        <v/>
      </c>
      <c r="CK25" s="73" t="str">
        <f t="shared" si="86"/>
        <v/>
      </c>
      <c r="CL25" s="73" t="str">
        <f>IF(BIOLOGY!F26="","",BIOLOGY!F26)</f>
        <v/>
      </c>
      <c r="CM25" s="73" t="str">
        <f>IF(BIOLOGY!G26="","",BIOLOGY!G26)</f>
        <v/>
      </c>
      <c r="CN25" s="73" t="str">
        <f t="shared" si="87"/>
        <v/>
      </c>
      <c r="CO25" s="73" t="str">
        <f t="shared" si="88"/>
        <v/>
      </c>
      <c r="CP25" s="73" t="str">
        <f>IF(BIOLOGY!H26="","",BIOLOGY!H26)</f>
        <v/>
      </c>
      <c r="CQ25" s="73" t="str">
        <f t="shared" si="89"/>
        <v/>
      </c>
      <c r="CR25" s="73" t="str">
        <f>IF(BIOLOGY!I26="","",BIOLOGY!I26)</f>
        <v/>
      </c>
      <c r="CS25" s="73" t="str">
        <f>IF(BIOLOGY!J26="","",BIOLOGY!J26)</f>
        <v/>
      </c>
      <c r="CT25" s="73" t="str">
        <f t="shared" si="90"/>
        <v/>
      </c>
      <c r="CU25" s="73" t="str">
        <f t="shared" si="91"/>
        <v/>
      </c>
      <c r="CV25" s="73" t="str">
        <f t="shared" si="92"/>
        <v/>
      </c>
      <c r="CW25" s="73" t="str">
        <f t="shared" si="93"/>
        <v/>
      </c>
      <c r="CX25" s="73" t="str">
        <f t="shared" si="94"/>
        <v/>
      </c>
      <c r="CY25" s="73" t="str">
        <f t="shared" si="95"/>
        <v/>
      </c>
      <c r="CZ25" s="73" t="str">
        <f>IF(BIOLOGY!M26="","",CEILING((BIOLOGY!M26*$CZ$6/BIOLOGY!$M$7),1))</f>
        <v/>
      </c>
      <c r="DA25" s="73" t="str">
        <f t="shared" si="96"/>
        <v/>
      </c>
      <c r="DB25" s="73" t="str">
        <f t="shared" si="97"/>
        <v/>
      </c>
      <c r="DC25" s="76" t="str">
        <f>IF('PHY EDU '!E26="","",'PHY EDU '!E26)</f>
        <v/>
      </c>
      <c r="DD25" s="647" t="str">
        <f t="shared" si="98"/>
        <v/>
      </c>
      <c r="DE25" s="76" t="str">
        <f>IF('PHY EDU '!F26="","",'PHY EDU '!F26)</f>
        <v/>
      </c>
      <c r="DF25" s="76" t="str">
        <f>IF('PHY EDU '!G26="","",'PHY EDU '!G26)</f>
        <v/>
      </c>
      <c r="DG25" s="76" t="str">
        <f t="shared" si="99"/>
        <v/>
      </c>
      <c r="DH25" s="76" t="str">
        <f t="shared" si="100"/>
        <v/>
      </c>
      <c r="DI25" s="76" t="str">
        <f>IF('PHY EDU '!H26="","",'PHY EDU '!H26)</f>
        <v/>
      </c>
      <c r="DJ25" s="647" t="str">
        <f t="shared" si="101"/>
        <v/>
      </c>
      <c r="DK25" s="76" t="str">
        <f>IF('PHY EDU '!I26="","",'PHY EDU '!I26)</f>
        <v/>
      </c>
      <c r="DL25" s="76" t="str">
        <f>IF('PHY EDU '!J26="","",'PHY EDU '!J26)</f>
        <v/>
      </c>
      <c r="DM25" s="76" t="str">
        <f t="shared" si="102"/>
        <v/>
      </c>
      <c r="DN25" s="76" t="str">
        <f t="shared" si="103"/>
        <v/>
      </c>
      <c r="DO25" s="76" t="str">
        <f t="shared" si="104"/>
        <v/>
      </c>
      <c r="DP25" s="76" t="str">
        <f t="shared" si="105"/>
        <v/>
      </c>
      <c r="DQ25" s="76" t="str">
        <f t="shared" si="106"/>
        <v/>
      </c>
      <c r="DR25" s="76" t="str">
        <f t="shared" si="107"/>
        <v/>
      </c>
      <c r="DS25" s="76" t="str">
        <f>IF('PHY EDU '!M26="","",ROUNDUP('PHY EDU '!M26*$DS$6/'PHY EDU '!$M$7,0))</f>
        <v/>
      </c>
      <c r="DT25" s="76" t="str">
        <f t="shared" si="108"/>
        <v/>
      </c>
      <c r="DU25" s="76" t="str">
        <f t="shared" si="109"/>
        <v/>
      </c>
      <c r="DV25" s="72" t="str">
        <f t="shared" si="20"/>
        <v/>
      </c>
      <c r="DW25" s="72" t="str">
        <f t="shared" si="21"/>
        <v/>
      </c>
      <c r="DX25" s="72" t="str">
        <f t="shared" si="22"/>
        <v/>
      </c>
      <c r="DY25" s="72" t="str">
        <f t="shared" si="23"/>
        <v/>
      </c>
      <c r="DZ25" s="72" t="str">
        <f t="shared" si="24"/>
        <v/>
      </c>
      <c r="EA25" s="72" t="str">
        <f t="shared" si="25"/>
        <v/>
      </c>
      <c r="EB25" s="76" t="str">
        <f t="shared" si="26"/>
        <v/>
      </c>
      <c r="EC25" s="76" t="str">
        <f t="shared" si="27"/>
        <v/>
      </c>
      <c r="ED25" s="76" t="str">
        <f t="shared" si="28"/>
        <v/>
      </c>
      <c r="EE25" s="76" t="str">
        <f t="shared" si="29"/>
        <v/>
      </c>
      <c r="EF25" s="76" t="str">
        <f t="shared" si="30"/>
        <v/>
      </c>
      <c r="EG25" s="76" t="str">
        <f t="shared" si="31"/>
        <v/>
      </c>
      <c r="EH25" s="77" t="str">
        <f t="shared" si="32"/>
        <v/>
      </c>
      <c r="EI25" s="495" t="str">
        <f t="shared" si="110"/>
        <v/>
      </c>
      <c r="EJ25" s="86" t="str">
        <f t="shared" si="111"/>
        <v/>
      </c>
      <c r="EK25" s="78" t="str">
        <f t="shared" si="33"/>
        <v/>
      </c>
      <c r="EL25" s="79" t="str">
        <f t="shared" si="112"/>
        <v/>
      </c>
      <c r="EM25" s="139" t="str">
        <f t="shared" si="34"/>
        <v/>
      </c>
      <c r="EN25" s="77" t="str">
        <f t="shared" si="113"/>
        <v/>
      </c>
      <c r="EO25" s="77" t="str">
        <f>IF(EN25="","",ATTENDANCE!Q26&amp;"/"&amp;ATTENDANCE!$Q$7)</f>
        <v/>
      </c>
      <c r="EP25" s="80" t="str">
        <f t="shared" si="35"/>
        <v/>
      </c>
      <c r="EQ25" s="80" t="str">
        <f t="shared" si="114"/>
        <v/>
      </c>
      <c r="ER25" s="80" t="str">
        <f t="shared" si="115"/>
        <v/>
      </c>
      <c r="ES25" s="80" t="str">
        <f t="shared" si="116"/>
        <v/>
      </c>
      <c r="ET25" s="80" t="str">
        <f t="shared" si="117"/>
        <v/>
      </c>
      <c r="EU25" s="80" t="str">
        <f t="shared" si="118"/>
        <v/>
      </c>
      <c r="EV25" s="492" t="str">
        <f t="shared" si="119"/>
        <v/>
      </c>
      <c r="EW25" s="129" t="str">
        <f t="shared" si="36"/>
        <v/>
      </c>
      <c r="EX25" s="129" t="str">
        <f t="shared" si="120"/>
        <v/>
      </c>
      <c r="EY25" s="129" t="str">
        <f t="shared" si="121"/>
        <v/>
      </c>
      <c r="EZ25" s="129" t="str">
        <f t="shared" si="122"/>
        <v/>
      </c>
      <c r="FA25" s="129" t="str">
        <f t="shared" si="123"/>
        <v/>
      </c>
      <c r="FB25" s="129" t="str">
        <f t="shared" si="124"/>
        <v/>
      </c>
      <c r="FC25" s="80" t="str">
        <f t="shared" si="37"/>
        <v/>
      </c>
      <c r="FD25" s="80" t="str">
        <f t="shared" si="38"/>
        <v/>
      </c>
      <c r="FE25" s="80" t="str">
        <f t="shared" si="39"/>
        <v/>
      </c>
      <c r="FF25" s="488" t="str">
        <f t="shared" si="125"/>
        <v/>
      </c>
      <c r="FG25" s="80" t="str">
        <f t="shared" si="126"/>
        <v/>
      </c>
      <c r="FH25" s="80" t="str">
        <f t="shared" si="127"/>
        <v/>
      </c>
      <c r="FI25" s="496" t="str">
        <f t="shared" si="128"/>
        <v/>
      </c>
      <c r="FJ25" s="140" t="str">
        <f t="shared" si="40"/>
        <v/>
      </c>
      <c r="FK25" s="492" t="str">
        <f t="shared" si="129"/>
        <v/>
      </c>
      <c r="FL25" s="490" t="str">
        <f t="shared" si="130"/>
        <v/>
      </c>
      <c r="FM25" s="74" t="str">
        <f t="shared" si="131"/>
        <v/>
      </c>
    </row>
    <row r="26" spans="1:169" ht="28.5" customHeight="1" x14ac:dyDescent="0.3">
      <c r="A26" s="6"/>
      <c r="B26" s="25">
        <f>DATA!B24</f>
        <v>0</v>
      </c>
      <c r="C26" s="25" t="str">
        <f>IF(DATA!C24="","",DATA!C24)</f>
        <v/>
      </c>
      <c r="D26" s="25" t="str">
        <f>IF(DATA!D24="","",DATA!D24)</f>
        <v/>
      </c>
      <c r="E26" s="738" t="str">
        <f>IF(DATA!E24="","",DATA!E24)</f>
        <v/>
      </c>
      <c r="F26" s="738" t="str">
        <f>IF(DATA!F24="","",DATA!F24)</f>
        <v/>
      </c>
      <c r="G26" s="738" t="str">
        <f>IF(DATA!G24="","",DATA!G24)</f>
        <v/>
      </c>
      <c r="H26" s="214" t="str">
        <f>IF(DATA!H24="","",DATA!H24)</f>
        <v/>
      </c>
      <c r="I26" s="214" t="str">
        <f>IF(DATA!I24="","",DATA!I24)</f>
        <v/>
      </c>
      <c r="J26" s="214" t="str">
        <f>IF(DATA!J24="","",DATA!J24)</f>
        <v/>
      </c>
      <c r="K26" s="214" t="str">
        <f>IF(DATA!K24="","",DATA!K24)</f>
        <v/>
      </c>
      <c r="L26" s="73" t="str">
        <f>IF(ENGLISH!E26="","",ENGLISH!E26)</f>
        <v/>
      </c>
      <c r="M26" s="73" t="str">
        <f t="shared" si="41"/>
        <v/>
      </c>
      <c r="N26" s="73" t="str">
        <f>IF(ENGLISH!F26="","",ENGLISH!F26)</f>
        <v/>
      </c>
      <c r="O26" s="73" t="str">
        <f t="shared" si="42"/>
        <v/>
      </c>
      <c r="P26" s="73" t="str">
        <f>IF(ENGLISH!G26="","",ENGLISH!G26)</f>
        <v/>
      </c>
      <c r="Q26" s="73" t="str">
        <f t="shared" si="43"/>
        <v/>
      </c>
      <c r="R26" s="73" t="str">
        <f>IF(ENGLISH!H26="","",ENGLISH!H26)</f>
        <v/>
      </c>
      <c r="S26" s="73" t="str">
        <f>IF(ENGLISH!I26="","",ENGLISH!I26)</f>
        <v/>
      </c>
      <c r="T26" s="73" t="str">
        <f>IF(ENGLISH!J26="","",ENGLISH!J26)</f>
        <v/>
      </c>
      <c r="U26" s="73" t="str">
        <f>IF(ENGLISH!K26="","",ENGLISH!K26)</f>
        <v/>
      </c>
      <c r="V26" s="73" t="str">
        <f t="shared" si="44"/>
        <v/>
      </c>
      <c r="W26" s="81" t="str">
        <f>IF(ENGLISH!L26="","",ENGLISH!L26)</f>
        <v/>
      </c>
      <c r="X26" s="73" t="str">
        <f t="shared" si="45"/>
        <v/>
      </c>
      <c r="Y26" s="73" t="str">
        <f t="shared" si="46"/>
        <v/>
      </c>
      <c r="Z26" s="73" t="str">
        <f t="shared" si="47"/>
        <v/>
      </c>
      <c r="AA26" s="73" t="str">
        <f>IF(ENGLISH!O26="","",ENGLISH!O26*40/ENGLISH!$O$6)</f>
        <v/>
      </c>
      <c r="AB26" s="73" t="str">
        <f t="shared" si="48"/>
        <v/>
      </c>
      <c r="AC26" s="73" t="str">
        <f t="shared" si="49"/>
        <v/>
      </c>
      <c r="AD26" s="74" t="str">
        <f>IF(MATHS!E26="","",MATHS!E26)</f>
        <v/>
      </c>
      <c r="AE26" s="643" t="str">
        <f t="shared" si="50"/>
        <v/>
      </c>
      <c r="AF26" s="74" t="str">
        <f>IF(MATHS!F26="","",MATHS!F26)</f>
        <v/>
      </c>
      <c r="AG26" s="643" t="str">
        <f t="shared" si="51"/>
        <v/>
      </c>
      <c r="AH26" s="74" t="str">
        <f>IF(MATHS!G26="","",MATHS!G26)</f>
        <v/>
      </c>
      <c r="AI26" s="643" t="str">
        <f t="shared" si="52"/>
        <v/>
      </c>
      <c r="AJ26" s="75" t="str">
        <f t="shared" si="53"/>
        <v/>
      </c>
      <c r="AK26" s="75" t="str">
        <f t="shared" si="54"/>
        <v/>
      </c>
      <c r="AL26" s="75" t="str">
        <f t="shared" si="55"/>
        <v/>
      </c>
      <c r="AM26" s="75" t="str">
        <f>IF(MATHS!H26="","",MATHS!H26)</f>
        <v/>
      </c>
      <c r="AN26" s="75" t="str">
        <f>IF(MATHS!I26="","",MATHS!I26)</f>
        <v/>
      </c>
      <c r="AO26" s="75" t="str">
        <f>IF(MATHS!J26="","",MATHS!J26)</f>
        <v/>
      </c>
      <c r="AP26" s="75" t="str">
        <f t="shared" si="56"/>
        <v/>
      </c>
      <c r="AQ26" s="75" t="str">
        <f t="shared" si="57"/>
        <v/>
      </c>
      <c r="AR26" s="75" t="str">
        <f>IF(MATHS!K26="","",CEILING(MATHS!K26*$AR$6/MATHS!$K$6,1))</f>
        <v/>
      </c>
      <c r="AS26" s="76" t="str">
        <f t="shared" si="58"/>
        <v/>
      </c>
      <c r="AT26" s="76" t="str">
        <f t="shared" si="59"/>
        <v/>
      </c>
      <c r="AU26" s="76" t="str">
        <f>IF(MATHS!O26="","",MATHS!O26*$AU$6/MATHS!$O$6)</f>
        <v/>
      </c>
      <c r="AV26" s="76" t="str">
        <f t="shared" si="60"/>
        <v/>
      </c>
      <c r="AW26" s="76" t="str">
        <f t="shared" si="61"/>
        <v/>
      </c>
      <c r="AX26" s="73" t="str">
        <f>IF(PHYSICS!E27="","",PHYSICS!E27)</f>
        <v/>
      </c>
      <c r="AY26" s="644" t="str">
        <f t="shared" si="62"/>
        <v/>
      </c>
      <c r="AZ26" s="73" t="str">
        <f>IF(PHYSICS!F27="","",PHYSICS!F27)</f>
        <v/>
      </c>
      <c r="BA26" s="73" t="str">
        <f>IF(PHYSICS!G27="","",PHYSICS!G27)</f>
        <v/>
      </c>
      <c r="BB26" s="73" t="str">
        <f t="shared" si="63"/>
        <v/>
      </c>
      <c r="BC26" s="73" t="str">
        <f t="shared" si="64"/>
        <v/>
      </c>
      <c r="BD26" s="73" t="str">
        <f>IF(PHYSICS!H27="","",PHYSICS!H27)</f>
        <v/>
      </c>
      <c r="BE26" s="645" t="str">
        <f t="shared" si="65"/>
        <v/>
      </c>
      <c r="BF26" s="73" t="str">
        <f>IF(PHYSICS!I27="","",PHYSICS!I27)</f>
        <v/>
      </c>
      <c r="BG26" s="73" t="str">
        <f>IF(PHYSICS!J27="","",PHYSICS!J27)</f>
        <v/>
      </c>
      <c r="BH26" s="73" t="str">
        <f t="shared" si="66"/>
        <v/>
      </c>
      <c r="BI26" s="73" t="str">
        <f t="shared" si="67"/>
        <v/>
      </c>
      <c r="BJ26" s="73" t="str">
        <f t="shared" si="68"/>
        <v/>
      </c>
      <c r="BK26" s="73" t="str">
        <f t="shared" si="69"/>
        <v/>
      </c>
      <c r="BL26" s="73" t="str">
        <f t="shared" si="70"/>
        <v/>
      </c>
      <c r="BM26" s="73" t="str">
        <f t="shared" si="71"/>
        <v/>
      </c>
      <c r="BN26" s="73" t="str">
        <f>IF(PHYSICS!M27="","",PHYSICS!M27*$BN$6/PHYSICS!$M$7)</f>
        <v/>
      </c>
      <c r="BO26" s="73" t="str">
        <f t="shared" si="72"/>
        <v/>
      </c>
      <c r="BP26" s="73" t="str">
        <f t="shared" si="73"/>
        <v/>
      </c>
      <c r="BQ26" s="48" t="str">
        <f>IF(CHEMISTRY!E27="","",CHEMISTRY!E27)</f>
        <v/>
      </c>
      <c r="BR26" s="646" t="str">
        <f t="shared" si="74"/>
        <v/>
      </c>
      <c r="BS26" s="48" t="str">
        <f>IF(CHEMISTRY!F27="","",CHEMISTRY!F27)</f>
        <v/>
      </c>
      <c r="BT26" s="48" t="str">
        <f>IF(CHEMISTRY!G27="","",CHEMISTRY!G27)</f>
        <v/>
      </c>
      <c r="BU26" s="48" t="str">
        <f t="shared" si="75"/>
        <v/>
      </c>
      <c r="BV26" s="48" t="str">
        <f t="shared" si="76"/>
        <v/>
      </c>
      <c r="BW26" s="48" t="str">
        <f>IF(CHEMISTRY!H27="","",CHEMISTRY!H27)</f>
        <v/>
      </c>
      <c r="BX26" s="646" t="str">
        <f t="shared" si="77"/>
        <v/>
      </c>
      <c r="BY26" s="48" t="str">
        <f>IF(CHEMISTRY!I27="","",CHEMISTRY!I27)</f>
        <v/>
      </c>
      <c r="BZ26" s="48" t="str">
        <f>IF(CHEMISTRY!J27="","",CHEMISTRY!J27)</f>
        <v/>
      </c>
      <c r="CA26" s="48" t="str">
        <f t="shared" si="78"/>
        <v/>
      </c>
      <c r="CB26" s="48" t="str">
        <f t="shared" si="79"/>
        <v/>
      </c>
      <c r="CC26" s="48" t="str">
        <f t="shared" si="80"/>
        <v/>
      </c>
      <c r="CD26" s="48" t="str">
        <f t="shared" si="81"/>
        <v/>
      </c>
      <c r="CE26" s="48" t="str">
        <f t="shared" si="82"/>
        <v/>
      </c>
      <c r="CF26" s="48" t="str">
        <f t="shared" si="83"/>
        <v/>
      </c>
      <c r="CG26" s="48" t="str">
        <f>IF(CHEMISTRY!M27="","",CHEMISTRY!M27*$CG$6/CHEMISTRY!$M$7)</f>
        <v/>
      </c>
      <c r="CH26" s="48" t="str">
        <f t="shared" si="84"/>
        <v/>
      </c>
      <c r="CI26" s="48" t="str">
        <f t="shared" si="85"/>
        <v/>
      </c>
      <c r="CJ26" s="73" t="str">
        <f>IF(BIOLOGY!E27="","",BIOLOGY!E27)</f>
        <v/>
      </c>
      <c r="CK26" s="73" t="str">
        <f t="shared" si="86"/>
        <v/>
      </c>
      <c r="CL26" s="73" t="str">
        <f>IF(BIOLOGY!F27="","",BIOLOGY!F27)</f>
        <v/>
      </c>
      <c r="CM26" s="73" t="str">
        <f>IF(BIOLOGY!G27="","",BIOLOGY!G27)</f>
        <v/>
      </c>
      <c r="CN26" s="73" t="str">
        <f t="shared" si="87"/>
        <v/>
      </c>
      <c r="CO26" s="73" t="str">
        <f t="shared" si="88"/>
        <v/>
      </c>
      <c r="CP26" s="73" t="str">
        <f>IF(BIOLOGY!H27="","",BIOLOGY!H27)</f>
        <v/>
      </c>
      <c r="CQ26" s="73" t="str">
        <f t="shared" si="89"/>
        <v/>
      </c>
      <c r="CR26" s="73" t="str">
        <f>IF(BIOLOGY!I27="","",BIOLOGY!I27)</f>
        <v/>
      </c>
      <c r="CS26" s="73" t="str">
        <f>IF(BIOLOGY!J27="","",BIOLOGY!J27)</f>
        <v/>
      </c>
      <c r="CT26" s="73" t="str">
        <f t="shared" si="90"/>
        <v/>
      </c>
      <c r="CU26" s="73" t="str">
        <f t="shared" si="91"/>
        <v/>
      </c>
      <c r="CV26" s="73" t="str">
        <f t="shared" si="92"/>
        <v/>
      </c>
      <c r="CW26" s="73" t="str">
        <f t="shared" si="93"/>
        <v/>
      </c>
      <c r="CX26" s="73" t="str">
        <f t="shared" si="94"/>
        <v/>
      </c>
      <c r="CY26" s="73" t="str">
        <f t="shared" si="95"/>
        <v/>
      </c>
      <c r="CZ26" s="73" t="str">
        <f>IF(BIOLOGY!M27="","",CEILING((BIOLOGY!M27*$CZ$6/BIOLOGY!$M$7),1))</f>
        <v/>
      </c>
      <c r="DA26" s="73" t="str">
        <f t="shared" si="96"/>
        <v/>
      </c>
      <c r="DB26" s="73" t="str">
        <f t="shared" si="97"/>
        <v/>
      </c>
      <c r="DC26" s="76" t="str">
        <f>IF('PHY EDU '!E27="","",'PHY EDU '!E27)</f>
        <v/>
      </c>
      <c r="DD26" s="647" t="str">
        <f t="shared" si="98"/>
        <v/>
      </c>
      <c r="DE26" s="76" t="str">
        <f>IF('PHY EDU '!F27="","",'PHY EDU '!F27)</f>
        <v/>
      </c>
      <c r="DF26" s="76" t="str">
        <f>IF('PHY EDU '!G27="","",'PHY EDU '!G27)</f>
        <v/>
      </c>
      <c r="DG26" s="76" t="str">
        <f t="shared" si="99"/>
        <v/>
      </c>
      <c r="DH26" s="76" t="str">
        <f t="shared" si="100"/>
        <v/>
      </c>
      <c r="DI26" s="76" t="str">
        <f>IF('PHY EDU '!H27="","",'PHY EDU '!H27)</f>
        <v/>
      </c>
      <c r="DJ26" s="647" t="str">
        <f t="shared" si="101"/>
        <v/>
      </c>
      <c r="DK26" s="76" t="str">
        <f>IF('PHY EDU '!I27="","",'PHY EDU '!I27)</f>
        <v/>
      </c>
      <c r="DL26" s="76" t="str">
        <f>IF('PHY EDU '!J27="","",'PHY EDU '!J27)</f>
        <v/>
      </c>
      <c r="DM26" s="76" t="str">
        <f t="shared" si="102"/>
        <v/>
      </c>
      <c r="DN26" s="76" t="str">
        <f t="shared" si="103"/>
        <v/>
      </c>
      <c r="DO26" s="76" t="str">
        <f t="shared" si="104"/>
        <v/>
      </c>
      <c r="DP26" s="76" t="str">
        <f t="shared" si="105"/>
        <v/>
      </c>
      <c r="DQ26" s="76" t="str">
        <f t="shared" si="106"/>
        <v/>
      </c>
      <c r="DR26" s="76" t="str">
        <f t="shared" si="107"/>
        <v/>
      </c>
      <c r="DS26" s="76" t="str">
        <f>IF('PHY EDU '!M27="","",ROUNDUP('PHY EDU '!M27*$DS$6/'PHY EDU '!$M$7,0))</f>
        <v/>
      </c>
      <c r="DT26" s="76" t="str">
        <f t="shared" si="108"/>
        <v/>
      </c>
      <c r="DU26" s="76" t="str">
        <f t="shared" si="109"/>
        <v/>
      </c>
      <c r="DV26" s="72" t="str">
        <f t="shared" si="20"/>
        <v/>
      </c>
      <c r="DW26" s="72" t="str">
        <f t="shared" si="21"/>
        <v/>
      </c>
      <c r="DX26" s="72" t="str">
        <f t="shared" si="22"/>
        <v/>
      </c>
      <c r="DY26" s="72" t="str">
        <f t="shared" si="23"/>
        <v/>
      </c>
      <c r="DZ26" s="72" t="str">
        <f t="shared" si="24"/>
        <v/>
      </c>
      <c r="EA26" s="72" t="str">
        <f t="shared" si="25"/>
        <v/>
      </c>
      <c r="EB26" s="76" t="str">
        <f t="shared" si="26"/>
        <v/>
      </c>
      <c r="EC26" s="76" t="str">
        <f t="shared" si="27"/>
        <v/>
      </c>
      <c r="ED26" s="76" t="str">
        <f t="shared" si="28"/>
        <v/>
      </c>
      <c r="EE26" s="76" t="str">
        <f t="shared" si="29"/>
        <v/>
      </c>
      <c r="EF26" s="76" t="str">
        <f t="shared" si="30"/>
        <v/>
      </c>
      <c r="EG26" s="76" t="str">
        <f t="shared" si="31"/>
        <v/>
      </c>
      <c r="EH26" s="77" t="str">
        <f t="shared" si="32"/>
        <v/>
      </c>
      <c r="EI26" s="495" t="str">
        <f t="shared" si="110"/>
        <v/>
      </c>
      <c r="EJ26" s="86" t="str">
        <f t="shared" si="111"/>
        <v/>
      </c>
      <c r="EK26" s="78" t="str">
        <f t="shared" si="33"/>
        <v/>
      </c>
      <c r="EL26" s="79" t="str">
        <f t="shared" si="112"/>
        <v/>
      </c>
      <c r="EM26" s="139" t="str">
        <f t="shared" si="34"/>
        <v/>
      </c>
      <c r="EN26" s="77" t="str">
        <f t="shared" si="113"/>
        <v/>
      </c>
      <c r="EO26" s="77" t="str">
        <f>IF(EN26="","",ATTENDANCE!Q27&amp;"/"&amp;ATTENDANCE!$Q$7)</f>
        <v/>
      </c>
      <c r="EP26" s="80" t="str">
        <f t="shared" si="35"/>
        <v/>
      </c>
      <c r="EQ26" s="80" t="str">
        <f t="shared" si="114"/>
        <v/>
      </c>
      <c r="ER26" s="80" t="str">
        <f t="shared" si="115"/>
        <v/>
      </c>
      <c r="ES26" s="80" t="str">
        <f t="shared" si="116"/>
        <v/>
      </c>
      <c r="ET26" s="80" t="str">
        <f t="shared" si="117"/>
        <v/>
      </c>
      <c r="EU26" s="80" t="str">
        <f t="shared" si="118"/>
        <v/>
      </c>
      <c r="EV26" s="492" t="str">
        <f t="shared" si="119"/>
        <v/>
      </c>
      <c r="EW26" s="129" t="str">
        <f t="shared" si="36"/>
        <v/>
      </c>
      <c r="EX26" s="129" t="str">
        <f t="shared" si="120"/>
        <v/>
      </c>
      <c r="EY26" s="129" t="str">
        <f t="shared" si="121"/>
        <v/>
      </c>
      <c r="EZ26" s="129" t="str">
        <f t="shared" si="122"/>
        <v/>
      </c>
      <c r="FA26" s="129" t="str">
        <f t="shared" si="123"/>
        <v/>
      </c>
      <c r="FB26" s="129" t="str">
        <f t="shared" si="124"/>
        <v/>
      </c>
      <c r="FC26" s="80" t="str">
        <f t="shared" si="37"/>
        <v/>
      </c>
      <c r="FD26" s="80" t="str">
        <f t="shared" si="38"/>
        <v/>
      </c>
      <c r="FE26" s="80" t="str">
        <f t="shared" si="39"/>
        <v/>
      </c>
      <c r="FF26" s="488" t="str">
        <f t="shared" si="125"/>
        <v/>
      </c>
      <c r="FG26" s="80" t="str">
        <f t="shared" si="126"/>
        <v/>
      </c>
      <c r="FH26" s="80" t="str">
        <f t="shared" si="127"/>
        <v/>
      </c>
      <c r="FI26" s="496" t="str">
        <f t="shared" si="128"/>
        <v/>
      </c>
      <c r="FJ26" s="140" t="str">
        <f t="shared" si="40"/>
        <v/>
      </c>
      <c r="FK26" s="492" t="str">
        <f t="shared" si="129"/>
        <v/>
      </c>
      <c r="FL26" s="490" t="str">
        <f t="shared" si="130"/>
        <v/>
      </c>
      <c r="FM26" s="74" t="str">
        <f t="shared" si="131"/>
        <v/>
      </c>
    </row>
    <row r="27" spans="1:169" ht="28.5" customHeight="1" x14ac:dyDescent="0.3">
      <c r="A27" s="6"/>
      <c r="B27" s="25">
        <f>DATA!B25</f>
        <v>0</v>
      </c>
      <c r="C27" s="25" t="str">
        <f>IF(DATA!C25="","",DATA!C25)</f>
        <v/>
      </c>
      <c r="D27" s="25" t="str">
        <f>IF(DATA!D25="","",DATA!D25)</f>
        <v/>
      </c>
      <c r="E27" s="738" t="str">
        <f>IF(DATA!E25="","",DATA!E25)</f>
        <v/>
      </c>
      <c r="F27" s="738" t="str">
        <f>IF(DATA!F25="","",DATA!F25)</f>
        <v/>
      </c>
      <c r="G27" s="738" t="str">
        <f>IF(DATA!G25="","",DATA!G25)</f>
        <v/>
      </c>
      <c r="H27" s="214" t="str">
        <f>IF(DATA!H25="","",DATA!H25)</f>
        <v/>
      </c>
      <c r="I27" s="214" t="str">
        <f>IF(DATA!I25="","",DATA!I25)</f>
        <v/>
      </c>
      <c r="J27" s="214" t="str">
        <f>IF(DATA!J25="","",DATA!J25)</f>
        <v/>
      </c>
      <c r="K27" s="214" t="str">
        <f>IF(DATA!K25="","",DATA!K25)</f>
        <v/>
      </c>
      <c r="L27" s="73" t="str">
        <f>IF(ENGLISH!E27="","",ENGLISH!E27)</f>
        <v/>
      </c>
      <c r="M27" s="73" t="str">
        <f t="shared" si="41"/>
        <v/>
      </c>
      <c r="N27" s="73" t="str">
        <f>IF(ENGLISH!F27="","",ENGLISH!F27)</f>
        <v/>
      </c>
      <c r="O27" s="73" t="str">
        <f t="shared" si="42"/>
        <v/>
      </c>
      <c r="P27" s="73" t="str">
        <f>IF(ENGLISH!G27="","",ENGLISH!G27)</f>
        <v/>
      </c>
      <c r="Q27" s="73" t="str">
        <f t="shared" si="43"/>
        <v/>
      </c>
      <c r="R27" s="73" t="str">
        <f>IF(ENGLISH!H27="","",ENGLISH!H27)</f>
        <v/>
      </c>
      <c r="S27" s="73" t="str">
        <f>IF(ENGLISH!I27="","",ENGLISH!I27)</f>
        <v/>
      </c>
      <c r="T27" s="73" t="str">
        <f>IF(ENGLISH!J27="","",ENGLISH!J27)</f>
        <v/>
      </c>
      <c r="U27" s="73" t="str">
        <f>IF(ENGLISH!K27="","",ENGLISH!K27)</f>
        <v/>
      </c>
      <c r="V27" s="73" t="str">
        <f t="shared" si="44"/>
        <v/>
      </c>
      <c r="W27" s="81" t="str">
        <f>IF(ENGLISH!L27="","",ENGLISH!L27)</f>
        <v/>
      </c>
      <c r="X27" s="73" t="str">
        <f t="shared" si="45"/>
        <v/>
      </c>
      <c r="Y27" s="73" t="str">
        <f t="shared" si="46"/>
        <v/>
      </c>
      <c r="Z27" s="73" t="str">
        <f t="shared" si="47"/>
        <v/>
      </c>
      <c r="AA27" s="73" t="str">
        <f>IF(ENGLISH!O27="","",ENGLISH!O27*40/ENGLISH!$O$6)</f>
        <v/>
      </c>
      <c r="AB27" s="73" t="str">
        <f t="shared" si="48"/>
        <v/>
      </c>
      <c r="AC27" s="73" t="str">
        <f t="shared" si="49"/>
        <v/>
      </c>
      <c r="AD27" s="74" t="str">
        <f>IF(MATHS!E27="","",MATHS!E27)</f>
        <v/>
      </c>
      <c r="AE27" s="643" t="str">
        <f t="shared" si="50"/>
        <v/>
      </c>
      <c r="AF27" s="74" t="str">
        <f>IF(MATHS!F27="","",MATHS!F27)</f>
        <v/>
      </c>
      <c r="AG27" s="643" t="str">
        <f t="shared" si="51"/>
        <v/>
      </c>
      <c r="AH27" s="74" t="str">
        <f>IF(MATHS!G27="","",MATHS!G27)</f>
        <v/>
      </c>
      <c r="AI27" s="643" t="str">
        <f t="shared" si="52"/>
        <v/>
      </c>
      <c r="AJ27" s="75" t="str">
        <f t="shared" si="53"/>
        <v/>
      </c>
      <c r="AK27" s="75" t="str">
        <f t="shared" si="54"/>
        <v/>
      </c>
      <c r="AL27" s="75" t="str">
        <f t="shared" si="55"/>
        <v/>
      </c>
      <c r="AM27" s="75" t="str">
        <f>IF(MATHS!H27="","",MATHS!H27)</f>
        <v/>
      </c>
      <c r="AN27" s="75" t="str">
        <f>IF(MATHS!I27="","",MATHS!I27)</f>
        <v/>
      </c>
      <c r="AO27" s="75" t="str">
        <f>IF(MATHS!J27="","",MATHS!J27)</f>
        <v/>
      </c>
      <c r="AP27" s="75" t="str">
        <f t="shared" si="56"/>
        <v/>
      </c>
      <c r="AQ27" s="75" t="str">
        <f t="shared" si="57"/>
        <v/>
      </c>
      <c r="AR27" s="75" t="str">
        <f>IF(MATHS!K27="","",CEILING(MATHS!K27*$AR$6/MATHS!$K$6,1))</f>
        <v/>
      </c>
      <c r="AS27" s="76" t="str">
        <f t="shared" si="58"/>
        <v/>
      </c>
      <c r="AT27" s="76" t="str">
        <f t="shared" si="59"/>
        <v/>
      </c>
      <c r="AU27" s="76" t="str">
        <f>IF(MATHS!O27="","",MATHS!O27*$AU$6/MATHS!$O$6)</f>
        <v/>
      </c>
      <c r="AV27" s="76" t="str">
        <f t="shared" si="60"/>
        <v/>
      </c>
      <c r="AW27" s="76" t="str">
        <f t="shared" si="61"/>
        <v/>
      </c>
      <c r="AX27" s="73" t="str">
        <f>IF(PHYSICS!E28="","",PHYSICS!E28)</f>
        <v/>
      </c>
      <c r="AY27" s="644" t="str">
        <f t="shared" si="62"/>
        <v/>
      </c>
      <c r="AZ27" s="73" t="str">
        <f>IF(PHYSICS!F28="","",PHYSICS!F28)</f>
        <v/>
      </c>
      <c r="BA27" s="73" t="str">
        <f>IF(PHYSICS!G28="","",PHYSICS!G28)</f>
        <v/>
      </c>
      <c r="BB27" s="73" t="str">
        <f t="shared" si="63"/>
        <v/>
      </c>
      <c r="BC27" s="73" t="str">
        <f t="shared" si="64"/>
        <v/>
      </c>
      <c r="BD27" s="73" t="str">
        <f>IF(PHYSICS!H28="","",PHYSICS!H28)</f>
        <v/>
      </c>
      <c r="BE27" s="645" t="str">
        <f t="shared" si="65"/>
        <v/>
      </c>
      <c r="BF27" s="73" t="str">
        <f>IF(PHYSICS!I28="","",PHYSICS!I28)</f>
        <v/>
      </c>
      <c r="BG27" s="73" t="str">
        <f>IF(PHYSICS!J28="","",PHYSICS!J28)</f>
        <v/>
      </c>
      <c r="BH27" s="73" t="str">
        <f t="shared" si="66"/>
        <v/>
      </c>
      <c r="BI27" s="73" t="str">
        <f t="shared" si="67"/>
        <v/>
      </c>
      <c r="BJ27" s="73" t="str">
        <f t="shared" si="68"/>
        <v/>
      </c>
      <c r="BK27" s="73" t="str">
        <f t="shared" si="69"/>
        <v/>
      </c>
      <c r="BL27" s="73" t="str">
        <f t="shared" si="70"/>
        <v/>
      </c>
      <c r="BM27" s="73" t="str">
        <f t="shared" si="71"/>
        <v/>
      </c>
      <c r="BN27" s="73" t="str">
        <f>IF(PHYSICS!M28="","",PHYSICS!M28*$BN$6/PHYSICS!$M$7)</f>
        <v/>
      </c>
      <c r="BO27" s="73" t="str">
        <f t="shared" si="72"/>
        <v/>
      </c>
      <c r="BP27" s="73" t="str">
        <f t="shared" si="73"/>
        <v/>
      </c>
      <c r="BQ27" s="48" t="str">
        <f>IF(CHEMISTRY!E28="","",CHEMISTRY!E28)</f>
        <v/>
      </c>
      <c r="BR27" s="646" t="str">
        <f t="shared" si="74"/>
        <v/>
      </c>
      <c r="BS27" s="48" t="str">
        <f>IF(CHEMISTRY!F28="","",CHEMISTRY!F28)</f>
        <v/>
      </c>
      <c r="BT27" s="48" t="str">
        <f>IF(CHEMISTRY!G28="","",CHEMISTRY!G28)</f>
        <v/>
      </c>
      <c r="BU27" s="48" t="str">
        <f t="shared" si="75"/>
        <v/>
      </c>
      <c r="BV27" s="48" t="str">
        <f t="shared" si="76"/>
        <v/>
      </c>
      <c r="BW27" s="48" t="str">
        <f>IF(CHEMISTRY!H28="","",CHEMISTRY!H28)</f>
        <v/>
      </c>
      <c r="BX27" s="646" t="str">
        <f t="shared" si="77"/>
        <v/>
      </c>
      <c r="BY27" s="48" t="str">
        <f>IF(CHEMISTRY!I28="","",CHEMISTRY!I28)</f>
        <v/>
      </c>
      <c r="BZ27" s="48" t="str">
        <f>IF(CHEMISTRY!J28="","",CHEMISTRY!J28)</f>
        <v/>
      </c>
      <c r="CA27" s="48" t="str">
        <f t="shared" si="78"/>
        <v/>
      </c>
      <c r="CB27" s="48" t="str">
        <f t="shared" si="79"/>
        <v/>
      </c>
      <c r="CC27" s="48" t="str">
        <f t="shared" si="80"/>
        <v/>
      </c>
      <c r="CD27" s="48" t="str">
        <f t="shared" si="81"/>
        <v/>
      </c>
      <c r="CE27" s="48" t="str">
        <f t="shared" si="82"/>
        <v/>
      </c>
      <c r="CF27" s="48" t="str">
        <f t="shared" si="83"/>
        <v/>
      </c>
      <c r="CG27" s="48" t="str">
        <f>IF(CHEMISTRY!M28="","",CHEMISTRY!M28*$CG$6/CHEMISTRY!$M$7)</f>
        <v/>
      </c>
      <c r="CH27" s="48" t="str">
        <f t="shared" si="84"/>
        <v/>
      </c>
      <c r="CI27" s="48" t="str">
        <f t="shared" si="85"/>
        <v/>
      </c>
      <c r="CJ27" s="73" t="str">
        <f>IF(BIOLOGY!E28="","",BIOLOGY!E28)</f>
        <v/>
      </c>
      <c r="CK27" s="73" t="str">
        <f t="shared" si="86"/>
        <v/>
      </c>
      <c r="CL27" s="73" t="str">
        <f>IF(BIOLOGY!F28="","",BIOLOGY!F28)</f>
        <v/>
      </c>
      <c r="CM27" s="73" t="str">
        <f>IF(BIOLOGY!G28="","",BIOLOGY!G28)</f>
        <v/>
      </c>
      <c r="CN27" s="73" t="str">
        <f t="shared" si="87"/>
        <v/>
      </c>
      <c r="CO27" s="73" t="str">
        <f t="shared" si="88"/>
        <v/>
      </c>
      <c r="CP27" s="73" t="str">
        <f>IF(BIOLOGY!H28="","",BIOLOGY!H28)</f>
        <v/>
      </c>
      <c r="CQ27" s="73" t="str">
        <f t="shared" si="89"/>
        <v/>
      </c>
      <c r="CR27" s="73" t="str">
        <f>IF(BIOLOGY!I28="","",BIOLOGY!I28)</f>
        <v/>
      </c>
      <c r="CS27" s="73" t="str">
        <f>IF(BIOLOGY!J28="","",BIOLOGY!J28)</f>
        <v/>
      </c>
      <c r="CT27" s="73" t="str">
        <f t="shared" si="90"/>
        <v/>
      </c>
      <c r="CU27" s="73" t="str">
        <f t="shared" si="91"/>
        <v/>
      </c>
      <c r="CV27" s="73" t="str">
        <f t="shared" si="92"/>
        <v/>
      </c>
      <c r="CW27" s="73" t="str">
        <f t="shared" si="93"/>
        <v/>
      </c>
      <c r="CX27" s="73" t="str">
        <f t="shared" si="94"/>
        <v/>
      </c>
      <c r="CY27" s="73" t="str">
        <f t="shared" si="95"/>
        <v/>
      </c>
      <c r="CZ27" s="73" t="str">
        <f>IF(BIOLOGY!M28="","",CEILING((BIOLOGY!M28*$CZ$6/BIOLOGY!$M$7),1))</f>
        <v/>
      </c>
      <c r="DA27" s="73" t="str">
        <f t="shared" si="96"/>
        <v/>
      </c>
      <c r="DB27" s="73" t="str">
        <f t="shared" si="97"/>
        <v/>
      </c>
      <c r="DC27" s="76" t="str">
        <f>IF('PHY EDU '!E28="","",'PHY EDU '!E28)</f>
        <v/>
      </c>
      <c r="DD27" s="647" t="str">
        <f t="shared" si="98"/>
        <v/>
      </c>
      <c r="DE27" s="76" t="str">
        <f>IF('PHY EDU '!F28="","",'PHY EDU '!F28)</f>
        <v/>
      </c>
      <c r="DF27" s="76" t="str">
        <f>IF('PHY EDU '!G28="","",'PHY EDU '!G28)</f>
        <v/>
      </c>
      <c r="DG27" s="76" t="str">
        <f t="shared" si="99"/>
        <v/>
      </c>
      <c r="DH27" s="76" t="str">
        <f t="shared" si="100"/>
        <v/>
      </c>
      <c r="DI27" s="76" t="str">
        <f>IF('PHY EDU '!H28="","",'PHY EDU '!H28)</f>
        <v/>
      </c>
      <c r="DJ27" s="647" t="str">
        <f t="shared" si="101"/>
        <v/>
      </c>
      <c r="DK27" s="76" t="str">
        <f>IF('PHY EDU '!I28="","",'PHY EDU '!I28)</f>
        <v/>
      </c>
      <c r="DL27" s="76" t="str">
        <f>IF('PHY EDU '!J28="","",'PHY EDU '!J28)</f>
        <v/>
      </c>
      <c r="DM27" s="76" t="str">
        <f t="shared" si="102"/>
        <v/>
      </c>
      <c r="DN27" s="76" t="str">
        <f t="shared" si="103"/>
        <v/>
      </c>
      <c r="DO27" s="76" t="str">
        <f t="shared" si="104"/>
        <v/>
      </c>
      <c r="DP27" s="76" t="str">
        <f t="shared" si="105"/>
        <v/>
      </c>
      <c r="DQ27" s="76" t="str">
        <f t="shared" si="106"/>
        <v/>
      </c>
      <c r="DR27" s="76" t="str">
        <f t="shared" si="107"/>
        <v/>
      </c>
      <c r="DS27" s="76" t="str">
        <f>IF('PHY EDU '!M28="","",ROUNDUP('PHY EDU '!M28*$DS$6/'PHY EDU '!$M$7,0))</f>
        <v/>
      </c>
      <c r="DT27" s="76" t="str">
        <f t="shared" si="108"/>
        <v/>
      </c>
      <c r="DU27" s="76" t="str">
        <f t="shared" si="109"/>
        <v/>
      </c>
      <c r="DV27" s="72" t="str">
        <f t="shared" si="20"/>
        <v/>
      </c>
      <c r="DW27" s="72" t="str">
        <f t="shared" si="21"/>
        <v/>
      </c>
      <c r="DX27" s="72" t="str">
        <f t="shared" si="22"/>
        <v/>
      </c>
      <c r="DY27" s="72" t="str">
        <f t="shared" si="23"/>
        <v/>
      </c>
      <c r="DZ27" s="72" t="str">
        <f t="shared" si="24"/>
        <v/>
      </c>
      <c r="EA27" s="72" t="str">
        <f t="shared" si="25"/>
        <v/>
      </c>
      <c r="EB27" s="76" t="str">
        <f t="shared" si="26"/>
        <v/>
      </c>
      <c r="EC27" s="76" t="str">
        <f t="shared" si="27"/>
        <v/>
      </c>
      <c r="ED27" s="76" t="str">
        <f t="shared" si="28"/>
        <v/>
      </c>
      <c r="EE27" s="76" t="str">
        <f t="shared" si="29"/>
        <v/>
      </c>
      <c r="EF27" s="76" t="str">
        <f t="shared" si="30"/>
        <v/>
      </c>
      <c r="EG27" s="76" t="str">
        <f t="shared" si="31"/>
        <v/>
      </c>
      <c r="EH27" s="77" t="str">
        <f t="shared" si="32"/>
        <v/>
      </c>
      <c r="EI27" s="495" t="str">
        <f t="shared" si="110"/>
        <v/>
      </c>
      <c r="EJ27" s="86" t="str">
        <f t="shared" si="111"/>
        <v/>
      </c>
      <c r="EK27" s="78" t="str">
        <f t="shared" si="33"/>
        <v/>
      </c>
      <c r="EL27" s="79" t="str">
        <f t="shared" si="112"/>
        <v/>
      </c>
      <c r="EM27" s="139" t="str">
        <f t="shared" si="34"/>
        <v/>
      </c>
      <c r="EN27" s="77" t="str">
        <f t="shared" si="113"/>
        <v/>
      </c>
      <c r="EO27" s="77" t="str">
        <f>IF(EN27="","",ATTENDANCE!Q28&amp;"/"&amp;ATTENDANCE!$Q$7)</f>
        <v/>
      </c>
      <c r="EP27" s="80" t="str">
        <f t="shared" si="35"/>
        <v/>
      </c>
      <c r="EQ27" s="80" t="str">
        <f t="shared" si="114"/>
        <v/>
      </c>
      <c r="ER27" s="80" t="str">
        <f t="shared" si="115"/>
        <v/>
      </c>
      <c r="ES27" s="80" t="str">
        <f t="shared" si="116"/>
        <v/>
      </c>
      <c r="ET27" s="80" t="str">
        <f t="shared" si="117"/>
        <v/>
      </c>
      <c r="EU27" s="80" t="str">
        <f t="shared" si="118"/>
        <v/>
      </c>
      <c r="EV27" s="492" t="str">
        <f t="shared" si="119"/>
        <v/>
      </c>
      <c r="EW27" s="129" t="str">
        <f t="shared" si="36"/>
        <v/>
      </c>
      <c r="EX27" s="129" t="str">
        <f t="shared" si="120"/>
        <v/>
      </c>
      <c r="EY27" s="129" t="str">
        <f t="shared" si="121"/>
        <v/>
      </c>
      <c r="EZ27" s="129" t="str">
        <f t="shared" si="122"/>
        <v/>
      </c>
      <c r="FA27" s="129" t="str">
        <f t="shared" si="123"/>
        <v/>
      </c>
      <c r="FB27" s="129" t="str">
        <f t="shared" si="124"/>
        <v/>
      </c>
      <c r="FC27" s="80" t="str">
        <f t="shared" si="37"/>
        <v/>
      </c>
      <c r="FD27" s="80" t="str">
        <f t="shared" si="38"/>
        <v/>
      </c>
      <c r="FE27" s="80" t="str">
        <f t="shared" si="39"/>
        <v/>
      </c>
      <c r="FF27" s="488" t="str">
        <f t="shared" si="125"/>
        <v/>
      </c>
      <c r="FG27" s="80" t="str">
        <f t="shared" si="126"/>
        <v/>
      </c>
      <c r="FH27" s="80" t="str">
        <f t="shared" si="127"/>
        <v/>
      </c>
      <c r="FI27" s="496" t="str">
        <f t="shared" si="128"/>
        <v/>
      </c>
      <c r="FJ27" s="140" t="str">
        <f t="shared" si="40"/>
        <v/>
      </c>
      <c r="FK27" s="492" t="str">
        <f t="shared" si="129"/>
        <v/>
      </c>
      <c r="FL27" s="490" t="str">
        <f t="shared" si="130"/>
        <v/>
      </c>
      <c r="FM27" s="74" t="str">
        <f t="shared" si="131"/>
        <v/>
      </c>
    </row>
    <row r="28" spans="1:169" ht="28.5" customHeight="1" x14ac:dyDescent="0.3">
      <c r="A28" s="6"/>
      <c r="B28" s="25">
        <f>DATA!B26</f>
        <v>0</v>
      </c>
      <c r="C28" s="25" t="str">
        <f>IF(DATA!C26="","",DATA!C26)</f>
        <v/>
      </c>
      <c r="D28" s="25" t="str">
        <f>IF(DATA!D26="","",DATA!D26)</f>
        <v/>
      </c>
      <c r="E28" s="738" t="str">
        <f>IF(DATA!E26="","",DATA!E26)</f>
        <v/>
      </c>
      <c r="F28" s="738" t="str">
        <f>IF(DATA!F26="","",DATA!F26)</f>
        <v/>
      </c>
      <c r="G28" s="738" t="str">
        <f>IF(DATA!G26="","",DATA!G26)</f>
        <v/>
      </c>
      <c r="H28" s="214" t="str">
        <f>IF(DATA!H26="","",DATA!H26)</f>
        <v/>
      </c>
      <c r="I28" s="214" t="str">
        <f>IF(DATA!I26="","",DATA!I26)</f>
        <v/>
      </c>
      <c r="J28" s="214" t="str">
        <f>IF(DATA!J26="","",DATA!J26)</f>
        <v/>
      </c>
      <c r="K28" s="214" t="str">
        <f>IF(DATA!K26="","",DATA!K26)</f>
        <v/>
      </c>
      <c r="L28" s="73" t="str">
        <f>IF(ENGLISH!E28="","",ENGLISH!E28)</f>
        <v/>
      </c>
      <c r="M28" s="73" t="str">
        <f t="shared" si="41"/>
        <v/>
      </c>
      <c r="N28" s="73" t="str">
        <f>IF(ENGLISH!F28="","",ENGLISH!F28)</f>
        <v/>
      </c>
      <c r="O28" s="73" t="str">
        <f t="shared" si="42"/>
        <v/>
      </c>
      <c r="P28" s="73" t="str">
        <f>IF(ENGLISH!G28="","",ENGLISH!G28)</f>
        <v/>
      </c>
      <c r="Q28" s="73" t="str">
        <f t="shared" si="43"/>
        <v/>
      </c>
      <c r="R28" s="73" t="str">
        <f>IF(ENGLISH!H28="","",ENGLISH!H28)</f>
        <v/>
      </c>
      <c r="S28" s="73" t="str">
        <f>IF(ENGLISH!I28="","",ENGLISH!I28)</f>
        <v/>
      </c>
      <c r="T28" s="73" t="str">
        <f>IF(ENGLISH!J28="","",ENGLISH!J28)</f>
        <v/>
      </c>
      <c r="U28" s="73" t="str">
        <f>IF(ENGLISH!K28="","",ENGLISH!K28)</f>
        <v/>
      </c>
      <c r="V28" s="73" t="str">
        <f t="shared" si="44"/>
        <v/>
      </c>
      <c r="W28" s="81" t="str">
        <f>IF(ENGLISH!L28="","",ENGLISH!L28)</f>
        <v/>
      </c>
      <c r="X28" s="73" t="str">
        <f t="shared" si="45"/>
        <v/>
      </c>
      <c r="Y28" s="73" t="str">
        <f t="shared" si="46"/>
        <v/>
      </c>
      <c r="Z28" s="73" t="str">
        <f t="shared" si="47"/>
        <v/>
      </c>
      <c r="AA28" s="73" t="str">
        <f>IF(ENGLISH!O28="","",ENGLISH!O28*40/ENGLISH!$O$6)</f>
        <v/>
      </c>
      <c r="AB28" s="73" t="str">
        <f t="shared" si="48"/>
        <v/>
      </c>
      <c r="AC28" s="73" t="str">
        <f t="shared" si="49"/>
        <v/>
      </c>
      <c r="AD28" s="74" t="str">
        <f>IF(MATHS!E28="","",MATHS!E28)</f>
        <v/>
      </c>
      <c r="AE28" s="643" t="str">
        <f t="shared" si="50"/>
        <v/>
      </c>
      <c r="AF28" s="74" t="str">
        <f>IF(MATHS!F28="","",MATHS!F28)</f>
        <v/>
      </c>
      <c r="AG28" s="643" t="str">
        <f t="shared" si="51"/>
        <v/>
      </c>
      <c r="AH28" s="74" t="str">
        <f>IF(MATHS!G28="","",MATHS!G28)</f>
        <v/>
      </c>
      <c r="AI28" s="643" t="str">
        <f t="shared" si="52"/>
        <v/>
      </c>
      <c r="AJ28" s="75" t="str">
        <f t="shared" si="53"/>
        <v/>
      </c>
      <c r="AK28" s="75" t="str">
        <f t="shared" si="54"/>
        <v/>
      </c>
      <c r="AL28" s="75" t="str">
        <f t="shared" si="55"/>
        <v/>
      </c>
      <c r="AM28" s="75" t="str">
        <f>IF(MATHS!H28="","",MATHS!H28)</f>
        <v/>
      </c>
      <c r="AN28" s="75" t="str">
        <f>IF(MATHS!I28="","",MATHS!I28)</f>
        <v/>
      </c>
      <c r="AO28" s="75" t="str">
        <f>IF(MATHS!J28="","",MATHS!J28)</f>
        <v/>
      </c>
      <c r="AP28" s="75" t="str">
        <f t="shared" si="56"/>
        <v/>
      </c>
      <c r="AQ28" s="75" t="str">
        <f t="shared" si="57"/>
        <v/>
      </c>
      <c r="AR28" s="75" t="str">
        <f>IF(MATHS!K28="","",CEILING(MATHS!K28*$AR$6/MATHS!$K$6,1))</f>
        <v/>
      </c>
      <c r="AS28" s="76" t="str">
        <f t="shared" si="58"/>
        <v/>
      </c>
      <c r="AT28" s="76" t="str">
        <f t="shared" si="59"/>
        <v/>
      </c>
      <c r="AU28" s="76" t="str">
        <f>IF(MATHS!O28="","",MATHS!O28*$AU$6/MATHS!$O$6)</f>
        <v/>
      </c>
      <c r="AV28" s="76" t="str">
        <f t="shared" si="60"/>
        <v/>
      </c>
      <c r="AW28" s="76" t="str">
        <f t="shared" si="61"/>
        <v/>
      </c>
      <c r="AX28" s="73" t="str">
        <f>IF(PHYSICS!E29="","",PHYSICS!E29)</f>
        <v/>
      </c>
      <c r="AY28" s="644" t="str">
        <f t="shared" si="62"/>
        <v/>
      </c>
      <c r="AZ28" s="73" t="str">
        <f>IF(PHYSICS!F29="","",PHYSICS!F29)</f>
        <v/>
      </c>
      <c r="BA28" s="73" t="str">
        <f>IF(PHYSICS!G29="","",PHYSICS!G29)</f>
        <v/>
      </c>
      <c r="BB28" s="73" t="str">
        <f t="shared" si="63"/>
        <v/>
      </c>
      <c r="BC28" s="73" t="str">
        <f t="shared" si="64"/>
        <v/>
      </c>
      <c r="BD28" s="73" t="str">
        <f>IF(PHYSICS!H29="","",PHYSICS!H29)</f>
        <v/>
      </c>
      <c r="BE28" s="645" t="str">
        <f t="shared" si="65"/>
        <v/>
      </c>
      <c r="BF28" s="73" t="str">
        <f>IF(PHYSICS!I29="","",PHYSICS!I29)</f>
        <v/>
      </c>
      <c r="BG28" s="73" t="str">
        <f>IF(PHYSICS!J29="","",PHYSICS!J29)</f>
        <v/>
      </c>
      <c r="BH28" s="73" t="str">
        <f t="shared" si="66"/>
        <v/>
      </c>
      <c r="BI28" s="73" t="str">
        <f t="shared" si="67"/>
        <v/>
      </c>
      <c r="BJ28" s="73" t="str">
        <f t="shared" si="68"/>
        <v/>
      </c>
      <c r="BK28" s="73" t="str">
        <f t="shared" si="69"/>
        <v/>
      </c>
      <c r="BL28" s="73" t="str">
        <f t="shared" si="70"/>
        <v/>
      </c>
      <c r="BM28" s="73" t="str">
        <f t="shared" si="71"/>
        <v/>
      </c>
      <c r="BN28" s="73" t="str">
        <f>IF(PHYSICS!M29="","",PHYSICS!M29*$BN$6/PHYSICS!$M$7)</f>
        <v/>
      </c>
      <c r="BO28" s="73" t="str">
        <f t="shared" si="72"/>
        <v/>
      </c>
      <c r="BP28" s="73" t="str">
        <f t="shared" si="73"/>
        <v/>
      </c>
      <c r="BQ28" s="48" t="str">
        <f>IF(CHEMISTRY!E29="","",CHEMISTRY!E29)</f>
        <v/>
      </c>
      <c r="BR28" s="646" t="str">
        <f t="shared" si="74"/>
        <v/>
      </c>
      <c r="BS28" s="48" t="str">
        <f>IF(CHEMISTRY!F29="","",CHEMISTRY!F29)</f>
        <v/>
      </c>
      <c r="BT28" s="48" t="str">
        <f>IF(CHEMISTRY!G29="","",CHEMISTRY!G29)</f>
        <v/>
      </c>
      <c r="BU28" s="48" t="str">
        <f t="shared" si="75"/>
        <v/>
      </c>
      <c r="BV28" s="48" t="str">
        <f t="shared" si="76"/>
        <v/>
      </c>
      <c r="BW28" s="48" t="str">
        <f>IF(CHEMISTRY!H29="","",CHEMISTRY!H29)</f>
        <v/>
      </c>
      <c r="BX28" s="646" t="str">
        <f t="shared" si="77"/>
        <v/>
      </c>
      <c r="BY28" s="48" t="str">
        <f>IF(CHEMISTRY!I29="","",CHEMISTRY!I29)</f>
        <v/>
      </c>
      <c r="BZ28" s="48" t="str">
        <f>IF(CHEMISTRY!J29="","",CHEMISTRY!J29)</f>
        <v/>
      </c>
      <c r="CA28" s="48" t="str">
        <f t="shared" si="78"/>
        <v/>
      </c>
      <c r="CB28" s="48" t="str">
        <f t="shared" si="79"/>
        <v/>
      </c>
      <c r="CC28" s="48" t="str">
        <f t="shared" si="80"/>
        <v/>
      </c>
      <c r="CD28" s="48" t="str">
        <f t="shared" si="81"/>
        <v/>
      </c>
      <c r="CE28" s="48" t="str">
        <f t="shared" si="82"/>
        <v/>
      </c>
      <c r="CF28" s="48" t="str">
        <f t="shared" si="83"/>
        <v/>
      </c>
      <c r="CG28" s="48" t="str">
        <f>IF(CHEMISTRY!M29="","",CHEMISTRY!M29*$CG$6/CHEMISTRY!$M$7)</f>
        <v/>
      </c>
      <c r="CH28" s="48" t="str">
        <f t="shared" si="84"/>
        <v/>
      </c>
      <c r="CI28" s="48" t="str">
        <f t="shared" si="85"/>
        <v/>
      </c>
      <c r="CJ28" s="73" t="str">
        <f>IF(BIOLOGY!E29="","",BIOLOGY!E29)</f>
        <v/>
      </c>
      <c r="CK28" s="73" t="str">
        <f t="shared" si="86"/>
        <v/>
      </c>
      <c r="CL28" s="73" t="str">
        <f>IF(BIOLOGY!F29="","",BIOLOGY!F29)</f>
        <v/>
      </c>
      <c r="CM28" s="73" t="str">
        <f>IF(BIOLOGY!G29="","",BIOLOGY!G29)</f>
        <v/>
      </c>
      <c r="CN28" s="73" t="str">
        <f t="shared" si="87"/>
        <v/>
      </c>
      <c r="CO28" s="73" t="str">
        <f t="shared" si="88"/>
        <v/>
      </c>
      <c r="CP28" s="73" t="str">
        <f>IF(BIOLOGY!H29="","",BIOLOGY!H29)</f>
        <v/>
      </c>
      <c r="CQ28" s="73" t="str">
        <f t="shared" si="89"/>
        <v/>
      </c>
      <c r="CR28" s="73" t="str">
        <f>IF(BIOLOGY!I29="","",BIOLOGY!I29)</f>
        <v/>
      </c>
      <c r="CS28" s="73" t="str">
        <f>IF(BIOLOGY!J29="","",BIOLOGY!J29)</f>
        <v/>
      </c>
      <c r="CT28" s="73" t="str">
        <f t="shared" si="90"/>
        <v/>
      </c>
      <c r="CU28" s="73" t="str">
        <f t="shared" si="91"/>
        <v/>
      </c>
      <c r="CV28" s="73" t="str">
        <f t="shared" si="92"/>
        <v/>
      </c>
      <c r="CW28" s="73" t="str">
        <f t="shared" si="93"/>
        <v/>
      </c>
      <c r="CX28" s="73" t="str">
        <f t="shared" si="94"/>
        <v/>
      </c>
      <c r="CY28" s="73" t="str">
        <f t="shared" si="95"/>
        <v/>
      </c>
      <c r="CZ28" s="73" t="str">
        <f>IF(BIOLOGY!M29="","",CEILING((BIOLOGY!M29*$CZ$6/BIOLOGY!$M$7),1))</f>
        <v/>
      </c>
      <c r="DA28" s="73" t="str">
        <f t="shared" si="96"/>
        <v/>
      </c>
      <c r="DB28" s="73" t="str">
        <f t="shared" si="97"/>
        <v/>
      </c>
      <c r="DC28" s="76" t="str">
        <f>IF('PHY EDU '!E29="","",'PHY EDU '!E29)</f>
        <v/>
      </c>
      <c r="DD28" s="647" t="str">
        <f t="shared" si="98"/>
        <v/>
      </c>
      <c r="DE28" s="76" t="str">
        <f>IF('PHY EDU '!F29="","",'PHY EDU '!F29)</f>
        <v/>
      </c>
      <c r="DF28" s="76" t="str">
        <f>IF('PHY EDU '!G29="","",'PHY EDU '!G29)</f>
        <v/>
      </c>
      <c r="DG28" s="76" t="str">
        <f t="shared" si="99"/>
        <v/>
      </c>
      <c r="DH28" s="76" t="str">
        <f t="shared" si="100"/>
        <v/>
      </c>
      <c r="DI28" s="76" t="str">
        <f>IF('PHY EDU '!H29="","",'PHY EDU '!H29)</f>
        <v/>
      </c>
      <c r="DJ28" s="647" t="str">
        <f t="shared" si="101"/>
        <v/>
      </c>
      <c r="DK28" s="76" t="str">
        <f>IF('PHY EDU '!I29="","",'PHY EDU '!I29)</f>
        <v/>
      </c>
      <c r="DL28" s="76" t="str">
        <f>IF('PHY EDU '!J29="","",'PHY EDU '!J29)</f>
        <v/>
      </c>
      <c r="DM28" s="76" t="str">
        <f t="shared" si="102"/>
        <v/>
      </c>
      <c r="DN28" s="76" t="str">
        <f t="shared" si="103"/>
        <v/>
      </c>
      <c r="DO28" s="76" t="str">
        <f t="shared" si="104"/>
        <v/>
      </c>
      <c r="DP28" s="76" t="str">
        <f t="shared" si="105"/>
        <v/>
      </c>
      <c r="DQ28" s="76" t="str">
        <f t="shared" si="106"/>
        <v/>
      </c>
      <c r="DR28" s="76" t="str">
        <f t="shared" si="107"/>
        <v/>
      </c>
      <c r="DS28" s="76" t="str">
        <f>IF('PHY EDU '!M29="","",ROUNDUP('PHY EDU '!M29*$DS$6/'PHY EDU '!$M$7,0))</f>
        <v/>
      </c>
      <c r="DT28" s="76" t="str">
        <f t="shared" si="108"/>
        <v/>
      </c>
      <c r="DU28" s="76" t="str">
        <f t="shared" si="109"/>
        <v/>
      </c>
      <c r="DV28" s="72" t="str">
        <f t="shared" si="20"/>
        <v/>
      </c>
      <c r="DW28" s="72" t="str">
        <f t="shared" si="21"/>
        <v/>
      </c>
      <c r="DX28" s="72" t="str">
        <f t="shared" si="22"/>
        <v/>
      </c>
      <c r="DY28" s="72" t="str">
        <f t="shared" si="23"/>
        <v/>
      </c>
      <c r="DZ28" s="72" t="str">
        <f t="shared" si="24"/>
        <v/>
      </c>
      <c r="EA28" s="72" t="str">
        <f t="shared" si="25"/>
        <v/>
      </c>
      <c r="EB28" s="76" t="str">
        <f t="shared" si="26"/>
        <v/>
      </c>
      <c r="EC28" s="76" t="str">
        <f t="shared" si="27"/>
        <v/>
      </c>
      <c r="ED28" s="76" t="str">
        <f t="shared" si="28"/>
        <v/>
      </c>
      <c r="EE28" s="76" t="str">
        <f t="shared" si="29"/>
        <v/>
      </c>
      <c r="EF28" s="76" t="str">
        <f t="shared" si="30"/>
        <v/>
      </c>
      <c r="EG28" s="76" t="str">
        <f t="shared" si="31"/>
        <v/>
      </c>
      <c r="EH28" s="77" t="str">
        <f t="shared" si="32"/>
        <v/>
      </c>
      <c r="EI28" s="495" t="str">
        <f t="shared" si="110"/>
        <v/>
      </c>
      <c r="EJ28" s="86" t="str">
        <f t="shared" si="111"/>
        <v/>
      </c>
      <c r="EK28" s="78" t="str">
        <f t="shared" si="33"/>
        <v/>
      </c>
      <c r="EL28" s="79" t="str">
        <f t="shared" si="112"/>
        <v/>
      </c>
      <c r="EM28" s="139" t="str">
        <f t="shared" si="34"/>
        <v/>
      </c>
      <c r="EN28" s="77" t="str">
        <f t="shared" si="113"/>
        <v/>
      </c>
      <c r="EO28" s="77" t="str">
        <f>IF(EN28="","",ATTENDANCE!Q29&amp;"/"&amp;ATTENDANCE!$Q$7)</f>
        <v/>
      </c>
      <c r="EP28" s="80" t="str">
        <f t="shared" si="35"/>
        <v/>
      </c>
      <c r="EQ28" s="80" t="str">
        <f t="shared" si="114"/>
        <v/>
      </c>
      <c r="ER28" s="80" t="str">
        <f t="shared" si="115"/>
        <v/>
      </c>
      <c r="ES28" s="80" t="str">
        <f t="shared" si="116"/>
        <v/>
      </c>
      <c r="ET28" s="80" t="str">
        <f t="shared" si="117"/>
        <v/>
      </c>
      <c r="EU28" s="80" t="str">
        <f t="shared" si="118"/>
        <v/>
      </c>
      <c r="EV28" s="492" t="str">
        <f t="shared" si="119"/>
        <v/>
      </c>
      <c r="EW28" s="129" t="str">
        <f t="shared" si="36"/>
        <v/>
      </c>
      <c r="EX28" s="129" t="str">
        <f t="shared" si="120"/>
        <v/>
      </c>
      <c r="EY28" s="129" t="str">
        <f t="shared" si="121"/>
        <v/>
      </c>
      <c r="EZ28" s="129" t="str">
        <f t="shared" si="122"/>
        <v/>
      </c>
      <c r="FA28" s="129" t="str">
        <f t="shared" si="123"/>
        <v/>
      </c>
      <c r="FB28" s="129" t="str">
        <f t="shared" si="124"/>
        <v/>
      </c>
      <c r="FC28" s="80" t="str">
        <f t="shared" si="37"/>
        <v/>
      </c>
      <c r="FD28" s="80" t="str">
        <f t="shared" si="38"/>
        <v/>
      </c>
      <c r="FE28" s="80" t="str">
        <f t="shared" si="39"/>
        <v/>
      </c>
      <c r="FF28" s="488" t="str">
        <f t="shared" si="125"/>
        <v/>
      </c>
      <c r="FG28" s="80" t="str">
        <f t="shared" si="126"/>
        <v/>
      </c>
      <c r="FH28" s="80" t="str">
        <f t="shared" si="127"/>
        <v/>
      </c>
      <c r="FI28" s="496" t="str">
        <f t="shared" si="128"/>
        <v/>
      </c>
      <c r="FJ28" s="140" t="str">
        <f t="shared" si="40"/>
        <v/>
      </c>
      <c r="FK28" s="492" t="str">
        <f t="shared" si="129"/>
        <v/>
      </c>
      <c r="FL28" s="490" t="str">
        <f t="shared" si="130"/>
        <v/>
      </c>
      <c r="FM28" s="74" t="str">
        <f t="shared" si="131"/>
        <v/>
      </c>
    </row>
    <row r="29" spans="1:169" ht="28.5" customHeight="1" x14ac:dyDescent="0.3">
      <c r="A29" s="6"/>
      <c r="B29" s="25">
        <f>DATA!B27</f>
        <v>0</v>
      </c>
      <c r="C29" s="25" t="str">
        <f>IF(DATA!C27="","",DATA!C27)</f>
        <v/>
      </c>
      <c r="D29" s="25" t="str">
        <f>IF(DATA!D27="","",DATA!D27)</f>
        <v/>
      </c>
      <c r="E29" s="738" t="str">
        <f>IF(DATA!E27="","",DATA!E27)</f>
        <v/>
      </c>
      <c r="F29" s="738" t="str">
        <f>IF(DATA!F27="","",DATA!F27)</f>
        <v/>
      </c>
      <c r="G29" s="738" t="str">
        <f>IF(DATA!G27="","",DATA!G27)</f>
        <v/>
      </c>
      <c r="H29" s="214" t="str">
        <f>IF(DATA!H27="","",DATA!H27)</f>
        <v/>
      </c>
      <c r="I29" s="214" t="str">
        <f>IF(DATA!I27="","",DATA!I27)</f>
        <v/>
      </c>
      <c r="J29" s="214" t="str">
        <f>IF(DATA!J27="","",DATA!J27)</f>
        <v/>
      </c>
      <c r="K29" s="214" t="str">
        <f>IF(DATA!K27="","",DATA!K27)</f>
        <v/>
      </c>
      <c r="L29" s="73" t="str">
        <f>IF(ENGLISH!E29="","",ENGLISH!E29)</f>
        <v/>
      </c>
      <c r="M29" s="73" t="str">
        <f t="shared" si="41"/>
        <v/>
      </c>
      <c r="N29" s="73" t="str">
        <f>IF(ENGLISH!F29="","",ENGLISH!F29)</f>
        <v/>
      </c>
      <c r="O29" s="73" t="str">
        <f t="shared" si="42"/>
        <v/>
      </c>
      <c r="P29" s="73" t="str">
        <f>IF(ENGLISH!G29="","",ENGLISH!G29)</f>
        <v/>
      </c>
      <c r="Q29" s="73" t="str">
        <f t="shared" si="43"/>
        <v/>
      </c>
      <c r="R29" s="73" t="str">
        <f>IF(ENGLISH!H29="","",ENGLISH!H29)</f>
        <v/>
      </c>
      <c r="S29" s="73" t="str">
        <f>IF(ENGLISH!I29="","",ENGLISH!I29)</f>
        <v/>
      </c>
      <c r="T29" s="73" t="str">
        <f>IF(ENGLISH!J29="","",ENGLISH!J29)</f>
        <v/>
      </c>
      <c r="U29" s="73" t="str">
        <f>IF(ENGLISH!K29="","",ENGLISH!K29)</f>
        <v/>
      </c>
      <c r="V29" s="73" t="str">
        <f t="shared" si="44"/>
        <v/>
      </c>
      <c r="W29" s="81" t="str">
        <f>IF(ENGLISH!L29="","",ENGLISH!L29)</f>
        <v/>
      </c>
      <c r="X29" s="73" t="str">
        <f t="shared" si="45"/>
        <v/>
      </c>
      <c r="Y29" s="73" t="str">
        <f t="shared" si="46"/>
        <v/>
      </c>
      <c r="Z29" s="73" t="str">
        <f t="shared" si="47"/>
        <v/>
      </c>
      <c r="AA29" s="73" t="str">
        <f>IF(ENGLISH!O29="","",ENGLISH!O29*40/ENGLISH!$O$6)</f>
        <v/>
      </c>
      <c r="AB29" s="73" t="str">
        <f t="shared" si="48"/>
        <v/>
      </c>
      <c r="AC29" s="73" t="str">
        <f t="shared" si="49"/>
        <v/>
      </c>
      <c r="AD29" s="74" t="str">
        <f>IF(MATHS!E29="","",MATHS!E29)</f>
        <v/>
      </c>
      <c r="AE29" s="643" t="str">
        <f t="shared" si="50"/>
        <v/>
      </c>
      <c r="AF29" s="74" t="str">
        <f>IF(MATHS!F29="","",MATHS!F29)</f>
        <v/>
      </c>
      <c r="AG29" s="643" t="str">
        <f t="shared" si="51"/>
        <v/>
      </c>
      <c r="AH29" s="74" t="str">
        <f>IF(MATHS!G29="","",MATHS!G29)</f>
        <v/>
      </c>
      <c r="AI29" s="643" t="str">
        <f t="shared" si="52"/>
        <v/>
      </c>
      <c r="AJ29" s="75" t="str">
        <f t="shared" si="53"/>
        <v/>
      </c>
      <c r="AK29" s="75" t="str">
        <f t="shared" si="54"/>
        <v/>
      </c>
      <c r="AL29" s="75" t="str">
        <f t="shared" si="55"/>
        <v/>
      </c>
      <c r="AM29" s="75" t="str">
        <f>IF(MATHS!H29="","",MATHS!H29)</f>
        <v/>
      </c>
      <c r="AN29" s="75" t="str">
        <f>IF(MATHS!I29="","",MATHS!I29)</f>
        <v/>
      </c>
      <c r="AO29" s="75" t="str">
        <f>IF(MATHS!J29="","",MATHS!J29)</f>
        <v/>
      </c>
      <c r="AP29" s="75" t="str">
        <f t="shared" si="56"/>
        <v/>
      </c>
      <c r="AQ29" s="75" t="str">
        <f t="shared" si="57"/>
        <v/>
      </c>
      <c r="AR29" s="75" t="str">
        <f>IF(MATHS!K29="","",CEILING(MATHS!K29*$AR$6/MATHS!$K$6,1))</f>
        <v/>
      </c>
      <c r="AS29" s="76" t="str">
        <f t="shared" si="58"/>
        <v/>
      </c>
      <c r="AT29" s="76" t="str">
        <f t="shared" si="59"/>
        <v/>
      </c>
      <c r="AU29" s="76" t="str">
        <f>IF(MATHS!O29="","",MATHS!O29*$AU$6/MATHS!$O$6)</f>
        <v/>
      </c>
      <c r="AV29" s="76" t="str">
        <f t="shared" si="60"/>
        <v/>
      </c>
      <c r="AW29" s="76" t="str">
        <f t="shared" si="61"/>
        <v/>
      </c>
      <c r="AX29" s="73" t="str">
        <f>IF(PHYSICS!E30="","",PHYSICS!E30)</f>
        <v/>
      </c>
      <c r="AY29" s="644" t="str">
        <f t="shared" si="62"/>
        <v/>
      </c>
      <c r="AZ29" s="73" t="str">
        <f>IF(PHYSICS!F30="","",PHYSICS!F30)</f>
        <v/>
      </c>
      <c r="BA29" s="73" t="str">
        <f>IF(PHYSICS!G30="","",PHYSICS!G30)</f>
        <v/>
      </c>
      <c r="BB29" s="73" t="str">
        <f t="shared" si="63"/>
        <v/>
      </c>
      <c r="BC29" s="73" t="str">
        <f t="shared" si="64"/>
        <v/>
      </c>
      <c r="BD29" s="73" t="str">
        <f>IF(PHYSICS!H30="","",PHYSICS!H30)</f>
        <v/>
      </c>
      <c r="BE29" s="645" t="str">
        <f t="shared" si="65"/>
        <v/>
      </c>
      <c r="BF29" s="73" t="str">
        <f>IF(PHYSICS!I30="","",PHYSICS!I30)</f>
        <v/>
      </c>
      <c r="BG29" s="73" t="str">
        <f>IF(PHYSICS!J30="","",PHYSICS!J30)</f>
        <v/>
      </c>
      <c r="BH29" s="73" t="str">
        <f t="shared" si="66"/>
        <v/>
      </c>
      <c r="BI29" s="73" t="str">
        <f t="shared" si="67"/>
        <v/>
      </c>
      <c r="BJ29" s="73" t="str">
        <f t="shared" si="68"/>
        <v/>
      </c>
      <c r="BK29" s="73" t="str">
        <f t="shared" si="69"/>
        <v/>
      </c>
      <c r="BL29" s="73" t="str">
        <f t="shared" si="70"/>
        <v/>
      </c>
      <c r="BM29" s="73" t="str">
        <f t="shared" si="71"/>
        <v/>
      </c>
      <c r="BN29" s="73" t="str">
        <f>IF(PHYSICS!M30="","",PHYSICS!M30*$BN$6/PHYSICS!$M$7)</f>
        <v/>
      </c>
      <c r="BO29" s="73" t="str">
        <f t="shared" si="72"/>
        <v/>
      </c>
      <c r="BP29" s="73" t="str">
        <f t="shared" si="73"/>
        <v/>
      </c>
      <c r="BQ29" s="48" t="str">
        <f>IF(CHEMISTRY!E30="","",CHEMISTRY!E30)</f>
        <v/>
      </c>
      <c r="BR29" s="646" t="str">
        <f t="shared" si="74"/>
        <v/>
      </c>
      <c r="BS29" s="48" t="str">
        <f>IF(CHEMISTRY!F30="","",CHEMISTRY!F30)</f>
        <v/>
      </c>
      <c r="BT29" s="48" t="str">
        <f>IF(CHEMISTRY!G30="","",CHEMISTRY!G30)</f>
        <v/>
      </c>
      <c r="BU29" s="48" t="str">
        <f t="shared" si="75"/>
        <v/>
      </c>
      <c r="BV29" s="48" t="str">
        <f t="shared" si="76"/>
        <v/>
      </c>
      <c r="BW29" s="48" t="str">
        <f>IF(CHEMISTRY!H30="","",CHEMISTRY!H30)</f>
        <v/>
      </c>
      <c r="BX29" s="646" t="str">
        <f t="shared" si="77"/>
        <v/>
      </c>
      <c r="BY29" s="48" t="str">
        <f>IF(CHEMISTRY!I30="","",CHEMISTRY!I30)</f>
        <v/>
      </c>
      <c r="BZ29" s="48" t="str">
        <f>IF(CHEMISTRY!J30="","",CHEMISTRY!J30)</f>
        <v/>
      </c>
      <c r="CA29" s="48" t="str">
        <f t="shared" si="78"/>
        <v/>
      </c>
      <c r="CB29" s="48" t="str">
        <f t="shared" si="79"/>
        <v/>
      </c>
      <c r="CC29" s="48" t="str">
        <f t="shared" si="80"/>
        <v/>
      </c>
      <c r="CD29" s="48" t="str">
        <f t="shared" si="81"/>
        <v/>
      </c>
      <c r="CE29" s="48" t="str">
        <f t="shared" si="82"/>
        <v/>
      </c>
      <c r="CF29" s="48" t="str">
        <f t="shared" si="83"/>
        <v/>
      </c>
      <c r="CG29" s="48" t="str">
        <f>IF(CHEMISTRY!M30="","",CHEMISTRY!M30*$CG$6/CHEMISTRY!$M$7)</f>
        <v/>
      </c>
      <c r="CH29" s="48" t="str">
        <f t="shared" si="84"/>
        <v/>
      </c>
      <c r="CI29" s="48" t="str">
        <f t="shared" si="85"/>
        <v/>
      </c>
      <c r="CJ29" s="73" t="str">
        <f>IF(BIOLOGY!E30="","",BIOLOGY!E30)</f>
        <v/>
      </c>
      <c r="CK29" s="73" t="str">
        <f t="shared" si="86"/>
        <v/>
      </c>
      <c r="CL29" s="73" t="str">
        <f>IF(BIOLOGY!F30="","",BIOLOGY!F30)</f>
        <v/>
      </c>
      <c r="CM29" s="73" t="str">
        <f>IF(BIOLOGY!G30="","",BIOLOGY!G30)</f>
        <v/>
      </c>
      <c r="CN29" s="73" t="str">
        <f t="shared" si="87"/>
        <v/>
      </c>
      <c r="CO29" s="73" t="str">
        <f t="shared" si="88"/>
        <v/>
      </c>
      <c r="CP29" s="73" t="str">
        <f>IF(BIOLOGY!H30="","",BIOLOGY!H30)</f>
        <v/>
      </c>
      <c r="CQ29" s="73" t="str">
        <f t="shared" si="89"/>
        <v/>
      </c>
      <c r="CR29" s="73" t="str">
        <f>IF(BIOLOGY!I30="","",BIOLOGY!I30)</f>
        <v/>
      </c>
      <c r="CS29" s="73" t="str">
        <f>IF(BIOLOGY!J30="","",BIOLOGY!J30)</f>
        <v/>
      </c>
      <c r="CT29" s="73" t="str">
        <f t="shared" si="90"/>
        <v/>
      </c>
      <c r="CU29" s="73" t="str">
        <f t="shared" si="91"/>
        <v/>
      </c>
      <c r="CV29" s="73" t="str">
        <f t="shared" si="92"/>
        <v/>
      </c>
      <c r="CW29" s="73" t="str">
        <f t="shared" si="93"/>
        <v/>
      </c>
      <c r="CX29" s="73" t="str">
        <f t="shared" si="94"/>
        <v/>
      </c>
      <c r="CY29" s="73" t="str">
        <f t="shared" si="95"/>
        <v/>
      </c>
      <c r="CZ29" s="73" t="str">
        <f>IF(BIOLOGY!M30="","",CEILING((BIOLOGY!M30*$CZ$6/BIOLOGY!$M$7),1))</f>
        <v/>
      </c>
      <c r="DA29" s="73" t="str">
        <f t="shared" si="96"/>
        <v/>
      </c>
      <c r="DB29" s="73" t="str">
        <f t="shared" si="97"/>
        <v/>
      </c>
      <c r="DC29" s="76" t="str">
        <f>IF('PHY EDU '!E30="","",'PHY EDU '!E30)</f>
        <v/>
      </c>
      <c r="DD29" s="647" t="str">
        <f t="shared" si="98"/>
        <v/>
      </c>
      <c r="DE29" s="76" t="str">
        <f>IF('PHY EDU '!F30="","",'PHY EDU '!F30)</f>
        <v/>
      </c>
      <c r="DF29" s="76" t="str">
        <f>IF('PHY EDU '!G30="","",'PHY EDU '!G30)</f>
        <v/>
      </c>
      <c r="DG29" s="76" t="str">
        <f t="shared" si="99"/>
        <v/>
      </c>
      <c r="DH29" s="76" t="str">
        <f t="shared" si="100"/>
        <v/>
      </c>
      <c r="DI29" s="76" t="str">
        <f>IF('PHY EDU '!H30="","",'PHY EDU '!H30)</f>
        <v/>
      </c>
      <c r="DJ29" s="647" t="str">
        <f t="shared" si="101"/>
        <v/>
      </c>
      <c r="DK29" s="76" t="str">
        <f>IF('PHY EDU '!I30="","",'PHY EDU '!I30)</f>
        <v/>
      </c>
      <c r="DL29" s="76" t="str">
        <f>IF('PHY EDU '!J30="","",'PHY EDU '!J30)</f>
        <v/>
      </c>
      <c r="DM29" s="76" t="str">
        <f t="shared" si="102"/>
        <v/>
      </c>
      <c r="DN29" s="76" t="str">
        <f t="shared" si="103"/>
        <v/>
      </c>
      <c r="DO29" s="76" t="str">
        <f t="shared" si="104"/>
        <v/>
      </c>
      <c r="DP29" s="76" t="str">
        <f t="shared" si="105"/>
        <v/>
      </c>
      <c r="DQ29" s="76" t="str">
        <f t="shared" si="106"/>
        <v/>
      </c>
      <c r="DR29" s="76" t="str">
        <f t="shared" si="107"/>
        <v/>
      </c>
      <c r="DS29" s="76" t="str">
        <f>IF('PHY EDU '!M30="","",ROUNDUP('PHY EDU '!M30*$DS$6/'PHY EDU '!$M$7,0))</f>
        <v/>
      </c>
      <c r="DT29" s="76" t="str">
        <f t="shared" si="108"/>
        <v/>
      </c>
      <c r="DU29" s="76" t="str">
        <f t="shared" si="109"/>
        <v/>
      </c>
      <c r="DV29" s="72" t="str">
        <f t="shared" si="20"/>
        <v/>
      </c>
      <c r="DW29" s="72" t="str">
        <f t="shared" si="21"/>
        <v/>
      </c>
      <c r="DX29" s="72" t="str">
        <f t="shared" si="22"/>
        <v/>
      </c>
      <c r="DY29" s="72" t="str">
        <f t="shared" si="23"/>
        <v/>
      </c>
      <c r="DZ29" s="72" t="str">
        <f t="shared" si="24"/>
        <v/>
      </c>
      <c r="EA29" s="72" t="str">
        <f t="shared" si="25"/>
        <v/>
      </c>
      <c r="EB29" s="76" t="str">
        <f t="shared" si="26"/>
        <v/>
      </c>
      <c r="EC29" s="76" t="str">
        <f t="shared" si="27"/>
        <v/>
      </c>
      <c r="ED29" s="76" t="str">
        <f t="shared" si="28"/>
        <v/>
      </c>
      <c r="EE29" s="76" t="str">
        <f t="shared" si="29"/>
        <v/>
      </c>
      <c r="EF29" s="76" t="str">
        <f t="shared" si="30"/>
        <v/>
      </c>
      <c r="EG29" s="76" t="str">
        <f t="shared" si="31"/>
        <v/>
      </c>
      <c r="EH29" s="77" t="str">
        <f t="shared" si="32"/>
        <v/>
      </c>
      <c r="EI29" s="495" t="str">
        <f t="shared" si="110"/>
        <v/>
      </c>
      <c r="EJ29" s="86" t="str">
        <f t="shared" si="111"/>
        <v/>
      </c>
      <c r="EK29" s="78" t="str">
        <f t="shared" si="33"/>
        <v/>
      </c>
      <c r="EL29" s="79" t="str">
        <f t="shared" si="112"/>
        <v/>
      </c>
      <c r="EM29" s="139" t="str">
        <f t="shared" si="34"/>
        <v/>
      </c>
      <c r="EN29" s="77" t="str">
        <f t="shared" si="113"/>
        <v/>
      </c>
      <c r="EO29" s="77" t="str">
        <f>IF(EN29="","",ATTENDANCE!Q30&amp;"/"&amp;ATTENDANCE!$Q$7)</f>
        <v/>
      </c>
      <c r="EP29" s="80" t="str">
        <f t="shared" si="35"/>
        <v/>
      </c>
      <c r="EQ29" s="80" t="str">
        <f t="shared" si="114"/>
        <v/>
      </c>
      <c r="ER29" s="80" t="str">
        <f t="shared" si="115"/>
        <v/>
      </c>
      <c r="ES29" s="80" t="str">
        <f t="shared" si="116"/>
        <v/>
      </c>
      <c r="ET29" s="80" t="str">
        <f t="shared" si="117"/>
        <v/>
      </c>
      <c r="EU29" s="80" t="str">
        <f t="shared" si="118"/>
        <v/>
      </c>
      <c r="EV29" s="492" t="str">
        <f t="shared" si="119"/>
        <v/>
      </c>
      <c r="EW29" s="129" t="str">
        <f t="shared" si="36"/>
        <v/>
      </c>
      <c r="EX29" s="129" t="str">
        <f t="shared" si="120"/>
        <v/>
      </c>
      <c r="EY29" s="129" t="str">
        <f t="shared" si="121"/>
        <v/>
      </c>
      <c r="EZ29" s="129" t="str">
        <f t="shared" si="122"/>
        <v/>
      </c>
      <c r="FA29" s="129" t="str">
        <f t="shared" si="123"/>
        <v/>
      </c>
      <c r="FB29" s="129" t="str">
        <f t="shared" si="124"/>
        <v/>
      </c>
      <c r="FC29" s="80" t="str">
        <f t="shared" si="37"/>
        <v/>
      </c>
      <c r="FD29" s="80" t="str">
        <f t="shared" si="38"/>
        <v/>
      </c>
      <c r="FE29" s="80" t="str">
        <f t="shared" si="39"/>
        <v/>
      </c>
      <c r="FF29" s="488" t="str">
        <f t="shared" si="125"/>
        <v/>
      </c>
      <c r="FG29" s="80" t="str">
        <f t="shared" si="126"/>
        <v/>
      </c>
      <c r="FH29" s="80" t="str">
        <f t="shared" si="127"/>
        <v/>
      </c>
      <c r="FI29" s="496" t="str">
        <f t="shared" si="128"/>
        <v/>
      </c>
      <c r="FJ29" s="140" t="str">
        <f t="shared" si="40"/>
        <v/>
      </c>
      <c r="FK29" s="492" t="str">
        <f t="shared" si="129"/>
        <v/>
      </c>
      <c r="FL29" s="490" t="str">
        <f t="shared" si="130"/>
        <v/>
      </c>
      <c r="FM29" s="74" t="str">
        <f t="shared" si="131"/>
        <v/>
      </c>
    </row>
    <row r="30" spans="1:169" ht="16.8" x14ac:dyDescent="0.3">
      <c r="A30" s="6"/>
      <c r="B30" s="25">
        <f>DATA!B28</f>
        <v>0</v>
      </c>
      <c r="C30" s="25" t="str">
        <f>IF(DATA!C28="","",DATA!C28)</f>
        <v/>
      </c>
      <c r="D30" s="25" t="str">
        <f>IF(DATA!D28="","",DATA!D28)</f>
        <v/>
      </c>
      <c r="E30" s="738" t="str">
        <f>IF(DATA!E28="","",DATA!E28)</f>
        <v/>
      </c>
      <c r="F30" s="738" t="str">
        <f>IF(DATA!F28="","",DATA!F28)</f>
        <v/>
      </c>
      <c r="G30" s="738" t="str">
        <f>IF(DATA!G28="","",DATA!G28)</f>
        <v/>
      </c>
      <c r="H30" s="214" t="str">
        <f>IF(DATA!H28="","",DATA!H28)</f>
        <v/>
      </c>
      <c r="I30" s="214" t="str">
        <f>IF(DATA!I28="","",DATA!I28)</f>
        <v/>
      </c>
      <c r="J30" s="214" t="str">
        <f>IF(DATA!J28="","",DATA!J28)</f>
        <v/>
      </c>
      <c r="K30" s="214" t="str">
        <f>IF(DATA!K28="","",DATA!K28)</f>
        <v/>
      </c>
      <c r="L30" s="73" t="str">
        <f>IF(ENGLISH!E30="","",ENGLISH!E30)</f>
        <v/>
      </c>
      <c r="M30" s="73" t="str">
        <f t="shared" si="41"/>
        <v/>
      </c>
      <c r="N30" s="73" t="str">
        <f>IF(ENGLISH!F30="","",ENGLISH!F30)</f>
        <v/>
      </c>
      <c r="O30" s="73" t="str">
        <f t="shared" si="42"/>
        <v/>
      </c>
      <c r="P30" s="73" t="str">
        <f>IF(ENGLISH!G30="","",ENGLISH!G30)</f>
        <v/>
      </c>
      <c r="Q30" s="73" t="str">
        <f t="shared" si="43"/>
        <v/>
      </c>
      <c r="R30" s="73" t="str">
        <f>IF(ENGLISH!H30="","",ENGLISH!H30)</f>
        <v/>
      </c>
      <c r="S30" s="73" t="str">
        <f>IF(ENGLISH!I30="","",ENGLISH!I30)</f>
        <v/>
      </c>
      <c r="T30" s="73" t="str">
        <f>IF(ENGLISH!J30="","",ENGLISH!J30)</f>
        <v/>
      </c>
      <c r="U30" s="73" t="str">
        <f>IF(ENGLISH!K30="","",ENGLISH!K30)</f>
        <v/>
      </c>
      <c r="V30" s="73" t="str">
        <f t="shared" si="44"/>
        <v/>
      </c>
      <c r="W30" s="81" t="str">
        <f>IF(ENGLISH!L30="","",ENGLISH!L30)</f>
        <v/>
      </c>
      <c r="X30" s="73" t="str">
        <f t="shared" si="45"/>
        <v/>
      </c>
      <c r="Y30" s="73" t="str">
        <f t="shared" si="46"/>
        <v/>
      </c>
      <c r="Z30" s="73" t="str">
        <f t="shared" si="47"/>
        <v/>
      </c>
      <c r="AA30" s="73" t="str">
        <f>IF(ENGLISH!O30="","",ENGLISH!O30*40/ENGLISH!$O$6)</f>
        <v/>
      </c>
      <c r="AB30" s="73" t="str">
        <f t="shared" si="48"/>
        <v/>
      </c>
      <c r="AC30" s="73" t="str">
        <f t="shared" si="49"/>
        <v/>
      </c>
      <c r="AD30" s="74" t="str">
        <f>IF(MATHS!E30="","",MATHS!E30)</f>
        <v/>
      </c>
      <c r="AE30" s="643" t="str">
        <f t="shared" si="50"/>
        <v/>
      </c>
      <c r="AF30" s="74" t="str">
        <f>IF(MATHS!F30="","",MATHS!F30)</f>
        <v/>
      </c>
      <c r="AG30" s="643" t="str">
        <f t="shared" si="51"/>
        <v/>
      </c>
      <c r="AH30" s="74" t="str">
        <f>IF(MATHS!G30="","",MATHS!G30)</f>
        <v/>
      </c>
      <c r="AI30" s="643" t="str">
        <f t="shared" si="52"/>
        <v/>
      </c>
      <c r="AJ30" s="75" t="str">
        <f t="shared" si="53"/>
        <v/>
      </c>
      <c r="AK30" s="75" t="str">
        <f t="shared" si="54"/>
        <v/>
      </c>
      <c r="AL30" s="75" t="str">
        <f t="shared" si="55"/>
        <v/>
      </c>
      <c r="AM30" s="75" t="str">
        <f>IF(MATHS!H30="","",MATHS!H30)</f>
        <v/>
      </c>
      <c r="AN30" s="75" t="str">
        <f>IF(MATHS!I30="","",MATHS!I30)</f>
        <v/>
      </c>
      <c r="AO30" s="75" t="str">
        <f>IF(MATHS!J30="","",MATHS!J30)</f>
        <v/>
      </c>
      <c r="AP30" s="75" t="str">
        <f t="shared" si="56"/>
        <v/>
      </c>
      <c r="AQ30" s="75" t="str">
        <f t="shared" si="57"/>
        <v/>
      </c>
      <c r="AR30" s="75" t="str">
        <f>IF(MATHS!K30="","",CEILING(MATHS!K30*$AR$6/MATHS!$K$6,1))</f>
        <v/>
      </c>
      <c r="AS30" s="76" t="str">
        <f t="shared" si="58"/>
        <v/>
      </c>
      <c r="AT30" s="76" t="str">
        <f t="shared" si="59"/>
        <v/>
      </c>
      <c r="AU30" s="76" t="str">
        <f>IF(MATHS!O30="","",MATHS!O30*$AU$6/MATHS!$O$6)</f>
        <v/>
      </c>
      <c r="AV30" s="76" t="str">
        <f t="shared" si="60"/>
        <v/>
      </c>
      <c r="AW30" s="76" t="str">
        <f t="shared" si="61"/>
        <v/>
      </c>
      <c r="AX30" s="73" t="str">
        <f>IF(PHYSICS!E31="","",PHYSICS!E31)</f>
        <v/>
      </c>
      <c r="AY30" s="644" t="str">
        <f t="shared" si="62"/>
        <v/>
      </c>
      <c r="AZ30" s="73" t="str">
        <f>IF(PHYSICS!F31="","",PHYSICS!F31)</f>
        <v/>
      </c>
      <c r="BA30" s="73" t="str">
        <f>IF(PHYSICS!G31="","",PHYSICS!G31)</f>
        <v/>
      </c>
      <c r="BB30" s="73" t="str">
        <f t="shared" si="63"/>
        <v/>
      </c>
      <c r="BC30" s="73" t="str">
        <f t="shared" si="64"/>
        <v/>
      </c>
      <c r="BD30" s="73" t="str">
        <f>IF(PHYSICS!H31="","",PHYSICS!H31)</f>
        <v/>
      </c>
      <c r="BE30" s="645" t="str">
        <f t="shared" si="65"/>
        <v/>
      </c>
      <c r="BF30" s="73" t="str">
        <f>IF(PHYSICS!I31="","",PHYSICS!I31)</f>
        <v/>
      </c>
      <c r="BG30" s="73" t="str">
        <f>IF(PHYSICS!J31="","",PHYSICS!J31)</f>
        <v/>
      </c>
      <c r="BH30" s="73" t="str">
        <f t="shared" si="66"/>
        <v/>
      </c>
      <c r="BI30" s="73" t="str">
        <f t="shared" si="67"/>
        <v/>
      </c>
      <c r="BJ30" s="73" t="str">
        <f t="shared" si="68"/>
        <v/>
      </c>
      <c r="BK30" s="73" t="str">
        <f t="shared" si="69"/>
        <v/>
      </c>
      <c r="BL30" s="73" t="str">
        <f t="shared" si="70"/>
        <v/>
      </c>
      <c r="BM30" s="73" t="str">
        <f t="shared" si="71"/>
        <v/>
      </c>
      <c r="BN30" s="73" t="str">
        <f>IF(PHYSICS!M31="","",PHYSICS!M31*$BN$6/PHYSICS!$M$7)</f>
        <v/>
      </c>
      <c r="BO30" s="73" t="str">
        <f t="shared" si="72"/>
        <v/>
      </c>
      <c r="BP30" s="73" t="str">
        <f t="shared" si="73"/>
        <v/>
      </c>
      <c r="BQ30" s="48" t="str">
        <f>IF(CHEMISTRY!E31="","",CHEMISTRY!E31)</f>
        <v/>
      </c>
      <c r="BR30" s="646" t="str">
        <f t="shared" si="74"/>
        <v/>
      </c>
      <c r="BS30" s="48" t="str">
        <f>IF(CHEMISTRY!F31="","",CHEMISTRY!F31)</f>
        <v/>
      </c>
      <c r="BT30" s="48" t="str">
        <f>IF(CHEMISTRY!G31="","",CHEMISTRY!G31)</f>
        <v/>
      </c>
      <c r="BU30" s="48" t="str">
        <f t="shared" si="75"/>
        <v/>
      </c>
      <c r="BV30" s="48" t="str">
        <f t="shared" si="76"/>
        <v/>
      </c>
      <c r="BW30" s="48" t="str">
        <f>IF(CHEMISTRY!H31="","",CHEMISTRY!H31)</f>
        <v/>
      </c>
      <c r="BX30" s="646" t="str">
        <f t="shared" si="77"/>
        <v/>
      </c>
      <c r="BY30" s="48" t="str">
        <f>IF(CHEMISTRY!I31="","",CHEMISTRY!I31)</f>
        <v/>
      </c>
      <c r="BZ30" s="48" t="str">
        <f>IF(CHEMISTRY!J31="","",CHEMISTRY!J31)</f>
        <v/>
      </c>
      <c r="CA30" s="48" t="str">
        <f t="shared" si="78"/>
        <v/>
      </c>
      <c r="CB30" s="48" t="str">
        <f t="shared" si="79"/>
        <v/>
      </c>
      <c r="CC30" s="48" t="str">
        <f t="shared" si="80"/>
        <v/>
      </c>
      <c r="CD30" s="48" t="str">
        <f t="shared" si="81"/>
        <v/>
      </c>
      <c r="CE30" s="48" t="str">
        <f t="shared" si="82"/>
        <v/>
      </c>
      <c r="CF30" s="48" t="str">
        <f t="shared" si="83"/>
        <v/>
      </c>
      <c r="CG30" s="48" t="str">
        <f>IF(CHEMISTRY!M31="","",CHEMISTRY!M31*$CG$6/CHEMISTRY!$M$7)</f>
        <v/>
      </c>
      <c r="CH30" s="48" t="str">
        <f t="shared" si="84"/>
        <v/>
      </c>
      <c r="CI30" s="48" t="str">
        <f t="shared" si="85"/>
        <v/>
      </c>
      <c r="CJ30" s="73" t="str">
        <f>IF(BIOLOGY!E31="","",BIOLOGY!E31)</f>
        <v/>
      </c>
      <c r="CK30" s="73" t="str">
        <f t="shared" si="86"/>
        <v/>
      </c>
      <c r="CL30" s="73" t="str">
        <f>IF(BIOLOGY!F31="","",BIOLOGY!F31)</f>
        <v/>
      </c>
      <c r="CM30" s="73" t="str">
        <f>IF(BIOLOGY!G31="","",BIOLOGY!G31)</f>
        <v/>
      </c>
      <c r="CN30" s="73" t="str">
        <f t="shared" si="87"/>
        <v/>
      </c>
      <c r="CO30" s="73" t="str">
        <f t="shared" si="88"/>
        <v/>
      </c>
      <c r="CP30" s="73" t="str">
        <f>IF(BIOLOGY!H31="","",BIOLOGY!H31)</f>
        <v/>
      </c>
      <c r="CQ30" s="73" t="str">
        <f t="shared" si="89"/>
        <v/>
      </c>
      <c r="CR30" s="73" t="str">
        <f>IF(BIOLOGY!I31="","",BIOLOGY!I31)</f>
        <v/>
      </c>
      <c r="CS30" s="73" t="str">
        <f>IF(BIOLOGY!J31="","",BIOLOGY!J31)</f>
        <v/>
      </c>
      <c r="CT30" s="73" t="str">
        <f t="shared" si="90"/>
        <v/>
      </c>
      <c r="CU30" s="73" t="str">
        <f t="shared" si="91"/>
        <v/>
      </c>
      <c r="CV30" s="73" t="str">
        <f t="shared" si="92"/>
        <v/>
      </c>
      <c r="CW30" s="73" t="str">
        <f t="shared" si="93"/>
        <v/>
      </c>
      <c r="CX30" s="73" t="str">
        <f t="shared" si="94"/>
        <v/>
      </c>
      <c r="CY30" s="73" t="str">
        <f t="shared" si="95"/>
        <v/>
      </c>
      <c r="CZ30" s="73" t="str">
        <f>IF(BIOLOGY!M31="","",CEILING((BIOLOGY!M31*$CZ$6/BIOLOGY!$M$7),1))</f>
        <v/>
      </c>
      <c r="DA30" s="73" t="str">
        <f t="shared" si="96"/>
        <v/>
      </c>
      <c r="DB30" s="73" t="str">
        <f t="shared" si="97"/>
        <v/>
      </c>
      <c r="DC30" s="76" t="str">
        <f>IF('PHY EDU '!E31="","",'PHY EDU '!E31)</f>
        <v/>
      </c>
      <c r="DD30" s="647" t="str">
        <f t="shared" si="98"/>
        <v/>
      </c>
      <c r="DE30" s="76" t="str">
        <f>IF('PHY EDU '!F31="","",'PHY EDU '!F31)</f>
        <v/>
      </c>
      <c r="DF30" s="76" t="str">
        <f>IF('PHY EDU '!G31="","",'PHY EDU '!G31)</f>
        <v/>
      </c>
      <c r="DG30" s="76" t="str">
        <f t="shared" si="99"/>
        <v/>
      </c>
      <c r="DH30" s="76" t="str">
        <f t="shared" si="100"/>
        <v/>
      </c>
      <c r="DI30" s="76" t="str">
        <f>IF('PHY EDU '!H31="","",'PHY EDU '!H31)</f>
        <v/>
      </c>
      <c r="DJ30" s="647" t="str">
        <f t="shared" si="101"/>
        <v/>
      </c>
      <c r="DK30" s="76" t="str">
        <f>IF('PHY EDU '!I31="","",'PHY EDU '!I31)</f>
        <v/>
      </c>
      <c r="DL30" s="76" t="str">
        <f>IF('PHY EDU '!J31="","",'PHY EDU '!J31)</f>
        <v/>
      </c>
      <c r="DM30" s="76" t="str">
        <f t="shared" si="102"/>
        <v/>
      </c>
      <c r="DN30" s="76" t="str">
        <f t="shared" si="103"/>
        <v/>
      </c>
      <c r="DO30" s="76" t="str">
        <f t="shared" si="104"/>
        <v/>
      </c>
      <c r="DP30" s="76" t="str">
        <f t="shared" si="105"/>
        <v/>
      </c>
      <c r="DQ30" s="76" t="str">
        <f t="shared" si="106"/>
        <v/>
      </c>
      <c r="DR30" s="76" t="str">
        <f t="shared" si="107"/>
        <v/>
      </c>
      <c r="DS30" s="76" t="str">
        <f>IF('PHY EDU '!M31="","",ROUNDUP('PHY EDU '!M31*$DS$6/'PHY EDU '!$M$7,0))</f>
        <v/>
      </c>
      <c r="DT30" s="76" t="str">
        <f t="shared" si="108"/>
        <v/>
      </c>
      <c r="DU30" s="76" t="str">
        <f t="shared" si="109"/>
        <v/>
      </c>
      <c r="DV30" s="72" t="str">
        <f t="shared" ref="DV30:DV51" si="132">IF(C30="","",IF(EP30="",Y30,""))</f>
        <v/>
      </c>
      <c r="DW30" s="72" t="str">
        <f t="shared" ref="DW30:DW51" si="133">IF(C30="","",IF(EQ30="",AS30,""))</f>
        <v/>
      </c>
      <c r="DX30" s="72" t="str">
        <f t="shared" ref="DX30:DX51" si="134">IF(C30="","",IF(ER30="",BL30,""))</f>
        <v/>
      </c>
      <c r="DY30" s="72" t="str">
        <f t="shared" ref="DY30:DY51" si="135">IF(C30="","",IF(ES30="",CE30,""))</f>
        <v/>
      </c>
      <c r="DZ30" s="72" t="str">
        <f t="shared" ref="DZ30:DZ51" si="136">IF(C30="","",IF(ET30="",CX30,""))</f>
        <v/>
      </c>
      <c r="EA30" s="72" t="str">
        <f t="shared" ref="EA30:EA51" si="137">IF(C30="","",IF(EU30="",DQ30,""))</f>
        <v/>
      </c>
      <c r="EB30" s="76" t="str">
        <f t="shared" ref="EB30:EB51" si="138">IF(C30="","",IF(EP30="",Z30,""))</f>
        <v/>
      </c>
      <c r="EC30" s="76" t="str">
        <f t="shared" ref="EC30:EC51" si="139">IF(C30="","",IF(EQ30="",AT30,""))</f>
        <v/>
      </c>
      <c r="ED30" s="76" t="str">
        <f t="shared" ref="ED30:ED51" si="140">IF(C30="","",IF(ER30="",BM30,""))</f>
        <v/>
      </c>
      <c r="EE30" s="76" t="str">
        <f t="shared" ref="EE30:EE51" si="141">IF(C30="","",IF(ES30="",CF30,""))</f>
        <v/>
      </c>
      <c r="EF30" s="76" t="str">
        <f t="shared" ref="EF30:EF51" si="142">IF(C30="","",IF(ET30="",CY30,""))</f>
        <v/>
      </c>
      <c r="EG30" s="76" t="str">
        <f t="shared" ref="EG30:EG51" si="143">IF(C30="","",IF(EU30="",DR30,""))</f>
        <v/>
      </c>
      <c r="EH30" s="77" t="str">
        <f t="shared" ref="EH30:EH51" si="144">IF(EK30="PASS",SUM(Y30,AS30,BL30,CE30,CX30,DQ30),"")</f>
        <v/>
      </c>
      <c r="EI30" s="495" t="str">
        <f t="shared" ref="EI30:EI51" si="145">IF(EH30="","",EH30*100/$EH$6)</f>
        <v/>
      </c>
      <c r="EJ30" s="86" t="str">
        <f t="shared" ref="EJ30:EJ51" si="146">IF(EI30="","",IF((EI30)&lt;33,"E",IF(AND((EI30)&gt;=33,(EI30)&lt;41),"D",IF(AND((EI30)&gt;=41,(EI30)&lt;51),"C2",IF(AND((EI30)&gt;=51,(EI30)&lt;61),"C1",IF(AND((EI30)&gt;=61,(EI30)&lt;71),"B2",IF(AND((EI30)&gt;=71,(EI30)&lt;81),"B1",IF(AND((EI30)&gt;=81,(EI30)&lt;91),"A2",IF(AND((EI30)&gt;=91,(EI30)&lt;=100),"A1")))))))))</f>
        <v/>
      </c>
      <c r="EK30" s="78" t="str">
        <f t="shared" ref="EK30:EK51" si="147">IF(C30="","",IF(C30="TC","",IF(AND(FD30=0,FC30=0),"PASS",IF(AND(FD30&lt;=1,FC30&lt;=1),"COMPARTMENT","FAIL"))))</f>
        <v/>
      </c>
      <c r="EL30" s="79" t="str">
        <f t="shared" ref="EL30:EL51" si="148">IFERROR(ROUNDUP((EH30/$EH$6)*100,2)&amp;"%","")</f>
        <v/>
      </c>
      <c r="EM30" s="139" t="str">
        <f t="shared" ref="EM30:EM51" si="149">IF(C30="TC","",IF(EK30="","",IF(OR(EK30="COMPARTMENT",EK30="FAIL"),"",(EH30*100/$EH$6))))</f>
        <v/>
      </c>
      <c r="EN30" s="77" t="str">
        <f t="shared" ref="EN30:EN51" si="150">IF(EM30="","",SUMPRODUCT((EM30&lt;EM$7:EM$51)/COUNTIF(EM$7:EM$51,EM$7:EM$51)))</f>
        <v/>
      </c>
      <c r="EO30" s="77" t="str">
        <f>IF(EN30="","",ATTENDANCE!Q31&amp;"/"&amp;ATTENDANCE!$Q$7)</f>
        <v/>
      </c>
      <c r="EP30" s="80" t="str">
        <f t="shared" ref="EP30:EP51" si="151">IF(C30="","",IF(C30="TC","",IF(AND(V30&gt;=6,W30&gt;=26,Y30&gt;=33),"",$EP$4&amp;",")))</f>
        <v/>
      </c>
      <c r="EQ30" s="80" t="str">
        <f t="shared" ref="EQ30:EQ51" si="152">IF(C30="","",IF(C30="TC","",IF(AND(AQ30&gt;=6.6,AR30&gt;=16.5,AS30&gt;=33),"",$EQ$4&amp;",")))</f>
        <v/>
      </c>
      <c r="ER30" s="80" t="str">
        <f t="shared" ref="ER30:ER51" si="153">IF(C30="","",IF(C30="TC","",IF(AND(BJ30&gt;=25,BK30&gt;=8,BL30&gt;=33,BF30&gt;=23),"",$ER$4&amp;",")))</f>
        <v/>
      </c>
      <c r="ES30" s="80" t="str">
        <f t="shared" ref="ES30:ES51" si="154">IF(C30="","",IF(C30="TC","",IF(AND(CC30&gt;=25,CD30&gt;=8,CE30&gt;=33,BY30&gt;=23),"",$ES$4&amp;",")))</f>
        <v/>
      </c>
      <c r="ET30" s="80" t="str">
        <f t="shared" ref="ET30:ET51" si="155">IF(C30="","",IF(C30="TC","",IF(AND(CV30&gt;=25,CW30&gt;=8,CX30&gt;=33,CR30&gt;=23),"",$ET$4&amp;",")))</f>
        <v/>
      </c>
      <c r="EU30" s="80" t="str">
        <f t="shared" ref="EU30:EU51" si="156">IF(C30="","",IF(C30="TC","",IF(AND(DO30&gt;=25,DP30&gt;=8,DQ30&gt;=33,DO30&gt;=23),"",$EU$4&amp;",")))</f>
        <v/>
      </c>
      <c r="EV30" s="492" t="str">
        <f t="shared" ref="EV30:EV51" si="157">IF(C30="","",EP30&amp;EQ30&amp;ER30&amp;ES30&amp;ET30&amp;EU30)</f>
        <v/>
      </c>
      <c r="EW30" s="129" t="str">
        <f t="shared" ref="EW30:EW51" si="158">IF(AA30="",EP30,IF(EW30&gt;=26,"",EP30))</f>
        <v/>
      </c>
      <c r="EX30" s="129" t="str">
        <f t="shared" ref="EX30:EX51" si="159">IF(AU30="",EQ30,IF(AU30&gt;=26,"",EQ30))</f>
        <v/>
      </c>
      <c r="EY30" s="129" t="str">
        <f t="shared" ref="EY30:EY51" si="160">IF(BN30="",ER30,IF(BN30&gt;=12,"",ER30))</f>
        <v/>
      </c>
      <c r="EZ30" s="129" t="str">
        <f t="shared" ref="EZ30:EZ51" si="161">IF(CG30="",ES30,IF(CG30&gt;=12,"",ES30))</f>
        <v/>
      </c>
      <c r="FA30" s="129" t="str">
        <f t="shared" ref="FA30:FA51" si="162">IF(CZ30="",ET30,IF(CZ30&gt;=12,"",ET30))</f>
        <v/>
      </c>
      <c r="FB30" s="129" t="str">
        <f t="shared" ref="FB30:FB51" si="163">IF(DS30="",EU30,IF(DS30&gt;=12,"",EU30))</f>
        <v/>
      </c>
      <c r="FC30" s="80" t="str">
        <f t="shared" ref="FC30:FC51" si="164">IF(C30="","",1-COUNTBLANK(EP30))</f>
        <v/>
      </c>
      <c r="FD30" s="80" t="str">
        <f t="shared" ref="FD30:FD51" si="165">IF(C30="","",5-COUNTBLANK(EQ30:EU30))</f>
        <v/>
      </c>
      <c r="FE30" s="80" t="str">
        <f t="shared" ref="FE30:FE51" si="166">IF(OR(C30="",C30="TC"),"",6-COUNTBLANK(EW30:FB30))</f>
        <v/>
      </c>
      <c r="FF30" s="488" t="str">
        <f t="shared" ref="FF30:FF51" si="167">IF(C30="","",EW30&amp;EX30&amp;EY30&amp;EZ30&amp;FA30&amp;FB30)</f>
        <v/>
      </c>
      <c r="FG30" s="80" t="str">
        <f t="shared" ref="FG30:FG51" si="168">IF(AND(AA30="",AU30="",BN30="",CG30="",CZ30="",DS30=""),"",IF(OR(EK30="PASS",EK30="",EK30="FAIL"),"",IF(FE30=0,"PASSED AFTER COMPARTMENT","FAIL")))</f>
        <v/>
      </c>
      <c r="FH30" s="80" t="str">
        <f t="shared" ref="FH30:FH51" si="169">IF(FG30="PASSED AFTER COMPARTMENT",SUM(DV30:EA30,AB30,AV30,BO30,CH30,DA30,DT30),"")</f>
        <v/>
      </c>
      <c r="FI30" s="496" t="str">
        <f t="shared" ref="FI30:FI51" si="170">IF(FH30="","",FH30*100/$FH$6)</f>
        <v/>
      </c>
      <c r="FJ30" s="140" t="str">
        <f t="shared" ref="FJ30:FJ51" si="171">IF(FI30="","",IF((FI30)&lt;33,"E",IF(AND((FI30)&gt;=33,(FI30)&lt;41),"D",IF(AND((FI30)&gt;=41,(FI30)&lt;51),"C2",IF(AND((FI30)&gt;=51,(FI30)&lt;61),"C1",IF(AND((FI30)&gt;=61,(FI30)&lt;71),"B2",IF(AND((FI30)&gt;=71,(FI30)&lt;81),"B1",IF(AND((FI30)&gt;=81,(FI30)&lt;91),"A2",IF(AND((FI30)&gt;=91,(FI30)&lt;=100),"A1")))))))))</f>
        <v/>
      </c>
      <c r="FK30" s="492" t="str">
        <f t="shared" ref="FK30:FK51" si="172">IF(C30="","",EW30&amp;EX30&amp;EY30&amp;EZ30&amp;FA30&amp;FB30)</f>
        <v/>
      </c>
      <c r="FL30" s="490" t="str">
        <f t="shared" ref="FL30:FL51" si="173">IF(FI30&lt;&gt;"", FI30, EM30)</f>
        <v/>
      </c>
      <c r="FM30" s="74" t="str">
        <f t="shared" ref="FM30:FM51" si="174">IF(FJ30&lt;&gt;"", FJ30, EJ30)</f>
        <v/>
      </c>
    </row>
    <row r="31" spans="1:169" ht="16.8" x14ac:dyDescent="0.3">
      <c r="A31" s="6"/>
      <c r="B31" s="25">
        <f>DATA!B29</f>
        <v>0</v>
      </c>
      <c r="C31" s="25" t="str">
        <f>IF(DATA!C29="","",DATA!C29)</f>
        <v/>
      </c>
      <c r="D31" s="25" t="str">
        <f>IF(DATA!D29="","",DATA!D29)</f>
        <v/>
      </c>
      <c r="E31" s="738" t="str">
        <f>IF(DATA!E29="","",DATA!E29)</f>
        <v/>
      </c>
      <c r="F31" s="738" t="str">
        <f>IF(DATA!F29="","",DATA!F29)</f>
        <v/>
      </c>
      <c r="G31" s="738" t="str">
        <f>IF(DATA!G29="","",DATA!G29)</f>
        <v/>
      </c>
      <c r="H31" s="214" t="str">
        <f>IF(DATA!H29="","",DATA!H29)</f>
        <v/>
      </c>
      <c r="I31" s="214" t="str">
        <f>IF(DATA!I29="","",DATA!I29)</f>
        <v/>
      </c>
      <c r="J31" s="214" t="str">
        <f>IF(DATA!J29="","",DATA!J29)</f>
        <v/>
      </c>
      <c r="K31" s="214" t="str">
        <f>IF(DATA!K29="","",DATA!K29)</f>
        <v/>
      </c>
      <c r="L31" s="73" t="str">
        <f>IF(ENGLISH!E31="","",ENGLISH!E31)</f>
        <v/>
      </c>
      <c r="M31" s="73" t="str">
        <f t="shared" si="41"/>
        <v/>
      </c>
      <c r="N31" s="73" t="str">
        <f>IF(ENGLISH!F31="","",ENGLISH!F31)</f>
        <v/>
      </c>
      <c r="O31" s="73" t="str">
        <f t="shared" si="42"/>
        <v/>
      </c>
      <c r="P31" s="73" t="str">
        <f>IF(ENGLISH!G31="","",ENGLISH!G31)</f>
        <v/>
      </c>
      <c r="Q31" s="73" t="str">
        <f t="shared" si="43"/>
        <v/>
      </c>
      <c r="R31" s="73" t="str">
        <f>IF(ENGLISH!H31="","",ENGLISH!H31)</f>
        <v/>
      </c>
      <c r="S31" s="73" t="str">
        <f>IF(ENGLISH!I31="","",ENGLISH!I31)</f>
        <v/>
      </c>
      <c r="T31" s="73" t="str">
        <f>IF(ENGLISH!J31="","",ENGLISH!J31)</f>
        <v/>
      </c>
      <c r="U31" s="73" t="str">
        <f>IF(ENGLISH!K31="","",ENGLISH!K31)</f>
        <v/>
      </c>
      <c r="V31" s="73" t="str">
        <f t="shared" si="44"/>
        <v/>
      </c>
      <c r="W31" s="81" t="str">
        <f>IF(ENGLISH!L31="","",ENGLISH!L31)</f>
        <v/>
      </c>
      <c r="X31" s="73" t="str">
        <f t="shared" si="45"/>
        <v/>
      </c>
      <c r="Y31" s="73" t="str">
        <f t="shared" si="46"/>
        <v/>
      </c>
      <c r="Z31" s="73" t="str">
        <f t="shared" si="47"/>
        <v/>
      </c>
      <c r="AA31" s="73" t="str">
        <f>IF(ENGLISH!O31="","",ENGLISH!O31*40/ENGLISH!$O$6)</f>
        <v/>
      </c>
      <c r="AB31" s="73" t="str">
        <f t="shared" si="48"/>
        <v/>
      </c>
      <c r="AC31" s="73" t="str">
        <f t="shared" si="49"/>
        <v/>
      </c>
      <c r="AD31" s="74" t="str">
        <f>IF(MATHS!E31="","",MATHS!E31)</f>
        <v/>
      </c>
      <c r="AE31" s="643" t="str">
        <f t="shared" si="50"/>
        <v/>
      </c>
      <c r="AF31" s="74" t="str">
        <f>IF(MATHS!F31="","",MATHS!F31)</f>
        <v/>
      </c>
      <c r="AG31" s="643" t="str">
        <f t="shared" si="51"/>
        <v/>
      </c>
      <c r="AH31" s="74" t="str">
        <f>IF(MATHS!G31="","",MATHS!G31)</f>
        <v/>
      </c>
      <c r="AI31" s="643" t="str">
        <f t="shared" si="52"/>
        <v/>
      </c>
      <c r="AJ31" s="75" t="str">
        <f t="shared" si="53"/>
        <v/>
      </c>
      <c r="AK31" s="75" t="str">
        <f t="shared" si="54"/>
        <v/>
      </c>
      <c r="AL31" s="75" t="str">
        <f t="shared" si="55"/>
        <v/>
      </c>
      <c r="AM31" s="75" t="str">
        <f>IF(MATHS!H31="","",MATHS!H31)</f>
        <v/>
      </c>
      <c r="AN31" s="75" t="str">
        <f>IF(MATHS!I31="","",MATHS!I31)</f>
        <v/>
      </c>
      <c r="AO31" s="75" t="str">
        <f>IF(MATHS!J31="","",MATHS!J31)</f>
        <v/>
      </c>
      <c r="AP31" s="75" t="str">
        <f t="shared" si="56"/>
        <v/>
      </c>
      <c r="AQ31" s="75" t="str">
        <f t="shared" si="57"/>
        <v/>
      </c>
      <c r="AR31" s="75" t="str">
        <f>IF(MATHS!K31="","",CEILING(MATHS!K31*$AR$6/MATHS!$K$6,1))</f>
        <v/>
      </c>
      <c r="AS31" s="76" t="str">
        <f t="shared" si="58"/>
        <v/>
      </c>
      <c r="AT31" s="76" t="str">
        <f t="shared" si="59"/>
        <v/>
      </c>
      <c r="AU31" s="76" t="str">
        <f>IF(MATHS!O31="","",MATHS!O31*$AU$6/MATHS!$O$6)</f>
        <v/>
      </c>
      <c r="AV31" s="76" t="str">
        <f t="shared" si="60"/>
        <v/>
      </c>
      <c r="AW31" s="76" t="str">
        <f t="shared" si="61"/>
        <v/>
      </c>
      <c r="AX31" s="73" t="str">
        <f>IF(PHYSICS!E32="","",PHYSICS!E32)</f>
        <v/>
      </c>
      <c r="AY31" s="644" t="str">
        <f t="shared" si="62"/>
        <v/>
      </c>
      <c r="AZ31" s="73" t="str">
        <f>IF(PHYSICS!F32="","",PHYSICS!F32)</f>
        <v/>
      </c>
      <c r="BA31" s="73" t="str">
        <f>IF(PHYSICS!G32="","",PHYSICS!G32)</f>
        <v/>
      </c>
      <c r="BB31" s="73" t="str">
        <f t="shared" si="63"/>
        <v/>
      </c>
      <c r="BC31" s="73" t="str">
        <f t="shared" si="64"/>
        <v/>
      </c>
      <c r="BD31" s="73" t="str">
        <f>IF(PHYSICS!H32="","",PHYSICS!H32)</f>
        <v/>
      </c>
      <c r="BE31" s="645" t="str">
        <f t="shared" si="65"/>
        <v/>
      </c>
      <c r="BF31" s="73" t="str">
        <f>IF(PHYSICS!I32="","",PHYSICS!I32)</f>
        <v/>
      </c>
      <c r="BG31" s="73" t="str">
        <f>IF(PHYSICS!J32="","",PHYSICS!J32)</f>
        <v/>
      </c>
      <c r="BH31" s="73" t="str">
        <f t="shared" si="66"/>
        <v/>
      </c>
      <c r="BI31" s="73" t="str">
        <f t="shared" si="67"/>
        <v/>
      </c>
      <c r="BJ31" s="73" t="str">
        <f t="shared" si="68"/>
        <v/>
      </c>
      <c r="BK31" s="73" t="str">
        <f t="shared" si="69"/>
        <v/>
      </c>
      <c r="BL31" s="73" t="str">
        <f t="shared" si="70"/>
        <v/>
      </c>
      <c r="BM31" s="73" t="str">
        <f t="shared" si="71"/>
        <v/>
      </c>
      <c r="BN31" s="73" t="str">
        <f>IF(PHYSICS!M32="","",PHYSICS!M32*$BN$6/PHYSICS!$M$7)</f>
        <v/>
      </c>
      <c r="BO31" s="73" t="str">
        <f t="shared" si="72"/>
        <v/>
      </c>
      <c r="BP31" s="73" t="str">
        <f t="shared" si="73"/>
        <v/>
      </c>
      <c r="BQ31" s="48" t="str">
        <f>IF(CHEMISTRY!E32="","",CHEMISTRY!E32)</f>
        <v/>
      </c>
      <c r="BR31" s="646" t="str">
        <f t="shared" si="74"/>
        <v/>
      </c>
      <c r="BS31" s="48" t="str">
        <f>IF(CHEMISTRY!F32="","",CHEMISTRY!F32)</f>
        <v/>
      </c>
      <c r="BT31" s="48" t="str">
        <f>IF(CHEMISTRY!G32="","",CHEMISTRY!G32)</f>
        <v/>
      </c>
      <c r="BU31" s="48" t="str">
        <f t="shared" si="75"/>
        <v/>
      </c>
      <c r="BV31" s="48" t="str">
        <f t="shared" si="76"/>
        <v/>
      </c>
      <c r="BW31" s="48" t="str">
        <f>IF(CHEMISTRY!H32="","",CHEMISTRY!H32)</f>
        <v/>
      </c>
      <c r="BX31" s="646" t="str">
        <f t="shared" si="77"/>
        <v/>
      </c>
      <c r="BY31" s="48" t="str">
        <f>IF(CHEMISTRY!I32="","",CHEMISTRY!I32)</f>
        <v/>
      </c>
      <c r="BZ31" s="48" t="str">
        <f>IF(CHEMISTRY!J32="","",CHEMISTRY!J32)</f>
        <v/>
      </c>
      <c r="CA31" s="48" t="str">
        <f t="shared" si="78"/>
        <v/>
      </c>
      <c r="CB31" s="48" t="str">
        <f t="shared" si="79"/>
        <v/>
      </c>
      <c r="CC31" s="48" t="str">
        <f t="shared" si="80"/>
        <v/>
      </c>
      <c r="CD31" s="48" t="str">
        <f t="shared" si="81"/>
        <v/>
      </c>
      <c r="CE31" s="48" t="str">
        <f t="shared" si="82"/>
        <v/>
      </c>
      <c r="CF31" s="48" t="str">
        <f t="shared" si="83"/>
        <v/>
      </c>
      <c r="CG31" s="48" t="str">
        <f>IF(CHEMISTRY!M32="","",CHEMISTRY!M32*$CG$6/CHEMISTRY!$M$7)</f>
        <v/>
      </c>
      <c r="CH31" s="48" t="str">
        <f t="shared" si="84"/>
        <v/>
      </c>
      <c r="CI31" s="48" t="str">
        <f t="shared" si="85"/>
        <v/>
      </c>
      <c r="CJ31" s="73" t="str">
        <f>IF(BIOLOGY!E32="","",BIOLOGY!E32)</f>
        <v/>
      </c>
      <c r="CK31" s="73" t="str">
        <f t="shared" si="86"/>
        <v/>
      </c>
      <c r="CL31" s="73" t="str">
        <f>IF(BIOLOGY!F32="","",BIOLOGY!F32)</f>
        <v/>
      </c>
      <c r="CM31" s="73" t="str">
        <f>IF(BIOLOGY!G32="","",BIOLOGY!G32)</f>
        <v/>
      </c>
      <c r="CN31" s="73" t="str">
        <f t="shared" si="87"/>
        <v/>
      </c>
      <c r="CO31" s="73" t="str">
        <f t="shared" si="88"/>
        <v/>
      </c>
      <c r="CP31" s="73" t="str">
        <f>IF(BIOLOGY!H32="","",BIOLOGY!H32)</f>
        <v/>
      </c>
      <c r="CQ31" s="73" t="str">
        <f t="shared" si="89"/>
        <v/>
      </c>
      <c r="CR31" s="73" t="str">
        <f>IF(BIOLOGY!I32="","",BIOLOGY!I32)</f>
        <v/>
      </c>
      <c r="CS31" s="73" t="str">
        <f>IF(BIOLOGY!J32="","",BIOLOGY!J32)</f>
        <v/>
      </c>
      <c r="CT31" s="73" t="str">
        <f t="shared" si="90"/>
        <v/>
      </c>
      <c r="CU31" s="73" t="str">
        <f t="shared" si="91"/>
        <v/>
      </c>
      <c r="CV31" s="73" t="str">
        <f t="shared" si="92"/>
        <v/>
      </c>
      <c r="CW31" s="73" t="str">
        <f t="shared" si="93"/>
        <v/>
      </c>
      <c r="CX31" s="73" t="str">
        <f t="shared" si="94"/>
        <v/>
      </c>
      <c r="CY31" s="73" t="str">
        <f t="shared" si="95"/>
        <v/>
      </c>
      <c r="CZ31" s="73" t="str">
        <f>IF(BIOLOGY!M32="","",CEILING((BIOLOGY!M32*$CZ$6/BIOLOGY!$M$7),1))</f>
        <v/>
      </c>
      <c r="DA31" s="73" t="str">
        <f t="shared" si="96"/>
        <v/>
      </c>
      <c r="DB31" s="73" t="str">
        <f t="shared" si="97"/>
        <v/>
      </c>
      <c r="DC31" s="76" t="str">
        <f>IF('PHY EDU '!E32="","",'PHY EDU '!E32)</f>
        <v/>
      </c>
      <c r="DD31" s="647" t="str">
        <f t="shared" si="98"/>
        <v/>
      </c>
      <c r="DE31" s="76" t="str">
        <f>IF('PHY EDU '!F32="","",'PHY EDU '!F32)</f>
        <v/>
      </c>
      <c r="DF31" s="76" t="str">
        <f>IF('PHY EDU '!G32="","",'PHY EDU '!G32)</f>
        <v/>
      </c>
      <c r="DG31" s="76" t="str">
        <f t="shared" si="99"/>
        <v/>
      </c>
      <c r="DH31" s="76" t="str">
        <f t="shared" si="100"/>
        <v/>
      </c>
      <c r="DI31" s="76" t="str">
        <f>IF('PHY EDU '!H32="","",'PHY EDU '!H32)</f>
        <v/>
      </c>
      <c r="DJ31" s="647" t="str">
        <f t="shared" si="101"/>
        <v/>
      </c>
      <c r="DK31" s="76" t="str">
        <f>IF('PHY EDU '!I32="","",'PHY EDU '!I32)</f>
        <v/>
      </c>
      <c r="DL31" s="76" t="str">
        <f>IF('PHY EDU '!J32="","",'PHY EDU '!J32)</f>
        <v/>
      </c>
      <c r="DM31" s="76" t="str">
        <f t="shared" si="102"/>
        <v/>
      </c>
      <c r="DN31" s="76" t="str">
        <f t="shared" si="103"/>
        <v/>
      </c>
      <c r="DO31" s="76" t="str">
        <f t="shared" si="104"/>
        <v/>
      </c>
      <c r="DP31" s="76" t="str">
        <f t="shared" si="105"/>
        <v/>
      </c>
      <c r="DQ31" s="76" t="str">
        <f t="shared" si="106"/>
        <v/>
      </c>
      <c r="DR31" s="76" t="str">
        <f t="shared" si="107"/>
        <v/>
      </c>
      <c r="DS31" s="76" t="str">
        <f>IF('PHY EDU '!M32="","",ROUNDUP('PHY EDU '!M32*$DS$6/'PHY EDU '!$M$7,0))</f>
        <v/>
      </c>
      <c r="DT31" s="76" t="str">
        <f t="shared" si="108"/>
        <v/>
      </c>
      <c r="DU31" s="76" t="str">
        <f t="shared" si="109"/>
        <v/>
      </c>
      <c r="DV31" s="72" t="str">
        <f t="shared" si="132"/>
        <v/>
      </c>
      <c r="DW31" s="72" t="str">
        <f t="shared" si="133"/>
        <v/>
      </c>
      <c r="DX31" s="72" t="str">
        <f t="shared" si="134"/>
        <v/>
      </c>
      <c r="DY31" s="72" t="str">
        <f t="shared" si="135"/>
        <v/>
      </c>
      <c r="DZ31" s="72" t="str">
        <f t="shared" si="136"/>
        <v/>
      </c>
      <c r="EA31" s="72" t="str">
        <f t="shared" si="137"/>
        <v/>
      </c>
      <c r="EB31" s="76" t="str">
        <f t="shared" si="138"/>
        <v/>
      </c>
      <c r="EC31" s="76" t="str">
        <f t="shared" si="139"/>
        <v/>
      </c>
      <c r="ED31" s="76" t="str">
        <f t="shared" si="140"/>
        <v/>
      </c>
      <c r="EE31" s="76" t="str">
        <f t="shared" si="141"/>
        <v/>
      </c>
      <c r="EF31" s="76" t="str">
        <f t="shared" si="142"/>
        <v/>
      </c>
      <c r="EG31" s="76" t="str">
        <f t="shared" si="143"/>
        <v/>
      </c>
      <c r="EH31" s="77" t="str">
        <f t="shared" si="144"/>
        <v/>
      </c>
      <c r="EI31" s="495" t="str">
        <f t="shared" si="145"/>
        <v/>
      </c>
      <c r="EJ31" s="86" t="str">
        <f t="shared" si="146"/>
        <v/>
      </c>
      <c r="EK31" s="78" t="str">
        <f t="shared" si="147"/>
        <v/>
      </c>
      <c r="EL31" s="79" t="str">
        <f t="shared" si="148"/>
        <v/>
      </c>
      <c r="EM31" s="139" t="str">
        <f t="shared" si="149"/>
        <v/>
      </c>
      <c r="EN31" s="77" t="str">
        <f t="shared" si="150"/>
        <v/>
      </c>
      <c r="EO31" s="77" t="str">
        <f>IF(EN31="","",ATTENDANCE!Q32&amp;"/"&amp;ATTENDANCE!$Q$7)</f>
        <v/>
      </c>
      <c r="EP31" s="80" t="str">
        <f t="shared" si="151"/>
        <v/>
      </c>
      <c r="EQ31" s="80" t="str">
        <f t="shared" si="152"/>
        <v/>
      </c>
      <c r="ER31" s="80" t="str">
        <f t="shared" si="153"/>
        <v/>
      </c>
      <c r="ES31" s="80" t="str">
        <f t="shared" si="154"/>
        <v/>
      </c>
      <c r="ET31" s="80" t="str">
        <f t="shared" si="155"/>
        <v/>
      </c>
      <c r="EU31" s="80" t="str">
        <f t="shared" si="156"/>
        <v/>
      </c>
      <c r="EV31" s="492" t="str">
        <f t="shared" si="157"/>
        <v/>
      </c>
      <c r="EW31" s="129" t="str">
        <f t="shared" si="158"/>
        <v/>
      </c>
      <c r="EX31" s="129" t="str">
        <f t="shared" si="159"/>
        <v/>
      </c>
      <c r="EY31" s="129" t="str">
        <f t="shared" si="160"/>
        <v/>
      </c>
      <c r="EZ31" s="129" t="str">
        <f t="shared" si="161"/>
        <v/>
      </c>
      <c r="FA31" s="129" t="str">
        <f t="shared" si="162"/>
        <v/>
      </c>
      <c r="FB31" s="129" t="str">
        <f t="shared" si="163"/>
        <v/>
      </c>
      <c r="FC31" s="80" t="str">
        <f t="shared" si="164"/>
        <v/>
      </c>
      <c r="FD31" s="80" t="str">
        <f t="shared" si="165"/>
        <v/>
      </c>
      <c r="FE31" s="80" t="str">
        <f t="shared" si="166"/>
        <v/>
      </c>
      <c r="FF31" s="488" t="str">
        <f t="shared" si="167"/>
        <v/>
      </c>
      <c r="FG31" s="80" t="str">
        <f t="shared" si="168"/>
        <v/>
      </c>
      <c r="FH31" s="80" t="str">
        <f t="shared" si="169"/>
        <v/>
      </c>
      <c r="FI31" s="496" t="str">
        <f t="shared" si="170"/>
        <v/>
      </c>
      <c r="FJ31" s="140" t="str">
        <f t="shared" si="171"/>
        <v/>
      </c>
      <c r="FK31" s="492" t="str">
        <f t="shared" si="172"/>
        <v/>
      </c>
      <c r="FL31" s="490" t="str">
        <f t="shared" si="173"/>
        <v/>
      </c>
      <c r="FM31" s="74" t="str">
        <f t="shared" si="174"/>
        <v/>
      </c>
    </row>
    <row r="32" spans="1:169" ht="16.8" x14ac:dyDescent="0.3">
      <c r="A32" s="6"/>
      <c r="B32" s="25">
        <f>DATA!B30</f>
        <v>0</v>
      </c>
      <c r="C32" s="25" t="str">
        <f>IF(DATA!C30="","",DATA!C30)</f>
        <v/>
      </c>
      <c r="D32" s="25" t="str">
        <f>IF(DATA!D30="","",DATA!D30)</f>
        <v/>
      </c>
      <c r="E32" s="738" t="str">
        <f>IF(DATA!E30="","",DATA!E30)</f>
        <v/>
      </c>
      <c r="F32" s="738" t="str">
        <f>IF(DATA!F30="","",DATA!F30)</f>
        <v/>
      </c>
      <c r="G32" s="738" t="str">
        <f>IF(DATA!G30="","",DATA!G30)</f>
        <v/>
      </c>
      <c r="H32" s="214" t="str">
        <f>IF(DATA!H30="","",DATA!H30)</f>
        <v/>
      </c>
      <c r="I32" s="214" t="str">
        <f>IF(DATA!I30="","",DATA!I30)</f>
        <v/>
      </c>
      <c r="J32" s="214" t="str">
        <f>IF(DATA!J30="","",DATA!J30)</f>
        <v/>
      </c>
      <c r="K32" s="214" t="str">
        <f>IF(DATA!K30="","",DATA!K30)</f>
        <v/>
      </c>
      <c r="L32" s="73" t="str">
        <f>IF(ENGLISH!E32="","",ENGLISH!E32)</f>
        <v/>
      </c>
      <c r="M32" s="73" t="str">
        <f t="shared" si="41"/>
        <v/>
      </c>
      <c r="N32" s="73" t="str">
        <f>IF(ENGLISH!F32="","",ENGLISH!F32)</f>
        <v/>
      </c>
      <c r="O32" s="73" t="str">
        <f t="shared" si="42"/>
        <v/>
      </c>
      <c r="P32" s="73" t="str">
        <f>IF(ENGLISH!G32="","",ENGLISH!G32)</f>
        <v/>
      </c>
      <c r="Q32" s="73" t="str">
        <f t="shared" si="43"/>
        <v/>
      </c>
      <c r="R32" s="73" t="str">
        <f>IF(ENGLISH!H32="","",ENGLISH!H32)</f>
        <v/>
      </c>
      <c r="S32" s="73" t="str">
        <f>IF(ENGLISH!I32="","",ENGLISH!I32)</f>
        <v/>
      </c>
      <c r="T32" s="73" t="str">
        <f>IF(ENGLISH!J32="","",ENGLISH!J32)</f>
        <v/>
      </c>
      <c r="U32" s="73" t="str">
        <f>IF(ENGLISH!K32="","",ENGLISH!K32)</f>
        <v/>
      </c>
      <c r="V32" s="73" t="str">
        <f t="shared" si="44"/>
        <v/>
      </c>
      <c r="W32" s="81" t="str">
        <f>IF(ENGLISH!L32="","",ENGLISH!L32)</f>
        <v/>
      </c>
      <c r="X32" s="73" t="str">
        <f t="shared" si="45"/>
        <v/>
      </c>
      <c r="Y32" s="73" t="str">
        <f t="shared" si="46"/>
        <v/>
      </c>
      <c r="Z32" s="73" t="str">
        <f t="shared" si="47"/>
        <v/>
      </c>
      <c r="AA32" s="73" t="str">
        <f>IF(ENGLISH!O32="","",ENGLISH!O32*40/ENGLISH!$O$6)</f>
        <v/>
      </c>
      <c r="AB32" s="73" t="str">
        <f t="shared" si="48"/>
        <v/>
      </c>
      <c r="AC32" s="73" t="str">
        <f t="shared" si="49"/>
        <v/>
      </c>
      <c r="AD32" s="74" t="str">
        <f>IF(MATHS!E32="","",MATHS!E32)</f>
        <v/>
      </c>
      <c r="AE32" s="643" t="str">
        <f t="shared" si="50"/>
        <v/>
      </c>
      <c r="AF32" s="74" t="str">
        <f>IF(MATHS!F32="","",MATHS!F32)</f>
        <v/>
      </c>
      <c r="AG32" s="643" t="str">
        <f t="shared" si="51"/>
        <v/>
      </c>
      <c r="AH32" s="74" t="str">
        <f>IF(MATHS!G32="","",MATHS!G32)</f>
        <v/>
      </c>
      <c r="AI32" s="643" t="str">
        <f t="shared" si="52"/>
        <v/>
      </c>
      <c r="AJ32" s="75" t="str">
        <f t="shared" si="53"/>
        <v/>
      </c>
      <c r="AK32" s="75" t="str">
        <f t="shared" si="54"/>
        <v/>
      </c>
      <c r="AL32" s="75" t="str">
        <f t="shared" si="55"/>
        <v/>
      </c>
      <c r="AM32" s="75" t="str">
        <f>IF(MATHS!H32="","",MATHS!H32)</f>
        <v/>
      </c>
      <c r="AN32" s="75" t="str">
        <f>IF(MATHS!I32="","",MATHS!I32)</f>
        <v/>
      </c>
      <c r="AO32" s="75" t="str">
        <f>IF(MATHS!J32="","",MATHS!J32)</f>
        <v/>
      </c>
      <c r="AP32" s="75" t="str">
        <f t="shared" si="56"/>
        <v/>
      </c>
      <c r="AQ32" s="75" t="str">
        <f t="shared" si="57"/>
        <v/>
      </c>
      <c r="AR32" s="75" t="str">
        <f>IF(MATHS!K32="","",CEILING(MATHS!K32*$AR$6/MATHS!$K$6,1))</f>
        <v/>
      </c>
      <c r="AS32" s="76" t="str">
        <f t="shared" si="58"/>
        <v/>
      </c>
      <c r="AT32" s="76" t="str">
        <f t="shared" si="59"/>
        <v/>
      </c>
      <c r="AU32" s="76" t="str">
        <f>IF(MATHS!O32="","",MATHS!O32*$AU$6/MATHS!$O$6)</f>
        <v/>
      </c>
      <c r="AV32" s="76" t="str">
        <f t="shared" si="60"/>
        <v/>
      </c>
      <c r="AW32" s="76" t="str">
        <f t="shared" si="61"/>
        <v/>
      </c>
      <c r="AX32" s="73" t="str">
        <f>IF(PHYSICS!E33="","",PHYSICS!E33)</f>
        <v/>
      </c>
      <c r="AY32" s="644" t="str">
        <f t="shared" si="62"/>
        <v/>
      </c>
      <c r="AZ32" s="73" t="str">
        <f>IF(PHYSICS!F33="","",PHYSICS!F33)</f>
        <v/>
      </c>
      <c r="BA32" s="73" t="str">
        <f>IF(PHYSICS!G33="","",PHYSICS!G33)</f>
        <v/>
      </c>
      <c r="BB32" s="73" t="str">
        <f t="shared" si="63"/>
        <v/>
      </c>
      <c r="BC32" s="73" t="str">
        <f t="shared" si="64"/>
        <v/>
      </c>
      <c r="BD32" s="73" t="str">
        <f>IF(PHYSICS!H33="","",PHYSICS!H33)</f>
        <v/>
      </c>
      <c r="BE32" s="645" t="str">
        <f t="shared" si="65"/>
        <v/>
      </c>
      <c r="BF32" s="73" t="str">
        <f>IF(PHYSICS!I33="","",PHYSICS!I33)</f>
        <v/>
      </c>
      <c r="BG32" s="73" t="str">
        <f>IF(PHYSICS!J33="","",PHYSICS!J33)</f>
        <v/>
      </c>
      <c r="BH32" s="73" t="str">
        <f t="shared" si="66"/>
        <v/>
      </c>
      <c r="BI32" s="73" t="str">
        <f t="shared" si="67"/>
        <v/>
      </c>
      <c r="BJ32" s="73" t="str">
        <f t="shared" si="68"/>
        <v/>
      </c>
      <c r="BK32" s="73" t="str">
        <f t="shared" si="69"/>
        <v/>
      </c>
      <c r="BL32" s="73" t="str">
        <f t="shared" si="70"/>
        <v/>
      </c>
      <c r="BM32" s="73" t="str">
        <f t="shared" si="71"/>
        <v/>
      </c>
      <c r="BN32" s="73" t="str">
        <f>IF(PHYSICS!M33="","",PHYSICS!M33*$BN$6/PHYSICS!$M$7)</f>
        <v/>
      </c>
      <c r="BO32" s="73" t="str">
        <f t="shared" si="72"/>
        <v/>
      </c>
      <c r="BP32" s="73" t="str">
        <f t="shared" si="73"/>
        <v/>
      </c>
      <c r="BQ32" s="48" t="str">
        <f>IF(CHEMISTRY!E33="","",CHEMISTRY!E33)</f>
        <v/>
      </c>
      <c r="BR32" s="646" t="str">
        <f t="shared" si="74"/>
        <v/>
      </c>
      <c r="BS32" s="48" t="str">
        <f>IF(CHEMISTRY!F33="","",CHEMISTRY!F33)</f>
        <v/>
      </c>
      <c r="BT32" s="48" t="str">
        <f>IF(CHEMISTRY!G33="","",CHEMISTRY!G33)</f>
        <v/>
      </c>
      <c r="BU32" s="48" t="str">
        <f t="shared" si="75"/>
        <v/>
      </c>
      <c r="BV32" s="48" t="str">
        <f t="shared" si="76"/>
        <v/>
      </c>
      <c r="BW32" s="48" t="str">
        <f>IF(CHEMISTRY!H33="","",CHEMISTRY!H33)</f>
        <v/>
      </c>
      <c r="BX32" s="646" t="str">
        <f t="shared" si="77"/>
        <v/>
      </c>
      <c r="BY32" s="48" t="str">
        <f>IF(CHEMISTRY!I33="","",CHEMISTRY!I33)</f>
        <v/>
      </c>
      <c r="BZ32" s="48" t="str">
        <f>IF(CHEMISTRY!J33="","",CHEMISTRY!J33)</f>
        <v/>
      </c>
      <c r="CA32" s="48" t="str">
        <f t="shared" si="78"/>
        <v/>
      </c>
      <c r="CB32" s="48" t="str">
        <f t="shared" si="79"/>
        <v/>
      </c>
      <c r="CC32" s="48" t="str">
        <f t="shared" si="80"/>
        <v/>
      </c>
      <c r="CD32" s="48" t="str">
        <f t="shared" si="81"/>
        <v/>
      </c>
      <c r="CE32" s="48" t="str">
        <f t="shared" si="82"/>
        <v/>
      </c>
      <c r="CF32" s="48" t="str">
        <f t="shared" si="83"/>
        <v/>
      </c>
      <c r="CG32" s="48" t="str">
        <f>IF(CHEMISTRY!M33="","",CHEMISTRY!M33*$CG$6/CHEMISTRY!$M$7)</f>
        <v/>
      </c>
      <c r="CH32" s="48" t="str">
        <f t="shared" si="84"/>
        <v/>
      </c>
      <c r="CI32" s="48" t="str">
        <f t="shared" si="85"/>
        <v/>
      </c>
      <c r="CJ32" s="73" t="str">
        <f>IF(BIOLOGY!E33="","",BIOLOGY!E33)</f>
        <v/>
      </c>
      <c r="CK32" s="73" t="str">
        <f t="shared" si="86"/>
        <v/>
      </c>
      <c r="CL32" s="73" t="str">
        <f>IF(BIOLOGY!F33="","",BIOLOGY!F33)</f>
        <v/>
      </c>
      <c r="CM32" s="73" t="str">
        <f>IF(BIOLOGY!G33="","",BIOLOGY!G33)</f>
        <v/>
      </c>
      <c r="CN32" s="73" t="str">
        <f t="shared" si="87"/>
        <v/>
      </c>
      <c r="CO32" s="73" t="str">
        <f t="shared" si="88"/>
        <v/>
      </c>
      <c r="CP32" s="73" t="str">
        <f>IF(BIOLOGY!H33="","",BIOLOGY!H33)</f>
        <v/>
      </c>
      <c r="CQ32" s="73" t="str">
        <f t="shared" si="89"/>
        <v/>
      </c>
      <c r="CR32" s="73" t="str">
        <f>IF(BIOLOGY!I33="","",BIOLOGY!I33)</f>
        <v/>
      </c>
      <c r="CS32" s="73" t="str">
        <f>IF(BIOLOGY!J33="","",BIOLOGY!J33)</f>
        <v/>
      </c>
      <c r="CT32" s="73" t="str">
        <f t="shared" si="90"/>
        <v/>
      </c>
      <c r="CU32" s="73" t="str">
        <f t="shared" si="91"/>
        <v/>
      </c>
      <c r="CV32" s="73" t="str">
        <f t="shared" si="92"/>
        <v/>
      </c>
      <c r="CW32" s="73" t="str">
        <f t="shared" si="93"/>
        <v/>
      </c>
      <c r="CX32" s="73" t="str">
        <f t="shared" si="94"/>
        <v/>
      </c>
      <c r="CY32" s="73" t="str">
        <f t="shared" si="95"/>
        <v/>
      </c>
      <c r="CZ32" s="73" t="str">
        <f>IF(BIOLOGY!M33="","",CEILING((BIOLOGY!M33*$CZ$6/BIOLOGY!$M$7),1))</f>
        <v/>
      </c>
      <c r="DA32" s="73" t="str">
        <f t="shared" si="96"/>
        <v/>
      </c>
      <c r="DB32" s="73" t="str">
        <f t="shared" si="97"/>
        <v/>
      </c>
      <c r="DC32" s="76" t="str">
        <f>IF('PHY EDU '!E33="","",'PHY EDU '!E33)</f>
        <v/>
      </c>
      <c r="DD32" s="647" t="str">
        <f t="shared" si="98"/>
        <v/>
      </c>
      <c r="DE32" s="76" t="str">
        <f>IF('PHY EDU '!F33="","",'PHY EDU '!F33)</f>
        <v/>
      </c>
      <c r="DF32" s="76" t="str">
        <f>IF('PHY EDU '!G33="","",'PHY EDU '!G33)</f>
        <v/>
      </c>
      <c r="DG32" s="76" t="str">
        <f t="shared" si="99"/>
        <v/>
      </c>
      <c r="DH32" s="76" t="str">
        <f t="shared" si="100"/>
        <v/>
      </c>
      <c r="DI32" s="76" t="str">
        <f>IF('PHY EDU '!H33="","",'PHY EDU '!H33)</f>
        <v/>
      </c>
      <c r="DJ32" s="647" t="str">
        <f t="shared" si="101"/>
        <v/>
      </c>
      <c r="DK32" s="76" t="str">
        <f>IF('PHY EDU '!I33="","",'PHY EDU '!I33)</f>
        <v/>
      </c>
      <c r="DL32" s="76" t="str">
        <f>IF('PHY EDU '!J33="","",'PHY EDU '!J33)</f>
        <v/>
      </c>
      <c r="DM32" s="76" t="str">
        <f t="shared" si="102"/>
        <v/>
      </c>
      <c r="DN32" s="76" t="str">
        <f t="shared" si="103"/>
        <v/>
      </c>
      <c r="DO32" s="76" t="str">
        <f t="shared" si="104"/>
        <v/>
      </c>
      <c r="DP32" s="76" t="str">
        <f t="shared" si="105"/>
        <v/>
      </c>
      <c r="DQ32" s="76" t="str">
        <f t="shared" si="106"/>
        <v/>
      </c>
      <c r="DR32" s="76" t="str">
        <f t="shared" si="107"/>
        <v/>
      </c>
      <c r="DS32" s="76" t="str">
        <f>IF('PHY EDU '!M33="","",ROUNDUP('PHY EDU '!M33*$DS$6/'PHY EDU '!$M$7,0))</f>
        <v/>
      </c>
      <c r="DT32" s="76" t="str">
        <f t="shared" si="108"/>
        <v/>
      </c>
      <c r="DU32" s="76" t="str">
        <f t="shared" si="109"/>
        <v/>
      </c>
      <c r="DV32" s="72" t="str">
        <f t="shared" si="132"/>
        <v/>
      </c>
      <c r="DW32" s="72" t="str">
        <f t="shared" si="133"/>
        <v/>
      </c>
      <c r="DX32" s="72" t="str">
        <f t="shared" si="134"/>
        <v/>
      </c>
      <c r="DY32" s="72" t="str">
        <f t="shared" si="135"/>
        <v/>
      </c>
      <c r="DZ32" s="72" t="str">
        <f t="shared" si="136"/>
        <v/>
      </c>
      <c r="EA32" s="72" t="str">
        <f t="shared" si="137"/>
        <v/>
      </c>
      <c r="EB32" s="76" t="str">
        <f t="shared" si="138"/>
        <v/>
      </c>
      <c r="EC32" s="76" t="str">
        <f t="shared" si="139"/>
        <v/>
      </c>
      <c r="ED32" s="76" t="str">
        <f t="shared" si="140"/>
        <v/>
      </c>
      <c r="EE32" s="76" t="str">
        <f t="shared" si="141"/>
        <v/>
      </c>
      <c r="EF32" s="76" t="str">
        <f t="shared" si="142"/>
        <v/>
      </c>
      <c r="EG32" s="76" t="str">
        <f t="shared" si="143"/>
        <v/>
      </c>
      <c r="EH32" s="77" t="str">
        <f t="shared" si="144"/>
        <v/>
      </c>
      <c r="EI32" s="495" t="str">
        <f t="shared" si="145"/>
        <v/>
      </c>
      <c r="EJ32" s="86" t="str">
        <f t="shared" si="146"/>
        <v/>
      </c>
      <c r="EK32" s="78" t="str">
        <f t="shared" si="147"/>
        <v/>
      </c>
      <c r="EL32" s="79" t="str">
        <f t="shared" si="148"/>
        <v/>
      </c>
      <c r="EM32" s="139" t="str">
        <f t="shared" si="149"/>
        <v/>
      </c>
      <c r="EN32" s="77" t="str">
        <f t="shared" si="150"/>
        <v/>
      </c>
      <c r="EO32" s="77" t="str">
        <f>IF(EN32="","",ATTENDANCE!Q33&amp;"/"&amp;ATTENDANCE!$Q$7)</f>
        <v/>
      </c>
      <c r="EP32" s="80" t="str">
        <f t="shared" si="151"/>
        <v/>
      </c>
      <c r="EQ32" s="80" t="str">
        <f t="shared" si="152"/>
        <v/>
      </c>
      <c r="ER32" s="80" t="str">
        <f t="shared" si="153"/>
        <v/>
      </c>
      <c r="ES32" s="80" t="str">
        <f t="shared" si="154"/>
        <v/>
      </c>
      <c r="ET32" s="80" t="str">
        <f t="shared" si="155"/>
        <v/>
      </c>
      <c r="EU32" s="80" t="str">
        <f t="shared" si="156"/>
        <v/>
      </c>
      <c r="EV32" s="492" t="str">
        <f t="shared" si="157"/>
        <v/>
      </c>
      <c r="EW32" s="129" t="str">
        <f t="shared" si="158"/>
        <v/>
      </c>
      <c r="EX32" s="129" t="str">
        <f t="shared" si="159"/>
        <v/>
      </c>
      <c r="EY32" s="129" t="str">
        <f t="shared" si="160"/>
        <v/>
      </c>
      <c r="EZ32" s="129" t="str">
        <f t="shared" si="161"/>
        <v/>
      </c>
      <c r="FA32" s="129" t="str">
        <f t="shared" si="162"/>
        <v/>
      </c>
      <c r="FB32" s="129" t="str">
        <f t="shared" si="163"/>
        <v/>
      </c>
      <c r="FC32" s="80" t="str">
        <f t="shared" si="164"/>
        <v/>
      </c>
      <c r="FD32" s="80" t="str">
        <f t="shared" si="165"/>
        <v/>
      </c>
      <c r="FE32" s="80" t="str">
        <f t="shared" si="166"/>
        <v/>
      </c>
      <c r="FF32" s="488" t="str">
        <f t="shared" si="167"/>
        <v/>
      </c>
      <c r="FG32" s="80" t="str">
        <f t="shared" si="168"/>
        <v/>
      </c>
      <c r="FH32" s="80" t="str">
        <f t="shared" si="169"/>
        <v/>
      </c>
      <c r="FI32" s="496" t="str">
        <f t="shared" si="170"/>
        <v/>
      </c>
      <c r="FJ32" s="140" t="str">
        <f t="shared" si="171"/>
        <v/>
      </c>
      <c r="FK32" s="492" t="str">
        <f t="shared" si="172"/>
        <v/>
      </c>
      <c r="FL32" s="490" t="str">
        <f t="shared" si="173"/>
        <v/>
      </c>
      <c r="FM32" s="74" t="str">
        <f t="shared" si="174"/>
        <v/>
      </c>
    </row>
    <row r="33" spans="1:169" ht="16.8" x14ac:dyDescent="0.3">
      <c r="A33" s="6"/>
      <c r="B33" s="25">
        <f>DATA!B31</f>
        <v>0</v>
      </c>
      <c r="C33" s="25" t="str">
        <f>IF(DATA!C31="","",DATA!C31)</f>
        <v/>
      </c>
      <c r="D33" s="25" t="str">
        <f>IF(DATA!D31="","",DATA!D31)</f>
        <v/>
      </c>
      <c r="E33" s="738" t="str">
        <f>IF(DATA!E31="","",DATA!E31)</f>
        <v/>
      </c>
      <c r="F33" s="738" t="str">
        <f>IF(DATA!F31="","",DATA!F31)</f>
        <v/>
      </c>
      <c r="G33" s="738" t="str">
        <f>IF(DATA!G31="","",DATA!G31)</f>
        <v/>
      </c>
      <c r="H33" s="214" t="str">
        <f>IF(DATA!H31="","",DATA!H31)</f>
        <v/>
      </c>
      <c r="I33" s="214" t="str">
        <f>IF(DATA!I31="","",DATA!I31)</f>
        <v/>
      </c>
      <c r="J33" s="214" t="str">
        <f>IF(DATA!J31="","",DATA!J31)</f>
        <v/>
      </c>
      <c r="K33" s="214" t="str">
        <f>IF(DATA!K31="","",DATA!K31)</f>
        <v/>
      </c>
      <c r="L33" s="73" t="str">
        <f>IF(ENGLISH!E33="","",ENGLISH!E33)</f>
        <v/>
      </c>
      <c r="M33" s="73" t="str">
        <f t="shared" si="41"/>
        <v/>
      </c>
      <c r="N33" s="73" t="str">
        <f>IF(ENGLISH!F33="","",ENGLISH!F33)</f>
        <v/>
      </c>
      <c r="O33" s="73" t="str">
        <f t="shared" si="42"/>
        <v/>
      </c>
      <c r="P33" s="73" t="str">
        <f>IF(ENGLISH!G33="","",ENGLISH!G33)</f>
        <v/>
      </c>
      <c r="Q33" s="73" t="str">
        <f t="shared" si="43"/>
        <v/>
      </c>
      <c r="R33" s="73" t="str">
        <f>IF(ENGLISH!H33="","",ENGLISH!H33)</f>
        <v/>
      </c>
      <c r="S33" s="73" t="str">
        <f>IF(ENGLISH!I33="","",ENGLISH!I33)</f>
        <v/>
      </c>
      <c r="T33" s="73" t="str">
        <f>IF(ENGLISH!J33="","",ENGLISH!J33)</f>
        <v/>
      </c>
      <c r="U33" s="73" t="str">
        <f>IF(ENGLISH!K33="","",ENGLISH!K33)</f>
        <v/>
      </c>
      <c r="V33" s="73" t="str">
        <f t="shared" si="44"/>
        <v/>
      </c>
      <c r="W33" s="81" t="str">
        <f>IF(ENGLISH!L33="","",ENGLISH!L33)</f>
        <v/>
      </c>
      <c r="X33" s="73" t="str">
        <f t="shared" si="45"/>
        <v/>
      </c>
      <c r="Y33" s="73" t="str">
        <f t="shared" si="46"/>
        <v/>
      </c>
      <c r="Z33" s="73" t="str">
        <f t="shared" si="47"/>
        <v/>
      </c>
      <c r="AA33" s="73" t="str">
        <f>IF(ENGLISH!O33="","",ENGLISH!O33*40/ENGLISH!$O$6)</f>
        <v/>
      </c>
      <c r="AB33" s="73" t="str">
        <f t="shared" si="48"/>
        <v/>
      </c>
      <c r="AC33" s="73" t="str">
        <f t="shared" si="49"/>
        <v/>
      </c>
      <c r="AD33" s="74" t="str">
        <f>IF(MATHS!E33="","",MATHS!E33)</f>
        <v/>
      </c>
      <c r="AE33" s="643" t="str">
        <f t="shared" si="50"/>
        <v/>
      </c>
      <c r="AF33" s="74" t="str">
        <f>IF(MATHS!F33="","",MATHS!F33)</f>
        <v/>
      </c>
      <c r="AG33" s="643" t="str">
        <f t="shared" si="51"/>
        <v/>
      </c>
      <c r="AH33" s="74" t="str">
        <f>IF(MATHS!G33="","",MATHS!G33)</f>
        <v/>
      </c>
      <c r="AI33" s="643" t="str">
        <f t="shared" si="52"/>
        <v/>
      </c>
      <c r="AJ33" s="75" t="str">
        <f t="shared" si="53"/>
        <v/>
      </c>
      <c r="AK33" s="75" t="str">
        <f t="shared" si="54"/>
        <v/>
      </c>
      <c r="AL33" s="75" t="str">
        <f t="shared" si="55"/>
        <v/>
      </c>
      <c r="AM33" s="75" t="str">
        <f>IF(MATHS!H33="","",MATHS!H33)</f>
        <v/>
      </c>
      <c r="AN33" s="75" t="str">
        <f>IF(MATHS!I33="","",MATHS!I33)</f>
        <v/>
      </c>
      <c r="AO33" s="75" t="str">
        <f>IF(MATHS!J33="","",MATHS!J33)</f>
        <v/>
      </c>
      <c r="AP33" s="75" t="str">
        <f t="shared" si="56"/>
        <v/>
      </c>
      <c r="AQ33" s="75" t="str">
        <f t="shared" si="57"/>
        <v/>
      </c>
      <c r="AR33" s="75" t="str">
        <f>IF(MATHS!K33="","",CEILING(MATHS!K33*$AR$6/MATHS!$K$6,1))</f>
        <v/>
      </c>
      <c r="AS33" s="76" t="str">
        <f t="shared" si="58"/>
        <v/>
      </c>
      <c r="AT33" s="76" t="str">
        <f t="shared" si="59"/>
        <v/>
      </c>
      <c r="AU33" s="76" t="str">
        <f>IF(MATHS!O33="","",MATHS!O33*$AU$6/MATHS!$O$6)</f>
        <v/>
      </c>
      <c r="AV33" s="76" t="str">
        <f t="shared" si="60"/>
        <v/>
      </c>
      <c r="AW33" s="76" t="str">
        <f t="shared" si="61"/>
        <v/>
      </c>
      <c r="AX33" s="73" t="str">
        <f>IF(PHYSICS!E34="","",PHYSICS!E34)</f>
        <v/>
      </c>
      <c r="AY33" s="644" t="str">
        <f t="shared" si="62"/>
        <v/>
      </c>
      <c r="AZ33" s="73" t="str">
        <f>IF(PHYSICS!F34="","",PHYSICS!F34)</f>
        <v/>
      </c>
      <c r="BA33" s="73" t="str">
        <f>IF(PHYSICS!G34="","",PHYSICS!G34)</f>
        <v/>
      </c>
      <c r="BB33" s="73" t="str">
        <f t="shared" si="63"/>
        <v/>
      </c>
      <c r="BC33" s="73" t="str">
        <f t="shared" si="64"/>
        <v/>
      </c>
      <c r="BD33" s="73" t="str">
        <f>IF(PHYSICS!H34="","",PHYSICS!H34)</f>
        <v/>
      </c>
      <c r="BE33" s="645" t="str">
        <f t="shared" si="65"/>
        <v/>
      </c>
      <c r="BF33" s="73" t="str">
        <f>IF(PHYSICS!I34="","",PHYSICS!I34)</f>
        <v/>
      </c>
      <c r="BG33" s="73" t="str">
        <f>IF(PHYSICS!J34="","",PHYSICS!J34)</f>
        <v/>
      </c>
      <c r="BH33" s="73" t="str">
        <f t="shared" si="66"/>
        <v/>
      </c>
      <c r="BI33" s="73" t="str">
        <f t="shared" si="67"/>
        <v/>
      </c>
      <c r="BJ33" s="73" t="str">
        <f t="shared" si="68"/>
        <v/>
      </c>
      <c r="BK33" s="73" t="str">
        <f t="shared" si="69"/>
        <v/>
      </c>
      <c r="BL33" s="73" t="str">
        <f t="shared" si="70"/>
        <v/>
      </c>
      <c r="BM33" s="73" t="str">
        <f t="shared" si="71"/>
        <v/>
      </c>
      <c r="BN33" s="73" t="str">
        <f>IF(PHYSICS!M34="","",PHYSICS!M34*$BN$6/PHYSICS!$M$7)</f>
        <v/>
      </c>
      <c r="BO33" s="73" t="str">
        <f t="shared" si="72"/>
        <v/>
      </c>
      <c r="BP33" s="73" t="str">
        <f t="shared" si="73"/>
        <v/>
      </c>
      <c r="BQ33" s="48" t="str">
        <f>IF(CHEMISTRY!E34="","",CHEMISTRY!E34)</f>
        <v/>
      </c>
      <c r="BR33" s="646" t="str">
        <f t="shared" si="74"/>
        <v/>
      </c>
      <c r="BS33" s="48" t="str">
        <f>IF(CHEMISTRY!F34="","",CHEMISTRY!F34)</f>
        <v/>
      </c>
      <c r="BT33" s="48" t="str">
        <f>IF(CHEMISTRY!G34="","",CHEMISTRY!G34)</f>
        <v/>
      </c>
      <c r="BU33" s="48" t="str">
        <f t="shared" si="75"/>
        <v/>
      </c>
      <c r="BV33" s="48" t="str">
        <f t="shared" si="76"/>
        <v/>
      </c>
      <c r="BW33" s="48" t="str">
        <f>IF(CHEMISTRY!H34="","",CHEMISTRY!H34)</f>
        <v/>
      </c>
      <c r="BX33" s="646" t="str">
        <f t="shared" si="77"/>
        <v/>
      </c>
      <c r="BY33" s="48" t="str">
        <f>IF(CHEMISTRY!I34="","",CHEMISTRY!I34)</f>
        <v/>
      </c>
      <c r="BZ33" s="48" t="str">
        <f>IF(CHEMISTRY!J34="","",CHEMISTRY!J34)</f>
        <v/>
      </c>
      <c r="CA33" s="48" t="str">
        <f t="shared" si="78"/>
        <v/>
      </c>
      <c r="CB33" s="48" t="str">
        <f t="shared" si="79"/>
        <v/>
      </c>
      <c r="CC33" s="48" t="str">
        <f t="shared" si="80"/>
        <v/>
      </c>
      <c r="CD33" s="48" t="str">
        <f t="shared" si="81"/>
        <v/>
      </c>
      <c r="CE33" s="48" t="str">
        <f t="shared" si="82"/>
        <v/>
      </c>
      <c r="CF33" s="48" t="str">
        <f t="shared" si="83"/>
        <v/>
      </c>
      <c r="CG33" s="48" t="str">
        <f>IF(CHEMISTRY!M34="","",CHEMISTRY!M34*$CG$6/CHEMISTRY!$M$7)</f>
        <v/>
      </c>
      <c r="CH33" s="48" t="str">
        <f t="shared" si="84"/>
        <v/>
      </c>
      <c r="CI33" s="48" t="str">
        <f t="shared" si="85"/>
        <v/>
      </c>
      <c r="CJ33" s="73" t="str">
        <f>IF(BIOLOGY!E34="","",BIOLOGY!E34)</f>
        <v/>
      </c>
      <c r="CK33" s="73" t="str">
        <f t="shared" si="86"/>
        <v/>
      </c>
      <c r="CL33" s="73" t="str">
        <f>IF(BIOLOGY!F34="","",BIOLOGY!F34)</f>
        <v/>
      </c>
      <c r="CM33" s="73" t="str">
        <f>IF(BIOLOGY!G34="","",BIOLOGY!G34)</f>
        <v/>
      </c>
      <c r="CN33" s="73" t="str">
        <f t="shared" si="87"/>
        <v/>
      </c>
      <c r="CO33" s="73" t="str">
        <f t="shared" si="88"/>
        <v/>
      </c>
      <c r="CP33" s="73" t="str">
        <f>IF(BIOLOGY!H34="","",BIOLOGY!H34)</f>
        <v/>
      </c>
      <c r="CQ33" s="73" t="str">
        <f t="shared" si="89"/>
        <v/>
      </c>
      <c r="CR33" s="73" t="str">
        <f>IF(BIOLOGY!I34="","",BIOLOGY!I34)</f>
        <v/>
      </c>
      <c r="CS33" s="73" t="str">
        <f>IF(BIOLOGY!J34="","",BIOLOGY!J34)</f>
        <v/>
      </c>
      <c r="CT33" s="73" t="str">
        <f t="shared" si="90"/>
        <v/>
      </c>
      <c r="CU33" s="73" t="str">
        <f t="shared" si="91"/>
        <v/>
      </c>
      <c r="CV33" s="73" t="str">
        <f t="shared" si="92"/>
        <v/>
      </c>
      <c r="CW33" s="73" t="str">
        <f t="shared" si="93"/>
        <v/>
      </c>
      <c r="CX33" s="73" t="str">
        <f t="shared" si="94"/>
        <v/>
      </c>
      <c r="CY33" s="73" t="str">
        <f t="shared" si="95"/>
        <v/>
      </c>
      <c r="CZ33" s="73" t="str">
        <f>IF(BIOLOGY!M34="","",CEILING((BIOLOGY!M34*$CZ$6/BIOLOGY!$M$7),1))</f>
        <v/>
      </c>
      <c r="DA33" s="73" t="str">
        <f t="shared" si="96"/>
        <v/>
      </c>
      <c r="DB33" s="73" t="str">
        <f t="shared" si="97"/>
        <v/>
      </c>
      <c r="DC33" s="76" t="str">
        <f>IF('PHY EDU '!E34="","",'PHY EDU '!E34)</f>
        <v/>
      </c>
      <c r="DD33" s="647" t="str">
        <f t="shared" si="98"/>
        <v/>
      </c>
      <c r="DE33" s="76" t="str">
        <f>IF('PHY EDU '!F34="","",'PHY EDU '!F34)</f>
        <v/>
      </c>
      <c r="DF33" s="76" t="str">
        <f>IF('PHY EDU '!G34="","",'PHY EDU '!G34)</f>
        <v/>
      </c>
      <c r="DG33" s="76" t="str">
        <f t="shared" si="99"/>
        <v/>
      </c>
      <c r="DH33" s="76" t="str">
        <f t="shared" si="100"/>
        <v/>
      </c>
      <c r="DI33" s="76" t="str">
        <f>IF('PHY EDU '!H34="","",'PHY EDU '!H34)</f>
        <v/>
      </c>
      <c r="DJ33" s="647" t="str">
        <f t="shared" si="101"/>
        <v/>
      </c>
      <c r="DK33" s="76" t="str">
        <f>IF('PHY EDU '!I34="","",'PHY EDU '!I34)</f>
        <v/>
      </c>
      <c r="DL33" s="76" t="str">
        <f>IF('PHY EDU '!J34="","",'PHY EDU '!J34)</f>
        <v/>
      </c>
      <c r="DM33" s="76" t="str">
        <f t="shared" si="102"/>
        <v/>
      </c>
      <c r="DN33" s="76" t="str">
        <f t="shared" si="103"/>
        <v/>
      </c>
      <c r="DO33" s="76" t="str">
        <f t="shared" si="104"/>
        <v/>
      </c>
      <c r="DP33" s="76" t="str">
        <f t="shared" si="105"/>
        <v/>
      </c>
      <c r="DQ33" s="76" t="str">
        <f t="shared" si="106"/>
        <v/>
      </c>
      <c r="DR33" s="76" t="str">
        <f t="shared" si="107"/>
        <v/>
      </c>
      <c r="DS33" s="76" t="str">
        <f>IF('PHY EDU '!M34="","",ROUNDUP('PHY EDU '!M34*$DS$6/'PHY EDU '!$M$7,0))</f>
        <v/>
      </c>
      <c r="DT33" s="76" t="str">
        <f t="shared" si="108"/>
        <v/>
      </c>
      <c r="DU33" s="76" t="str">
        <f t="shared" si="109"/>
        <v/>
      </c>
      <c r="DV33" s="72" t="str">
        <f t="shared" si="132"/>
        <v/>
      </c>
      <c r="DW33" s="72" t="str">
        <f t="shared" si="133"/>
        <v/>
      </c>
      <c r="DX33" s="72" t="str">
        <f t="shared" si="134"/>
        <v/>
      </c>
      <c r="DY33" s="72" t="str">
        <f t="shared" si="135"/>
        <v/>
      </c>
      <c r="DZ33" s="72" t="str">
        <f t="shared" si="136"/>
        <v/>
      </c>
      <c r="EA33" s="72" t="str">
        <f t="shared" si="137"/>
        <v/>
      </c>
      <c r="EB33" s="76" t="str">
        <f t="shared" si="138"/>
        <v/>
      </c>
      <c r="EC33" s="76" t="str">
        <f t="shared" si="139"/>
        <v/>
      </c>
      <c r="ED33" s="76" t="str">
        <f t="shared" si="140"/>
        <v/>
      </c>
      <c r="EE33" s="76" t="str">
        <f t="shared" si="141"/>
        <v/>
      </c>
      <c r="EF33" s="76" t="str">
        <f t="shared" si="142"/>
        <v/>
      </c>
      <c r="EG33" s="76" t="str">
        <f t="shared" si="143"/>
        <v/>
      </c>
      <c r="EH33" s="77" t="str">
        <f t="shared" si="144"/>
        <v/>
      </c>
      <c r="EI33" s="495" t="str">
        <f t="shared" si="145"/>
        <v/>
      </c>
      <c r="EJ33" s="86" t="str">
        <f t="shared" si="146"/>
        <v/>
      </c>
      <c r="EK33" s="78" t="str">
        <f t="shared" si="147"/>
        <v/>
      </c>
      <c r="EL33" s="79" t="str">
        <f t="shared" si="148"/>
        <v/>
      </c>
      <c r="EM33" s="139" t="str">
        <f t="shared" si="149"/>
        <v/>
      </c>
      <c r="EN33" s="77" t="str">
        <f t="shared" si="150"/>
        <v/>
      </c>
      <c r="EO33" s="77" t="str">
        <f>IF(EN33="","",ATTENDANCE!Q34&amp;"/"&amp;ATTENDANCE!$Q$7)</f>
        <v/>
      </c>
      <c r="EP33" s="80" t="str">
        <f t="shared" si="151"/>
        <v/>
      </c>
      <c r="EQ33" s="80" t="str">
        <f t="shared" si="152"/>
        <v/>
      </c>
      <c r="ER33" s="80" t="str">
        <f t="shared" si="153"/>
        <v/>
      </c>
      <c r="ES33" s="80" t="str">
        <f t="shared" si="154"/>
        <v/>
      </c>
      <c r="ET33" s="80" t="str">
        <f t="shared" si="155"/>
        <v/>
      </c>
      <c r="EU33" s="80" t="str">
        <f t="shared" si="156"/>
        <v/>
      </c>
      <c r="EV33" s="492" t="str">
        <f t="shared" si="157"/>
        <v/>
      </c>
      <c r="EW33" s="129" t="str">
        <f t="shared" si="158"/>
        <v/>
      </c>
      <c r="EX33" s="129" t="str">
        <f t="shared" si="159"/>
        <v/>
      </c>
      <c r="EY33" s="129" t="str">
        <f t="shared" si="160"/>
        <v/>
      </c>
      <c r="EZ33" s="129" t="str">
        <f t="shared" si="161"/>
        <v/>
      </c>
      <c r="FA33" s="129" t="str">
        <f t="shared" si="162"/>
        <v/>
      </c>
      <c r="FB33" s="129" t="str">
        <f t="shared" si="163"/>
        <v/>
      </c>
      <c r="FC33" s="80" t="str">
        <f t="shared" si="164"/>
        <v/>
      </c>
      <c r="FD33" s="80" t="str">
        <f t="shared" si="165"/>
        <v/>
      </c>
      <c r="FE33" s="80" t="str">
        <f t="shared" si="166"/>
        <v/>
      </c>
      <c r="FF33" s="488" t="str">
        <f t="shared" si="167"/>
        <v/>
      </c>
      <c r="FG33" s="80" t="str">
        <f t="shared" si="168"/>
        <v/>
      </c>
      <c r="FH33" s="80" t="str">
        <f t="shared" si="169"/>
        <v/>
      </c>
      <c r="FI33" s="496" t="str">
        <f t="shared" si="170"/>
        <v/>
      </c>
      <c r="FJ33" s="140" t="str">
        <f t="shared" si="171"/>
        <v/>
      </c>
      <c r="FK33" s="492" t="str">
        <f t="shared" si="172"/>
        <v/>
      </c>
      <c r="FL33" s="490" t="str">
        <f t="shared" si="173"/>
        <v/>
      </c>
      <c r="FM33" s="74" t="str">
        <f t="shared" si="174"/>
        <v/>
      </c>
    </row>
    <row r="34" spans="1:169" ht="16.8" x14ac:dyDescent="0.3">
      <c r="A34" s="6"/>
      <c r="B34" s="25">
        <f>DATA!B32</f>
        <v>0</v>
      </c>
      <c r="C34" s="25" t="str">
        <f>IF(DATA!C32="","",DATA!C32)</f>
        <v/>
      </c>
      <c r="D34" s="25" t="str">
        <f>IF(DATA!D32="","",DATA!D32)</f>
        <v/>
      </c>
      <c r="E34" s="738" t="str">
        <f>IF(DATA!E32="","",DATA!E32)</f>
        <v/>
      </c>
      <c r="F34" s="738" t="str">
        <f>IF(DATA!F32="","",DATA!F32)</f>
        <v/>
      </c>
      <c r="G34" s="738" t="str">
        <f>IF(DATA!G32="","",DATA!G32)</f>
        <v/>
      </c>
      <c r="H34" s="214" t="str">
        <f>IF(DATA!H32="","",DATA!H32)</f>
        <v/>
      </c>
      <c r="I34" s="214" t="str">
        <f>IF(DATA!I32="","",DATA!I32)</f>
        <v/>
      </c>
      <c r="J34" s="214" t="str">
        <f>IF(DATA!J32="","",DATA!J32)</f>
        <v/>
      </c>
      <c r="K34" s="214" t="str">
        <f>IF(DATA!K32="","",DATA!K32)</f>
        <v/>
      </c>
      <c r="L34" s="73" t="str">
        <f>IF(ENGLISH!E34="","",ENGLISH!E34)</f>
        <v/>
      </c>
      <c r="M34" s="73" t="str">
        <f t="shared" si="41"/>
        <v/>
      </c>
      <c r="N34" s="73" t="str">
        <f>IF(ENGLISH!F34="","",ENGLISH!F34)</f>
        <v/>
      </c>
      <c r="O34" s="73" t="str">
        <f t="shared" si="42"/>
        <v/>
      </c>
      <c r="P34" s="73" t="str">
        <f>IF(ENGLISH!G34="","",ENGLISH!G34)</f>
        <v/>
      </c>
      <c r="Q34" s="73" t="str">
        <f t="shared" si="43"/>
        <v/>
      </c>
      <c r="R34" s="73" t="str">
        <f>IF(ENGLISH!H34="","",ENGLISH!H34)</f>
        <v/>
      </c>
      <c r="S34" s="73" t="str">
        <f>IF(ENGLISH!I34="","",ENGLISH!I34)</f>
        <v/>
      </c>
      <c r="T34" s="73" t="str">
        <f>IF(ENGLISH!J34="","",ENGLISH!J34)</f>
        <v/>
      </c>
      <c r="U34" s="73" t="str">
        <f>IF(ENGLISH!K34="","",ENGLISH!K34)</f>
        <v/>
      </c>
      <c r="V34" s="73" t="str">
        <f t="shared" si="44"/>
        <v/>
      </c>
      <c r="W34" s="81" t="str">
        <f>IF(ENGLISH!L34="","",ENGLISH!L34)</f>
        <v/>
      </c>
      <c r="X34" s="73" t="str">
        <f t="shared" si="45"/>
        <v/>
      </c>
      <c r="Y34" s="73" t="str">
        <f t="shared" si="46"/>
        <v/>
      </c>
      <c r="Z34" s="73" t="str">
        <f t="shared" si="47"/>
        <v/>
      </c>
      <c r="AA34" s="73" t="str">
        <f>IF(ENGLISH!O34="","",ENGLISH!O34*40/ENGLISH!$O$6)</f>
        <v/>
      </c>
      <c r="AB34" s="73" t="str">
        <f t="shared" si="48"/>
        <v/>
      </c>
      <c r="AC34" s="73" t="str">
        <f t="shared" si="49"/>
        <v/>
      </c>
      <c r="AD34" s="74" t="str">
        <f>IF(MATHS!E34="","",MATHS!E34)</f>
        <v/>
      </c>
      <c r="AE34" s="643" t="str">
        <f t="shared" si="50"/>
        <v/>
      </c>
      <c r="AF34" s="74" t="str">
        <f>IF(MATHS!F34="","",MATHS!F34)</f>
        <v/>
      </c>
      <c r="AG34" s="643" t="str">
        <f t="shared" si="51"/>
        <v/>
      </c>
      <c r="AH34" s="74" t="str">
        <f>IF(MATHS!G34="","",MATHS!G34)</f>
        <v/>
      </c>
      <c r="AI34" s="643" t="str">
        <f t="shared" si="52"/>
        <v/>
      </c>
      <c r="AJ34" s="75" t="str">
        <f t="shared" si="53"/>
        <v/>
      </c>
      <c r="AK34" s="75" t="str">
        <f t="shared" si="54"/>
        <v/>
      </c>
      <c r="AL34" s="75" t="str">
        <f t="shared" si="55"/>
        <v/>
      </c>
      <c r="AM34" s="75" t="str">
        <f>IF(MATHS!H34="","",MATHS!H34)</f>
        <v/>
      </c>
      <c r="AN34" s="75" t="str">
        <f>IF(MATHS!I34="","",MATHS!I34)</f>
        <v/>
      </c>
      <c r="AO34" s="75" t="str">
        <f>IF(MATHS!J34="","",MATHS!J34)</f>
        <v/>
      </c>
      <c r="AP34" s="75" t="str">
        <f t="shared" si="56"/>
        <v/>
      </c>
      <c r="AQ34" s="75" t="str">
        <f t="shared" si="57"/>
        <v/>
      </c>
      <c r="AR34" s="75" t="str">
        <f>IF(MATHS!K34="","",CEILING(MATHS!K34*$AR$6/MATHS!$K$6,1))</f>
        <v/>
      </c>
      <c r="AS34" s="76" t="str">
        <f t="shared" si="58"/>
        <v/>
      </c>
      <c r="AT34" s="76" t="str">
        <f t="shared" si="59"/>
        <v/>
      </c>
      <c r="AU34" s="76" t="str">
        <f>IF(MATHS!O34="","",MATHS!O34*$AU$6/MATHS!$O$6)</f>
        <v/>
      </c>
      <c r="AV34" s="76" t="str">
        <f t="shared" si="60"/>
        <v/>
      </c>
      <c r="AW34" s="76" t="str">
        <f t="shared" si="61"/>
        <v/>
      </c>
      <c r="AX34" s="73" t="str">
        <f>IF(PHYSICS!E35="","",PHYSICS!E35)</f>
        <v/>
      </c>
      <c r="AY34" s="644" t="str">
        <f t="shared" si="62"/>
        <v/>
      </c>
      <c r="AZ34" s="73" t="str">
        <f>IF(PHYSICS!F35="","",PHYSICS!F35)</f>
        <v/>
      </c>
      <c r="BA34" s="73" t="str">
        <f>IF(PHYSICS!G35="","",PHYSICS!G35)</f>
        <v/>
      </c>
      <c r="BB34" s="73" t="str">
        <f t="shared" si="63"/>
        <v/>
      </c>
      <c r="BC34" s="73" t="str">
        <f t="shared" si="64"/>
        <v/>
      </c>
      <c r="BD34" s="73" t="str">
        <f>IF(PHYSICS!H35="","",PHYSICS!H35)</f>
        <v/>
      </c>
      <c r="BE34" s="645" t="str">
        <f t="shared" si="65"/>
        <v/>
      </c>
      <c r="BF34" s="73" t="str">
        <f>IF(PHYSICS!I35="","",PHYSICS!I35)</f>
        <v/>
      </c>
      <c r="BG34" s="73" t="str">
        <f>IF(PHYSICS!J35="","",PHYSICS!J35)</f>
        <v/>
      </c>
      <c r="BH34" s="73" t="str">
        <f t="shared" si="66"/>
        <v/>
      </c>
      <c r="BI34" s="73" t="str">
        <f t="shared" si="67"/>
        <v/>
      </c>
      <c r="BJ34" s="73" t="str">
        <f t="shared" si="68"/>
        <v/>
      </c>
      <c r="BK34" s="73" t="str">
        <f t="shared" si="69"/>
        <v/>
      </c>
      <c r="BL34" s="73" t="str">
        <f t="shared" si="70"/>
        <v/>
      </c>
      <c r="BM34" s="73" t="str">
        <f t="shared" si="71"/>
        <v/>
      </c>
      <c r="BN34" s="73" t="str">
        <f>IF(PHYSICS!M35="","",PHYSICS!M35*$BN$6/PHYSICS!$M$7)</f>
        <v/>
      </c>
      <c r="BO34" s="73" t="str">
        <f t="shared" si="72"/>
        <v/>
      </c>
      <c r="BP34" s="73" t="str">
        <f t="shared" si="73"/>
        <v/>
      </c>
      <c r="BQ34" s="48" t="str">
        <f>IF(CHEMISTRY!E35="","",CHEMISTRY!E35)</f>
        <v/>
      </c>
      <c r="BR34" s="646" t="str">
        <f t="shared" si="74"/>
        <v/>
      </c>
      <c r="BS34" s="48" t="str">
        <f>IF(CHEMISTRY!F35="","",CHEMISTRY!F35)</f>
        <v/>
      </c>
      <c r="BT34" s="48" t="str">
        <f>IF(CHEMISTRY!G35="","",CHEMISTRY!G35)</f>
        <v/>
      </c>
      <c r="BU34" s="48" t="str">
        <f t="shared" si="75"/>
        <v/>
      </c>
      <c r="BV34" s="48" t="str">
        <f t="shared" si="76"/>
        <v/>
      </c>
      <c r="BW34" s="48" t="str">
        <f>IF(CHEMISTRY!H35="","",CHEMISTRY!H35)</f>
        <v/>
      </c>
      <c r="BX34" s="646" t="str">
        <f t="shared" si="77"/>
        <v/>
      </c>
      <c r="BY34" s="48" t="str">
        <f>IF(CHEMISTRY!I35="","",CHEMISTRY!I35)</f>
        <v/>
      </c>
      <c r="BZ34" s="48" t="str">
        <f>IF(CHEMISTRY!J35="","",CHEMISTRY!J35)</f>
        <v/>
      </c>
      <c r="CA34" s="48" t="str">
        <f t="shared" si="78"/>
        <v/>
      </c>
      <c r="CB34" s="48" t="str">
        <f t="shared" si="79"/>
        <v/>
      </c>
      <c r="CC34" s="48" t="str">
        <f t="shared" si="80"/>
        <v/>
      </c>
      <c r="CD34" s="48" t="str">
        <f t="shared" si="81"/>
        <v/>
      </c>
      <c r="CE34" s="48" t="str">
        <f t="shared" si="82"/>
        <v/>
      </c>
      <c r="CF34" s="48" t="str">
        <f t="shared" si="83"/>
        <v/>
      </c>
      <c r="CG34" s="48" t="str">
        <f>IF(CHEMISTRY!M35="","",CHEMISTRY!M35*$CG$6/CHEMISTRY!$M$7)</f>
        <v/>
      </c>
      <c r="CH34" s="48" t="str">
        <f t="shared" si="84"/>
        <v/>
      </c>
      <c r="CI34" s="48" t="str">
        <f t="shared" si="85"/>
        <v/>
      </c>
      <c r="CJ34" s="73" t="str">
        <f>IF(BIOLOGY!E35="","",BIOLOGY!E35)</f>
        <v/>
      </c>
      <c r="CK34" s="73" t="str">
        <f t="shared" si="86"/>
        <v/>
      </c>
      <c r="CL34" s="73" t="str">
        <f>IF(BIOLOGY!F35="","",BIOLOGY!F35)</f>
        <v/>
      </c>
      <c r="CM34" s="73" t="str">
        <f>IF(BIOLOGY!G35="","",BIOLOGY!G35)</f>
        <v/>
      </c>
      <c r="CN34" s="73" t="str">
        <f t="shared" si="87"/>
        <v/>
      </c>
      <c r="CO34" s="73" t="str">
        <f t="shared" si="88"/>
        <v/>
      </c>
      <c r="CP34" s="73" t="str">
        <f>IF(BIOLOGY!H35="","",BIOLOGY!H35)</f>
        <v/>
      </c>
      <c r="CQ34" s="73" t="str">
        <f t="shared" si="89"/>
        <v/>
      </c>
      <c r="CR34" s="73" t="str">
        <f>IF(BIOLOGY!I35="","",BIOLOGY!I35)</f>
        <v/>
      </c>
      <c r="CS34" s="73" t="str">
        <f>IF(BIOLOGY!J35="","",BIOLOGY!J35)</f>
        <v/>
      </c>
      <c r="CT34" s="73" t="str">
        <f t="shared" si="90"/>
        <v/>
      </c>
      <c r="CU34" s="73" t="str">
        <f t="shared" si="91"/>
        <v/>
      </c>
      <c r="CV34" s="73" t="str">
        <f t="shared" si="92"/>
        <v/>
      </c>
      <c r="CW34" s="73" t="str">
        <f t="shared" si="93"/>
        <v/>
      </c>
      <c r="CX34" s="73" t="str">
        <f t="shared" si="94"/>
        <v/>
      </c>
      <c r="CY34" s="73" t="str">
        <f t="shared" si="95"/>
        <v/>
      </c>
      <c r="CZ34" s="73" t="str">
        <f>IF(BIOLOGY!M35="","",CEILING((BIOLOGY!M35*$CZ$6/BIOLOGY!$M$7),1))</f>
        <v/>
      </c>
      <c r="DA34" s="73" t="str">
        <f t="shared" si="96"/>
        <v/>
      </c>
      <c r="DB34" s="73" t="str">
        <f t="shared" si="97"/>
        <v/>
      </c>
      <c r="DC34" s="76" t="str">
        <f>IF('PHY EDU '!E35="","",'PHY EDU '!E35)</f>
        <v/>
      </c>
      <c r="DD34" s="647" t="str">
        <f t="shared" si="98"/>
        <v/>
      </c>
      <c r="DE34" s="76" t="str">
        <f>IF('PHY EDU '!F35="","",'PHY EDU '!F35)</f>
        <v/>
      </c>
      <c r="DF34" s="76" t="str">
        <f>IF('PHY EDU '!G35="","",'PHY EDU '!G35)</f>
        <v/>
      </c>
      <c r="DG34" s="76" t="str">
        <f t="shared" si="99"/>
        <v/>
      </c>
      <c r="DH34" s="76" t="str">
        <f t="shared" si="100"/>
        <v/>
      </c>
      <c r="DI34" s="76" t="str">
        <f>IF('PHY EDU '!H35="","",'PHY EDU '!H35)</f>
        <v/>
      </c>
      <c r="DJ34" s="647" t="str">
        <f t="shared" si="101"/>
        <v/>
      </c>
      <c r="DK34" s="76" t="str">
        <f>IF('PHY EDU '!I35="","",'PHY EDU '!I35)</f>
        <v/>
      </c>
      <c r="DL34" s="76" t="str">
        <f>IF('PHY EDU '!J35="","",'PHY EDU '!J35)</f>
        <v/>
      </c>
      <c r="DM34" s="76" t="str">
        <f t="shared" si="102"/>
        <v/>
      </c>
      <c r="DN34" s="76" t="str">
        <f t="shared" si="103"/>
        <v/>
      </c>
      <c r="DO34" s="76" t="str">
        <f t="shared" si="104"/>
        <v/>
      </c>
      <c r="DP34" s="76" t="str">
        <f t="shared" si="105"/>
        <v/>
      </c>
      <c r="DQ34" s="76" t="str">
        <f t="shared" si="106"/>
        <v/>
      </c>
      <c r="DR34" s="76" t="str">
        <f t="shared" si="107"/>
        <v/>
      </c>
      <c r="DS34" s="76" t="str">
        <f>IF('PHY EDU '!M35="","",ROUNDUP('PHY EDU '!M35*$DS$6/'PHY EDU '!$M$7,0))</f>
        <v/>
      </c>
      <c r="DT34" s="76" t="str">
        <f t="shared" si="108"/>
        <v/>
      </c>
      <c r="DU34" s="76" t="str">
        <f t="shared" si="109"/>
        <v/>
      </c>
      <c r="DV34" s="72" t="str">
        <f t="shared" si="132"/>
        <v/>
      </c>
      <c r="DW34" s="72" t="str">
        <f t="shared" si="133"/>
        <v/>
      </c>
      <c r="DX34" s="72" t="str">
        <f t="shared" si="134"/>
        <v/>
      </c>
      <c r="DY34" s="72" t="str">
        <f t="shared" si="135"/>
        <v/>
      </c>
      <c r="DZ34" s="72" t="str">
        <f t="shared" si="136"/>
        <v/>
      </c>
      <c r="EA34" s="72" t="str">
        <f t="shared" si="137"/>
        <v/>
      </c>
      <c r="EB34" s="76" t="str">
        <f t="shared" si="138"/>
        <v/>
      </c>
      <c r="EC34" s="76" t="str">
        <f t="shared" si="139"/>
        <v/>
      </c>
      <c r="ED34" s="76" t="str">
        <f t="shared" si="140"/>
        <v/>
      </c>
      <c r="EE34" s="76" t="str">
        <f t="shared" si="141"/>
        <v/>
      </c>
      <c r="EF34" s="76" t="str">
        <f t="shared" si="142"/>
        <v/>
      </c>
      <c r="EG34" s="76" t="str">
        <f t="shared" si="143"/>
        <v/>
      </c>
      <c r="EH34" s="77" t="str">
        <f t="shared" si="144"/>
        <v/>
      </c>
      <c r="EI34" s="495" t="str">
        <f t="shared" si="145"/>
        <v/>
      </c>
      <c r="EJ34" s="86" t="str">
        <f t="shared" si="146"/>
        <v/>
      </c>
      <c r="EK34" s="78" t="str">
        <f t="shared" si="147"/>
        <v/>
      </c>
      <c r="EL34" s="79" t="str">
        <f t="shared" si="148"/>
        <v/>
      </c>
      <c r="EM34" s="139" t="str">
        <f t="shared" si="149"/>
        <v/>
      </c>
      <c r="EN34" s="77" t="str">
        <f t="shared" si="150"/>
        <v/>
      </c>
      <c r="EO34" s="77" t="str">
        <f>IF(EN34="","",ATTENDANCE!Q35&amp;"/"&amp;ATTENDANCE!$Q$7)</f>
        <v/>
      </c>
      <c r="EP34" s="80" t="str">
        <f t="shared" si="151"/>
        <v/>
      </c>
      <c r="EQ34" s="80" t="str">
        <f t="shared" si="152"/>
        <v/>
      </c>
      <c r="ER34" s="80" t="str">
        <f t="shared" si="153"/>
        <v/>
      </c>
      <c r="ES34" s="80" t="str">
        <f t="shared" si="154"/>
        <v/>
      </c>
      <c r="ET34" s="80" t="str">
        <f t="shared" si="155"/>
        <v/>
      </c>
      <c r="EU34" s="80" t="str">
        <f t="shared" si="156"/>
        <v/>
      </c>
      <c r="EV34" s="492" t="str">
        <f t="shared" si="157"/>
        <v/>
      </c>
      <c r="EW34" s="129" t="str">
        <f t="shared" si="158"/>
        <v/>
      </c>
      <c r="EX34" s="129" t="str">
        <f t="shared" si="159"/>
        <v/>
      </c>
      <c r="EY34" s="129" t="str">
        <f t="shared" si="160"/>
        <v/>
      </c>
      <c r="EZ34" s="129" t="str">
        <f t="shared" si="161"/>
        <v/>
      </c>
      <c r="FA34" s="129" t="str">
        <f t="shared" si="162"/>
        <v/>
      </c>
      <c r="FB34" s="129" t="str">
        <f t="shared" si="163"/>
        <v/>
      </c>
      <c r="FC34" s="80" t="str">
        <f t="shared" si="164"/>
        <v/>
      </c>
      <c r="FD34" s="80" t="str">
        <f t="shared" si="165"/>
        <v/>
      </c>
      <c r="FE34" s="80" t="str">
        <f t="shared" si="166"/>
        <v/>
      </c>
      <c r="FF34" s="488" t="str">
        <f t="shared" si="167"/>
        <v/>
      </c>
      <c r="FG34" s="80" t="str">
        <f t="shared" si="168"/>
        <v/>
      </c>
      <c r="FH34" s="80" t="str">
        <f t="shared" si="169"/>
        <v/>
      </c>
      <c r="FI34" s="496" t="str">
        <f t="shared" si="170"/>
        <v/>
      </c>
      <c r="FJ34" s="140" t="str">
        <f t="shared" si="171"/>
        <v/>
      </c>
      <c r="FK34" s="492" t="str">
        <f t="shared" si="172"/>
        <v/>
      </c>
      <c r="FL34" s="490" t="str">
        <f t="shared" si="173"/>
        <v/>
      </c>
      <c r="FM34" s="74" t="str">
        <f t="shared" si="174"/>
        <v/>
      </c>
    </row>
    <row r="35" spans="1:169" ht="16.8" x14ac:dyDescent="0.3">
      <c r="A35" s="6"/>
      <c r="B35" s="25">
        <f>DATA!B33</f>
        <v>0</v>
      </c>
      <c r="C35" s="25" t="str">
        <f>IF(DATA!C33="","",DATA!C33)</f>
        <v/>
      </c>
      <c r="D35" s="25" t="str">
        <f>IF(DATA!D33="","",DATA!D33)</f>
        <v/>
      </c>
      <c r="E35" s="738" t="str">
        <f>IF(DATA!E33="","",DATA!E33)</f>
        <v/>
      </c>
      <c r="F35" s="738" t="str">
        <f>IF(DATA!F33="","",DATA!F33)</f>
        <v/>
      </c>
      <c r="G35" s="738" t="str">
        <f>IF(DATA!G33="","",DATA!G33)</f>
        <v/>
      </c>
      <c r="H35" s="214" t="str">
        <f>IF(DATA!H33="","",DATA!H33)</f>
        <v/>
      </c>
      <c r="I35" s="214" t="str">
        <f>IF(DATA!I33="","",DATA!I33)</f>
        <v/>
      </c>
      <c r="J35" s="214" t="str">
        <f>IF(DATA!J33="","",DATA!J33)</f>
        <v/>
      </c>
      <c r="K35" s="214" t="str">
        <f>IF(DATA!K33="","",DATA!K33)</f>
        <v/>
      </c>
      <c r="L35" s="73" t="str">
        <f>IF(ENGLISH!E35="","",ENGLISH!E35)</f>
        <v/>
      </c>
      <c r="M35" s="73" t="str">
        <f t="shared" si="41"/>
        <v/>
      </c>
      <c r="N35" s="73" t="str">
        <f>IF(ENGLISH!F35="","",ENGLISH!F35)</f>
        <v/>
      </c>
      <c r="O35" s="73" t="str">
        <f t="shared" si="42"/>
        <v/>
      </c>
      <c r="P35" s="73" t="str">
        <f>IF(ENGLISH!G35="","",ENGLISH!G35)</f>
        <v/>
      </c>
      <c r="Q35" s="73" t="str">
        <f t="shared" si="43"/>
        <v/>
      </c>
      <c r="R35" s="73" t="str">
        <f>IF(ENGLISH!H35="","",ENGLISH!H35)</f>
        <v/>
      </c>
      <c r="S35" s="73" t="str">
        <f>IF(ENGLISH!I35="","",ENGLISH!I35)</f>
        <v/>
      </c>
      <c r="T35" s="73" t="str">
        <f>IF(ENGLISH!J35="","",ENGLISH!J35)</f>
        <v/>
      </c>
      <c r="U35" s="73" t="str">
        <f>IF(ENGLISH!K35="","",ENGLISH!K35)</f>
        <v/>
      </c>
      <c r="V35" s="73" t="str">
        <f t="shared" si="44"/>
        <v/>
      </c>
      <c r="W35" s="81" t="str">
        <f>IF(ENGLISH!L35="","",ENGLISH!L35)</f>
        <v/>
      </c>
      <c r="X35" s="73" t="str">
        <f t="shared" si="45"/>
        <v/>
      </c>
      <c r="Y35" s="73" t="str">
        <f t="shared" si="46"/>
        <v/>
      </c>
      <c r="Z35" s="73" t="str">
        <f t="shared" si="47"/>
        <v/>
      </c>
      <c r="AA35" s="73" t="str">
        <f>IF(ENGLISH!O35="","",ENGLISH!O35*40/ENGLISH!$O$6)</f>
        <v/>
      </c>
      <c r="AB35" s="73" t="str">
        <f t="shared" si="48"/>
        <v/>
      </c>
      <c r="AC35" s="73" t="str">
        <f t="shared" si="49"/>
        <v/>
      </c>
      <c r="AD35" s="74" t="str">
        <f>IF(MATHS!E35="","",MATHS!E35)</f>
        <v/>
      </c>
      <c r="AE35" s="643" t="str">
        <f t="shared" si="50"/>
        <v/>
      </c>
      <c r="AF35" s="74" t="str">
        <f>IF(MATHS!F35="","",MATHS!F35)</f>
        <v/>
      </c>
      <c r="AG35" s="643" t="str">
        <f t="shared" si="51"/>
        <v/>
      </c>
      <c r="AH35" s="74" t="str">
        <f>IF(MATHS!G35="","",MATHS!G35)</f>
        <v/>
      </c>
      <c r="AI35" s="643" t="str">
        <f t="shared" si="52"/>
        <v/>
      </c>
      <c r="AJ35" s="75" t="str">
        <f t="shared" si="53"/>
        <v/>
      </c>
      <c r="AK35" s="75" t="str">
        <f t="shared" si="54"/>
        <v/>
      </c>
      <c r="AL35" s="75" t="str">
        <f t="shared" si="55"/>
        <v/>
      </c>
      <c r="AM35" s="75" t="str">
        <f>IF(MATHS!H35="","",MATHS!H35)</f>
        <v/>
      </c>
      <c r="AN35" s="75" t="str">
        <f>IF(MATHS!I35="","",MATHS!I35)</f>
        <v/>
      </c>
      <c r="AO35" s="75" t="str">
        <f>IF(MATHS!J35="","",MATHS!J35)</f>
        <v/>
      </c>
      <c r="AP35" s="75" t="str">
        <f t="shared" si="56"/>
        <v/>
      </c>
      <c r="AQ35" s="75" t="str">
        <f t="shared" si="57"/>
        <v/>
      </c>
      <c r="AR35" s="75" t="str">
        <f>IF(MATHS!K35="","",CEILING(MATHS!K35*$AR$6/MATHS!$K$6,1))</f>
        <v/>
      </c>
      <c r="AS35" s="76" t="str">
        <f t="shared" si="58"/>
        <v/>
      </c>
      <c r="AT35" s="76" t="str">
        <f t="shared" si="59"/>
        <v/>
      </c>
      <c r="AU35" s="76" t="str">
        <f>IF(MATHS!O35="","",MATHS!O35*$AU$6/MATHS!$O$6)</f>
        <v/>
      </c>
      <c r="AV35" s="76" t="str">
        <f t="shared" si="60"/>
        <v/>
      </c>
      <c r="AW35" s="76" t="str">
        <f t="shared" si="61"/>
        <v/>
      </c>
      <c r="AX35" s="73" t="str">
        <f>IF(PHYSICS!E36="","",PHYSICS!E36)</f>
        <v/>
      </c>
      <c r="AY35" s="644" t="str">
        <f t="shared" si="62"/>
        <v/>
      </c>
      <c r="AZ35" s="73" t="str">
        <f>IF(PHYSICS!F36="","",PHYSICS!F36)</f>
        <v/>
      </c>
      <c r="BA35" s="73" t="str">
        <f>IF(PHYSICS!G36="","",PHYSICS!G36)</f>
        <v/>
      </c>
      <c r="BB35" s="73" t="str">
        <f t="shared" si="63"/>
        <v/>
      </c>
      <c r="BC35" s="73" t="str">
        <f t="shared" si="64"/>
        <v/>
      </c>
      <c r="BD35" s="73" t="str">
        <f>IF(PHYSICS!H36="","",PHYSICS!H36)</f>
        <v/>
      </c>
      <c r="BE35" s="645" t="str">
        <f t="shared" si="65"/>
        <v/>
      </c>
      <c r="BF35" s="73" t="str">
        <f>IF(PHYSICS!I36="","",PHYSICS!I36)</f>
        <v/>
      </c>
      <c r="BG35" s="73" t="str">
        <f>IF(PHYSICS!J36="","",PHYSICS!J36)</f>
        <v/>
      </c>
      <c r="BH35" s="73" t="str">
        <f t="shared" si="66"/>
        <v/>
      </c>
      <c r="BI35" s="73" t="str">
        <f t="shared" si="67"/>
        <v/>
      </c>
      <c r="BJ35" s="73" t="str">
        <f t="shared" si="68"/>
        <v/>
      </c>
      <c r="BK35" s="73" t="str">
        <f t="shared" si="69"/>
        <v/>
      </c>
      <c r="BL35" s="73" t="str">
        <f t="shared" si="70"/>
        <v/>
      </c>
      <c r="BM35" s="73" t="str">
        <f t="shared" si="71"/>
        <v/>
      </c>
      <c r="BN35" s="73" t="str">
        <f>IF(PHYSICS!M36="","",PHYSICS!M36*$BN$6/PHYSICS!$M$7)</f>
        <v/>
      </c>
      <c r="BO35" s="73" t="str">
        <f t="shared" si="72"/>
        <v/>
      </c>
      <c r="BP35" s="73" t="str">
        <f t="shared" si="73"/>
        <v/>
      </c>
      <c r="BQ35" s="48" t="str">
        <f>IF(CHEMISTRY!E36="","",CHEMISTRY!E36)</f>
        <v/>
      </c>
      <c r="BR35" s="646" t="str">
        <f t="shared" si="74"/>
        <v/>
      </c>
      <c r="BS35" s="48" t="str">
        <f>IF(CHEMISTRY!F36="","",CHEMISTRY!F36)</f>
        <v/>
      </c>
      <c r="BT35" s="48" t="str">
        <f>IF(CHEMISTRY!G36="","",CHEMISTRY!G36)</f>
        <v/>
      </c>
      <c r="BU35" s="48" t="str">
        <f t="shared" si="75"/>
        <v/>
      </c>
      <c r="BV35" s="48" t="str">
        <f t="shared" si="76"/>
        <v/>
      </c>
      <c r="BW35" s="48" t="str">
        <f>IF(CHEMISTRY!H36="","",CHEMISTRY!H36)</f>
        <v/>
      </c>
      <c r="BX35" s="646" t="str">
        <f t="shared" si="77"/>
        <v/>
      </c>
      <c r="BY35" s="48" t="str">
        <f>IF(CHEMISTRY!I36="","",CHEMISTRY!I36)</f>
        <v/>
      </c>
      <c r="BZ35" s="48" t="str">
        <f>IF(CHEMISTRY!J36="","",CHEMISTRY!J36)</f>
        <v/>
      </c>
      <c r="CA35" s="48" t="str">
        <f t="shared" si="78"/>
        <v/>
      </c>
      <c r="CB35" s="48" t="str">
        <f t="shared" si="79"/>
        <v/>
      </c>
      <c r="CC35" s="48" t="str">
        <f t="shared" si="80"/>
        <v/>
      </c>
      <c r="CD35" s="48" t="str">
        <f t="shared" si="81"/>
        <v/>
      </c>
      <c r="CE35" s="48" t="str">
        <f t="shared" si="82"/>
        <v/>
      </c>
      <c r="CF35" s="48" t="str">
        <f t="shared" si="83"/>
        <v/>
      </c>
      <c r="CG35" s="48" t="str">
        <f>IF(CHEMISTRY!M36="","",CHEMISTRY!M36*$CG$6/CHEMISTRY!$M$7)</f>
        <v/>
      </c>
      <c r="CH35" s="48" t="str">
        <f t="shared" si="84"/>
        <v/>
      </c>
      <c r="CI35" s="48" t="str">
        <f t="shared" si="85"/>
        <v/>
      </c>
      <c r="CJ35" s="73" t="str">
        <f>IF(BIOLOGY!E36="","",BIOLOGY!E36)</f>
        <v/>
      </c>
      <c r="CK35" s="73" t="str">
        <f t="shared" si="86"/>
        <v/>
      </c>
      <c r="CL35" s="73" t="str">
        <f>IF(BIOLOGY!F36="","",BIOLOGY!F36)</f>
        <v/>
      </c>
      <c r="CM35" s="73" t="str">
        <f>IF(BIOLOGY!G36="","",BIOLOGY!G36)</f>
        <v/>
      </c>
      <c r="CN35" s="73" t="str">
        <f t="shared" si="87"/>
        <v/>
      </c>
      <c r="CO35" s="73" t="str">
        <f t="shared" si="88"/>
        <v/>
      </c>
      <c r="CP35" s="73" t="str">
        <f>IF(BIOLOGY!H36="","",BIOLOGY!H36)</f>
        <v/>
      </c>
      <c r="CQ35" s="73" t="str">
        <f t="shared" si="89"/>
        <v/>
      </c>
      <c r="CR35" s="73" t="str">
        <f>IF(BIOLOGY!I36="","",BIOLOGY!I36)</f>
        <v/>
      </c>
      <c r="CS35" s="73" t="str">
        <f>IF(BIOLOGY!J36="","",BIOLOGY!J36)</f>
        <v/>
      </c>
      <c r="CT35" s="73" t="str">
        <f t="shared" si="90"/>
        <v/>
      </c>
      <c r="CU35" s="73" t="str">
        <f t="shared" si="91"/>
        <v/>
      </c>
      <c r="CV35" s="73" t="str">
        <f t="shared" si="92"/>
        <v/>
      </c>
      <c r="CW35" s="73" t="str">
        <f t="shared" si="93"/>
        <v/>
      </c>
      <c r="CX35" s="73" t="str">
        <f t="shared" si="94"/>
        <v/>
      </c>
      <c r="CY35" s="73" t="str">
        <f t="shared" si="95"/>
        <v/>
      </c>
      <c r="CZ35" s="73" t="str">
        <f>IF(BIOLOGY!M36="","",CEILING((BIOLOGY!M36*$CZ$6/BIOLOGY!$M$7),1))</f>
        <v/>
      </c>
      <c r="DA35" s="73" t="str">
        <f t="shared" si="96"/>
        <v/>
      </c>
      <c r="DB35" s="73" t="str">
        <f t="shared" si="97"/>
        <v/>
      </c>
      <c r="DC35" s="76" t="str">
        <f>IF('PHY EDU '!E36="","",'PHY EDU '!E36)</f>
        <v/>
      </c>
      <c r="DD35" s="647" t="str">
        <f t="shared" si="98"/>
        <v/>
      </c>
      <c r="DE35" s="76" t="str">
        <f>IF('PHY EDU '!F36="","",'PHY EDU '!F36)</f>
        <v/>
      </c>
      <c r="DF35" s="76" t="str">
        <f>IF('PHY EDU '!G36="","",'PHY EDU '!G36)</f>
        <v/>
      </c>
      <c r="DG35" s="76" t="str">
        <f t="shared" si="99"/>
        <v/>
      </c>
      <c r="DH35" s="76" t="str">
        <f t="shared" si="100"/>
        <v/>
      </c>
      <c r="DI35" s="76" t="str">
        <f>IF('PHY EDU '!H36="","",'PHY EDU '!H36)</f>
        <v/>
      </c>
      <c r="DJ35" s="647" t="str">
        <f t="shared" si="101"/>
        <v/>
      </c>
      <c r="DK35" s="76" t="str">
        <f>IF('PHY EDU '!I36="","",'PHY EDU '!I36)</f>
        <v/>
      </c>
      <c r="DL35" s="76" t="str">
        <f>IF('PHY EDU '!J36="","",'PHY EDU '!J36)</f>
        <v/>
      </c>
      <c r="DM35" s="76" t="str">
        <f t="shared" si="102"/>
        <v/>
      </c>
      <c r="DN35" s="76" t="str">
        <f t="shared" si="103"/>
        <v/>
      </c>
      <c r="DO35" s="76" t="str">
        <f t="shared" si="104"/>
        <v/>
      </c>
      <c r="DP35" s="76" t="str">
        <f t="shared" si="105"/>
        <v/>
      </c>
      <c r="DQ35" s="76" t="str">
        <f t="shared" si="106"/>
        <v/>
      </c>
      <c r="DR35" s="76" t="str">
        <f t="shared" si="107"/>
        <v/>
      </c>
      <c r="DS35" s="76" t="str">
        <f>IF('PHY EDU '!M36="","",ROUNDUP('PHY EDU '!M36*$DS$6/'PHY EDU '!$M$7,0))</f>
        <v/>
      </c>
      <c r="DT35" s="76" t="str">
        <f t="shared" si="108"/>
        <v/>
      </c>
      <c r="DU35" s="76" t="str">
        <f t="shared" si="109"/>
        <v/>
      </c>
      <c r="DV35" s="72" t="str">
        <f t="shared" si="132"/>
        <v/>
      </c>
      <c r="DW35" s="72" t="str">
        <f t="shared" si="133"/>
        <v/>
      </c>
      <c r="DX35" s="72" t="str">
        <f t="shared" si="134"/>
        <v/>
      </c>
      <c r="DY35" s="72" t="str">
        <f t="shared" si="135"/>
        <v/>
      </c>
      <c r="DZ35" s="72" t="str">
        <f t="shared" si="136"/>
        <v/>
      </c>
      <c r="EA35" s="72" t="str">
        <f t="shared" si="137"/>
        <v/>
      </c>
      <c r="EB35" s="76" t="str">
        <f t="shared" si="138"/>
        <v/>
      </c>
      <c r="EC35" s="76" t="str">
        <f t="shared" si="139"/>
        <v/>
      </c>
      <c r="ED35" s="76" t="str">
        <f t="shared" si="140"/>
        <v/>
      </c>
      <c r="EE35" s="76" t="str">
        <f t="shared" si="141"/>
        <v/>
      </c>
      <c r="EF35" s="76" t="str">
        <f t="shared" si="142"/>
        <v/>
      </c>
      <c r="EG35" s="76" t="str">
        <f t="shared" si="143"/>
        <v/>
      </c>
      <c r="EH35" s="77" t="str">
        <f t="shared" si="144"/>
        <v/>
      </c>
      <c r="EI35" s="495" t="str">
        <f t="shared" si="145"/>
        <v/>
      </c>
      <c r="EJ35" s="86" t="str">
        <f t="shared" si="146"/>
        <v/>
      </c>
      <c r="EK35" s="78" t="str">
        <f t="shared" si="147"/>
        <v/>
      </c>
      <c r="EL35" s="79" t="str">
        <f t="shared" si="148"/>
        <v/>
      </c>
      <c r="EM35" s="139" t="str">
        <f t="shared" si="149"/>
        <v/>
      </c>
      <c r="EN35" s="77" t="str">
        <f t="shared" si="150"/>
        <v/>
      </c>
      <c r="EO35" s="77" t="str">
        <f>IF(EN35="","",ATTENDANCE!Q36&amp;"/"&amp;ATTENDANCE!$Q$7)</f>
        <v/>
      </c>
      <c r="EP35" s="80" t="str">
        <f t="shared" si="151"/>
        <v/>
      </c>
      <c r="EQ35" s="80" t="str">
        <f t="shared" si="152"/>
        <v/>
      </c>
      <c r="ER35" s="80" t="str">
        <f t="shared" si="153"/>
        <v/>
      </c>
      <c r="ES35" s="80" t="str">
        <f t="shared" si="154"/>
        <v/>
      </c>
      <c r="ET35" s="80" t="str">
        <f t="shared" si="155"/>
        <v/>
      </c>
      <c r="EU35" s="80" t="str">
        <f t="shared" si="156"/>
        <v/>
      </c>
      <c r="EV35" s="492" t="str">
        <f t="shared" si="157"/>
        <v/>
      </c>
      <c r="EW35" s="129" t="str">
        <f t="shared" si="158"/>
        <v/>
      </c>
      <c r="EX35" s="129" t="str">
        <f t="shared" si="159"/>
        <v/>
      </c>
      <c r="EY35" s="129" t="str">
        <f t="shared" si="160"/>
        <v/>
      </c>
      <c r="EZ35" s="129" t="str">
        <f t="shared" si="161"/>
        <v/>
      </c>
      <c r="FA35" s="129" t="str">
        <f t="shared" si="162"/>
        <v/>
      </c>
      <c r="FB35" s="129" t="str">
        <f t="shared" si="163"/>
        <v/>
      </c>
      <c r="FC35" s="80" t="str">
        <f t="shared" si="164"/>
        <v/>
      </c>
      <c r="FD35" s="80" t="str">
        <f t="shared" si="165"/>
        <v/>
      </c>
      <c r="FE35" s="80" t="str">
        <f t="shared" si="166"/>
        <v/>
      </c>
      <c r="FF35" s="488" t="str">
        <f t="shared" si="167"/>
        <v/>
      </c>
      <c r="FG35" s="80" t="str">
        <f t="shared" si="168"/>
        <v/>
      </c>
      <c r="FH35" s="80" t="str">
        <f t="shared" si="169"/>
        <v/>
      </c>
      <c r="FI35" s="496" t="str">
        <f t="shared" si="170"/>
        <v/>
      </c>
      <c r="FJ35" s="140" t="str">
        <f t="shared" si="171"/>
        <v/>
      </c>
      <c r="FK35" s="492" t="str">
        <f t="shared" si="172"/>
        <v/>
      </c>
      <c r="FL35" s="490" t="str">
        <f t="shared" si="173"/>
        <v/>
      </c>
      <c r="FM35" s="74" t="str">
        <f t="shared" si="174"/>
        <v/>
      </c>
    </row>
    <row r="36" spans="1:169" ht="16.8" x14ac:dyDescent="0.3">
      <c r="A36" s="6"/>
      <c r="B36" s="25">
        <f>DATA!B34</f>
        <v>0</v>
      </c>
      <c r="C36" s="25" t="str">
        <f>IF(DATA!C34="","",DATA!C34)</f>
        <v/>
      </c>
      <c r="D36" s="25" t="str">
        <f>IF(DATA!D34="","",DATA!D34)</f>
        <v/>
      </c>
      <c r="E36" s="738" t="str">
        <f>IF(DATA!E34="","",DATA!E34)</f>
        <v/>
      </c>
      <c r="F36" s="738" t="str">
        <f>IF(DATA!F34="","",DATA!F34)</f>
        <v/>
      </c>
      <c r="G36" s="738" t="str">
        <f>IF(DATA!G34="","",DATA!G34)</f>
        <v/>
      </c>
      <c r="H36" s="214" t="str">
        <f>IF(DATA!H34="","",DATA!H34)</f>
        <v/>
      </c>
      <c r="I36" s="214" t="str">
        <f>IF(DATA!I34="","",DATA!I34)</f>
        <v/>
      </c>
      <c r="J36" s="214" t="str">
        <f>IF(DATA!J34="","",DATA!J34)</f>
        <v/>
      </c>
      <c r="K36" s="214" t="str">
        <f>IF(DATA!K34="","",DATA!K34)</f>
        <v/>
      </c>
      <c r="L36" s="73" t="str">
        <f>IF(ENGLISH!E36="","",ENGLISH!E36)</f>
        <v/>
      </c>
      <c r="M36" s="73" t="str">
        <f t="shared" si="41"/>
        <v/>
      </c>
      <c r="N36" s="73" t="str">
        <f>IF(ENGLISH!F36="","",ENGLISH!F36)</f>
        <v/>
      </c>
      <c r="O36" s="73" t="str">
        <f t="shared" si="42"/>
        <v/>
      </c>
      <c r="P36" s="73" t="str">
        <f>IF(ENGLISH!G36="","",ENGLISH!G36)</f>
        <v/>
      </c>
      <c r="Q36" s="73" t="str">
        <f t="shared" si="43"/>
        <v/>
      </c>
      <c r="R36" s="73" t="str">
        <f>IF(ENGLISH!H36="","",ENGLISH!H36)</f>
        <v/>
      </c>
      <c r="S36" s="73" t="str">
        <f>IF(ENGLISH!I36="","",ENGLISH!I36)</f>
        <v/>
      </c>
      <c r="T36" s="73" t="str">
        <f>IF(ENGLISH!J36="","",ENGLISH!J36)</f>
        <v/>
      </c>
      <c r="U36" s="73" t="str">
        <f>IF(ENGLISH!K36="","",ENGLISH!K36)</f>
        <v/>
      </c>
      <c r="V36" s="73" t="str">
        <f t="shared" si="44"/>
        <v/>
      </c>
      <c r="W36" s="81" t="str">
        <f>IF(ENGLISH!L36="","",ENGLISH!L36)</f>
        <v/>
      </c>
      <c r="X36" s="73" t="str">
        <f t="shared" si="45"/>
        <v/>
      </c>
      <c r="Y36" s="73" t="str">
        <f t="shared" si="46"/>
        <v/>
      </c>
      <c r="Z36" s="73" t="str">
        <f t="shared" si="47"/>
        <v/>
      </c>
      <c r="AA36" s="73" t="str">
        <f>IF(ENGLISH!O36="","",ENGLISH!O36*40/ENGLISH!$O$6)</f>
        <v/>
      </c>
      <c r="AB36" s="73" t="str">
        <f t="shared" si="48"/>
        <v/>
      </c>
      <c r="AC36" s="73" t="str">
        <f t="shared" si="49"/>
        <v/>
      </c>
      <c r="AD36" s="74" t="str">
        <f>IF(MATHS!E36="","",MATHS!E36)</f>
        <v/>
      </c>
      <c r="AE36" s="643" t="str">
        <f t="shared" si="50"/>
        <v/>
      </c>
      <c r="AF36" s="74" t="str">
        <f>IF(MATHS!F36="","",MATHS!F36)</f>
        <v/>
      </c>
      <c r="AG36" s="643" t="str">
        <f t="shared" si="51"/>
        <v/>
      </c>
      <c r="AH36" s="74" t="str">
        <f>IF(MATHS!G36="","",MATHS!G36)</f>
        <v/>
      </c>
      <c r="AI36" s="643" t="str">
        <f t="shared" si="52"/>
        <v/>
      </c>
      <c r="AJ36" s="75" t="str">
        <f t="shared" si="53"/>
        <v/>
      </c>
      <c r="AK36" s="75" t="str">
        <f t="shared" si="54"/>
        <v/>
      </c>
      <c r="AL36" s="75" t="str">
        <f t="shared" si="55"/>
        <v/>
      </c>
      <c r="AM36" s="75" t="str">
        <f>IF(MATHS!H36="","",MATHS!H36)</f>
        <v/>
      </c>
      <c r="AN36" s="75" t="str">
        <f>IF(MATHS!I36="","",MATHS!I36)</f>
        <v/>
      </c>
      <c r="AO36" s="75" t="str">
        <f>IF(MATHS!J36="","",MATHS!J36)</f>
        <v/>
      </c>
      <c r="AP36" s="75" t="str">
        <f t="shared" si="56"/>
        <v/>
      </c>
      <c r="AQ36" s="75" t="str">
        <f t="shared" si="57"/>
        <v/>
      </c>
      <c r="AR36" s="75" t="str">
        <f>IF(MATHS!K36="","",CEILING(MATHS!K36*$AR$6/MATHS!$K$6,1))</f>
        <v/>
      </c>
      <c r="AS36" s="76" t="str">
        <f t="shared" si="58"/>
        <v/>
      </c>
      <c r="AT36" s="76" t="str">
        <f t="shared" si="59"/>
        <v/>
      </c>
      <c r="AU36" s="76" t="str">
        <f>IF(MATHS!O36="","",MATHS!O36*$AU$6/MATHS!$O$6)</f>
        <v/>
      </c>
      <c r="AV36" s="76" t="str">
        <f t="shared" si="60"/>
        <v/>
      </c>
      <c r="AW36" s="76" t="str">
        <f t="shared" si="61"/>
        <v/>
      </c>
      <c r="AX36" s="73" t="str">
        <f>IF(PHYSICS!E37="","",PHYSICS!E37)</f>
        <v/>
      </c>
      <c r="AY36" s="644" t="str">
        <f t="shared" si="62"/>
        <v/>
      </c>
      <c r="AZ36" s="73" t="str">
        <f>IF(PHYSICS!F37="","",PHYSICS!F37)</f>
        <v/>
      </c>
      <c r="BA36" s="73" t="str">
        <f>IF(PHYSICS!G37="","",PHYSICS!G37)</f>
        <v/>
      </c>
      <c r="BB36" s="73" t="str">
        <f t="shared" si="63"/>
        <v/>
      </c>
      <c r="BC36" s="73" t="str">
        <f t="shared" si="64"/>
        <v/>
      </c>
      <c r="BD36" s="73" t="str">
        <f>IF(PHYSICS!H37="","",PHYSICS!H37)</f>
        <v/>
      </c>
      <c r="BE36" s="645" t="str">
        <f t="shared" si="65"/>
        <v/>
      </c>
      <c r="BF36" s="73" t="str">
        <f>IF(PHYSICS!I37="","",PHYSICS!I37)</f>
        <v/>
      </c>
      <c r="BG36" s="73" t="str">
        <f>IF(PHYSICS!J37="","",PHYSICS!J37)</f>
        <v/>
      </c>
      <c r="BH36" s="73" t="str">
        <f t="shared" si="66"/>
        <v/>
      </c>
      <c r="BI36" s="73" t="str">
        <f t="shared" si="67"/>
        <v/>
      </c>
      <c r="BJ36" s="73" t="str">
        <f t="shared" si="68"/>
        <v/>
      </c>
      <c r="BK36" s="73" t="str">
        <f t="shared" si="69"/>
        <v/>
      </c>
      <c r="BL36" s="73" t="str">
        <f t="shared" si="70"/>
        <v/>
      </c>
      <c r="BM36" s="73" t="str">
        <f t="shared" si="71"/>
        <v/>
      </c>
      <c r="BN36" s="73" t="str">
        <f>IF(PHYSICS!M37="","",PHYSICS!M37*$BN$6/PHYSICS!$M$7)</f>
        <v/>
      </c>
      <c r="BO36" s="73" t="str">
        <f t="shared" si="72"/>
        <v/>
      </c>
      <c r="BP36" s="73" t="str">
        <f t="shared" si="73"/>
        <v/>
      </c>
      <c r="BQ36" s="48" t="str">
        <f>IF(CHEMISTRY!E37="","",CHEMISTRY!E37)</f>
        <v/>
      </c>
      <c r="BR36" s="646" t="str">
        <f t="shared" si="74"/>
        <v/>
      </c>
      <c r="BS36" s="48" t="str">
        <f>IF(CHEMISTRY!F37="","",CHEMISTRY!F37)</f>
        <v/>
      </c>
      <c r="BT36" s="48" t="str">
        <f>IF(CHEMISTRY!G37="","",CHEMISTRY!G37)</f>
        <v/>
      </c>
      <c r="BU36" s="48" t="str">
        <f t="shared" si="75"/>
        <v/>
      </c>
      <c r="BV36" s="48" t="str">
        <f t="shared" si="76"/>
        <v/>
      </c>
      <c r="BW36" s="48" t="str">
        <f>IF(CHEMISTRY!H37="","",CHEMISTRY!H37)</f>
        <v/>
      </c>
      <c r="BX36" s="646" t="str">
        <f t="shared" si="77"/>
        <v/>
      </c>
      <c r="BY36" s="48" t="str">
        <f>IF(CHEMISTRY!I37="","",CHEMISTRY!I37)</f>
        <v/>
      </c>
      <c r="BZ36" s="48" t="str">
        <f>IF(CHEMISTRY!J37="","",CHEMISTRY!J37)</f>
        <v/>
      </c>
      <c r="CA36" s="48" t="str">
        <f t="shared" si="78"/>
        <v/>
      </c>
      <c r="CB36" s="48" t="str">
        <f t="shared" si="79"/>
        <v/>
      </c>
      <c r="CC36" s="48" t="str">
        <f t="shared" si="80"/>
        <v/>
      </c>
      <c r="CD36" s="48" t="str">
        <f t="shared" si="81"/>
        <v/>
      </c>
      <c r="CE36" s="48" t="str">
        <f t="shared" si="82"/>
        <v/>
      </c>
      <c r="CF36" s="48" t="str">
        <f t="shared" si="83"/>
        <v/>
      </c>
      <c r="CG36" s="48" t="str">
        <f>IF(CHEMISTRY!M37="","",CHEMISTRY!M37*$CG$6/CHEMISTRY!$M$7)</f>
        <v/>
      </c>
      <c r="CH36" s="48" t="str">
        <f t="shared" si="84"/>
        <v/>
      </c>
      <c r="CI36" s="48" t="str">
        <f t="shared" si="85"/>
        <v/>
      </c>
      <c r="CJ36" s="73" t="str">
        <f>IF(BIOLOGY!E37="","",BIOLOGY!E37)</f>
        <v/>
      </c>
      <c r="CK36" s="73" t="str">
        <f t="shared" si="86"/>
        <v/>
      </c>
      <c r="CL36" s="73" t="str">
        <f>IF(BIOLOGY!F37="","",BIOLOGY!F37)</f>
        <v/>
      </c>
      <c r="CM36" s="73" t="str">
        <f>IF(BIOLOGY!G37="","",BIOLOGY!G37)</f>
        <v/>
      </c>
      <c r="CN36" s="73" t="str">
        <f t="shared" si="87"/>
        <v/>
      </c>
      <c r="CO36" s="73" t="str">
        <f t="shared" si="88"/>
        <v/>
      </c>
      <c r="CP36" s="73" t="str">
        <f>IF(BIOLOGY!H37="","",BIOLOGY!H37)</f>
        <v/>
      </c>
      <c r="CQ36" s="73" t="str">
        <f t="shared" si="89"/>
        <v/>
      </c>
      <c r="CR36" s="73" t="str">
        <f>IF(BIOLOGY!I37="","",BIOLOGY!I37)</f>
        <v/>
      </c>
      <c r="CS36" s="73" t="str">
        <f>IF(BIOLOGY!J37="","",BIOLOGY!J37)</f>
        <v/>
      </c>
      <c r="CT36" s="73" t="str">
        <f t="shared" si="90"/>
        <v/>
      </c>
      <c r="CU36" s="73" t="str">
        <f t="shared" si="91"/>
        <v/>
      </c>
      <c r="CV36" s="73" t="str">
        <f t="shared" si="92"/>
        <v/>
      </c>
      <c r="CW36" s="73" t="str">
        <f t="shared" si="93"/>
        <v/>
      </c>
      <c r="CX36" s="73" t="str">
        <f t="shared" si="94"/>
        <v/>
      </c>
      <c r="CY36" s="73" t="str">
        <f t="shared" si="95"/>
        <v/>
      </c>
      <c r="CZ36" s="73" t="str">
        <f>IF(BIOLOGY!M37="","",CEILING((BIOLOGY!M37*$CZ$6/BIOLOGY!$M$7),1))</f>
        <v/>
      </c>
      <c r="DA36" s="73" t="str">
        <f t="shared" si="96"/>
        <v/>
      </c>
      <c r="DB36" s="73" t="str">
        <f t="shared" si="97"/>
        <v/>
      </c>
      <c r="DC36" s="76" t="str">
        <f>IF('PHY EDU '!E37="","",'PHY EDU '!E37)</f>
        <v/>
      </c>
      <c r="DD36" s="647" t="str">
        <f t="shared" si="98"/>
        <v/>
      </c>
      <c r="DE36" s="76" t="str">
        <f>IF('PHY EDU '!F37="","",'PHY EDU '!F37)</f>
        <v/>
      </c>
      <c r="DF36" s="76" t="str">
        <f>IF('PHY EDU '!G37="","",'PHY EDU '!G37)</f>
        <v/>
      </c>
      <c r="DG36" s="76" t="str">
        <f t="shared" si="99"/>
        <v/>
      </c>
      <c r="DH36" s="76" t="str">
        <f t="shared" si="100"/>
        <v/>
      </c>
      <c r="DI36" s="76" t="str">
        <f>IF('PHY EDU '!H37="","",'PHY EDU '!H37)</f>
        <v/>
      </c>
      <c r="DJ36" s="647" t="str">
        <f t="shared" si="101"/>
        <v/>
      </c>
      <c r="DK36" s="76" t="str">
        <f>IF('PHY EDU '!I37="","",'PHY EDU '!I37)</f>
        <v/>
      </c>
      <c r="DL36" s="76" t="str">
        <f>IF('PHY EDU '!J37="","",'PHY EDU '!J37)</f>
        <v/>
      </c>
      <c r="DM36" s="76" t="str">
        <f t="shared" si="102"/>
        <v/>
      </c>
      <c r="DN36" s="76" t="str">
        <f t="shared" si="103"/>
        <v/>
      </c>
      <c r="DO36" s="76" t="str">
        <f t="shared" si="104"/>
        <v/>
      </c>
      <c r="DP36" s="76" t="str">
        <f t="shared" si="105"/>
        <v/>
      </c>
      <c r="DQ36" s="76" t="str">
        <f t="shared" si="106"/>
        <v/>
      </c>
      <c r="DR36" s="76" t="str">
        <f t="shared" si="107"/>
        <v/>
      </c>
      <c r="DS36" s="76" t="str">
        <f>IF('PHY EDU '!M37="","",ROUNDUP('PHY EDU '!M37*$DS$6/'PHY EDU '!$M$7,0))</f>
        <v/>
      </c>
      <c r="DT36" s="76" t="str">
        <f t="shared" si="108"/>
        <v/>
      </c>
      <c r="DU36" s="76" t="str">
        <f t="shared" si="109"/>
        <v/>
      </c>
      <c r="DV36" s="72" t="str">
        <f t="shared" si="132"/>
        <v/>
      </c>
      <c r="DW36" s="72" t="str">
        <f t="shared" si="133"/>
        <v/>
      </c>
      <c r="DX36" s="72" t="str">
        <f t="shared" si="134"/>
        <v/>
      </c>
      <c r="DY36" s="72" t="str">
        <f t="shared" si="135"/>
        <v/>
      </c>
      <c r="DZ36" s="72" t="str">
        <f t="shared" si="136"/>
        <v/>
      </c>
      <c r="EA36" s="72" t="str">
        <f t="shared" si="137"/>
        <v/>
      </c>
      <c r="EB36" s="76" t="str">
        <f t="shared" si="138"/>
        <v/>
      </c>
      <c r="EC36" s="76" t="str">
        <f t="shared" si="139"/>
        <v/>
      </c>
      <c r="ED36" s="76" t="str">
        <f t="shared" si="140"/>
        <v/>
      </c>
      <c r="EE36" s="76" t="str">
        <f t="shared" si="141"/>
        <v/>
      </c>
      <c r="EF36" s="76" t="str">
        <f t="shared" si="142"/>
        <v/>
      </c>
      <c r="EG36" s="76" t="str">
        <f t="shared" si="143"/>
        <v/>
      </c>
      <c r="EH36" s="77" t="str">
        <f t="shared" si="144"/>
        <v/>
      </c>
      <c r="EI36" s="495" t="str">
        <f t="shared" si="145"/>
        <v/>
      </c>
      <c r="EJ36" s="86" t="str">
        <f t="shared" si="146"/>
        <v/>
      </c>
      <c r="EK36" s="78" t="str">
        <f t="shared" si="147"/>
        <v/>
      </c>
      <c r="EL36" s="79" t="str">
        <f t="shared" si="148"/>
        <v/>
      </c>
      <c r="EM36" s="139" t="str">
        <f t="shared" si="149"/>
        <v/>
      </c>
      <c r="EN36" s="77" t="str">
        <f t="shared" si="150"/>
        <v/>
      </c>
      <c r="EO36" s="77" t="str">
        <f>IF(EN36="","",ATTENDANCE!Q37&amp;"/"&amp;ATTENDANCE!$Q$7)</f>
        <v/>
      </c>
      <c r="EP36" s="80" t="str">
        <f t="shared" si="151"/>
        <v/>
      </c>
      <c r="EQ36" s="80" t="str">
        <f t="shared" si="152"/>
        <v/>
      </c>
      <c r="ER36" s="80" t="str">
        <f t="shared" si="153"/>
        <v/>
      </c>
      <c r="ES36" s="80" t="str">
        <f t="shared" si="154"/>
        <v/>
      </c>
      <c r="ET36" s="80" t="str">
        <f t="shared" si="155"/>
        <v/>
      </c>
      <c r="EU36" s="80" t="str">
        <f t="shared" si="156"/>
        <v/>
      </c>
      <c r="EV36" s="492" t="str">
        <f t="shared" si="157"/>
        <v/>
      </c>
      <c r="EW36" s="129" t="str">
        <f t="shared" si="158"/>
        <v/>
      </c>
      <c r="EX36" s="129" t="str">
        <f t="shared" si="159"/>
        <v/>
      </c>
      <c r="EY36" s="129" t="str">
        <f t="shared" si="160"/>
        <v/>
      </c>
      <c r="EZ36" s="129" t="str">
        <f t="shared" si="161"/>
        <v/>
      </c>
      <c r="FA36" s="129" t="str">
        <f t="shared" si="162"/>
        <v/>
      </c>
      <c r="FB36" s="129" t="str">
        <f t="shared" si="163"/>
        <v/>
      </c>
      <c r="FC36" s="80" t="str">
        <f t="shared" si="164"/>
        <v/>
      </c>
      <c r="FD36" s="80" t="str">
        <f t="shared" si="165"/>
        <v/>
      </c>
      <c r="FE36" s="80" t="str">
        <f t="shared" si="166"/>
        <v/>
      </c>
      <c r="FF36" s="488" t="str">
        <f t="shared" si="167"/>
        <v/>
      </c>
      <c r="FG36" s="80" t="str">
        <f t="shared" si="168"/>
        <v/>
      </c>
      <c r="FH36" s="80" t="str">
        <f t="shared" si="169"/>
        <v/>
      </c>
      <c r="FI36" s="496" t="str">
        <f t="shared" si="170"/>
        <v/>
      </c>
      <c r="FJ36" s="140" t="str">
        <f t="shared" si="171"/>
        <v/>
      </c>
      <c r="FK36" s="492" t="str">
        <f t="shared" si="172"/>
        <v/>
      </c>
      <c r="FL36" s="490" t="str">
        <f t="shared" si="173"/>
        <v/>
      </c>
      <c r="FM36" s="74" t="str">
        <f t="shared" si="174"/>
        <v/>
      </c>
    </row>
    <row r="37" spans="1:169" ht="16.8" x14ac:dyDescent="0.3">
      <c r="A37" s="6"/>
      <c r="B37" s="25">
        <f>DATA!B35</f>
        <v>0</v>
      </c>
      <c r="C37" s="25" t="str">
        <f>IF(DATA!C35="","",DATA!C35)</f>
        <v/>
      </c>
      <c r="D37" s="25" t="str">
        <f>IF(DATA!D35="","",DATA!D35)</f>
        <v/>
      </c>
      <c r="E37" s="738" t="str">
        <f>IF(DATA!E35="","",DATA!E35)</f>
        <v/>
      </c>
      <c r="F37" s="738" t="str">
        <f>IF(DATA!F35="","",DATA!F35)</f>
        <v/>
      </c>
      <c r="G37" s="738" t="str">
        <f>IF(DATA!G35="","",DATA!G35)</f>
        <v/>
      </c>
      <c r="H37" s="214" t="str">
        <f>IF(DATA!H35="","",DATA!H35)</f>
        <v/>
      </c>
      <c r="I37" s="214" t="str">
        <f>IF(DATA!I35="","",DATA!I35)</f>
        <v/>
      </c>
      <c r="J37" s="214" t="str">
        <f>IF(DATA!J35="","",DATA!J35)</f>
        <v/>
      </c>
      <c r="K37" s="214" t="str">
        <f>IF(DATA!K35="","",DATA!K35)</f>
        <v/>
      </c>
      <c r="L37" s="73" t="str">
        <f>IF(ENGLISH!E37="","",ENGLISH!E37)</f>
        <v/>
      </c>
      <c r="M37" s="73" t="str">
        <f t="shared" si="41"/>
        <v/>
      </c>
      <c r="N37" s="73" t="str">
        <f>IF(ENGLISH!F37="","",ENGLISH!F37)</f>
        <v/>
      </c>
      <c r="O37" s="73" t="str">
        <f t="shared" si="42"/>
        <v/>
      </c>
      <c r="P37" s="73" t="str">
        <f>IF(ENGLISH!G37="","",ENGLISH!G37)</f>
        <v/>
      </c>
      <c r="Q37" s="73" t="str">
        <f t="shared" si="43"/>
        <v/>
      </c>
      <c r="R37" s="73" t="str">
        <f>IF(ENGLISH!H37="","",ENGLISH!H37)</f>
        <v/>
      </c>
      <c r="S37" s="73" t="str">
        <f>IF(ENGLISH!I37="","",ENGLISH!I37)</f>
        <v/>
      </c>
      <c r="T37" s="73" t="str">
        <f>IF(ENGLISH!J37="","",ENGLISH!J37)</f>
        <v/>
      </c>
      <c r="U37" s="73" t="str">
        <f>IF(ENGLISH!K37="","",ENGLISH!K37)</f>
        <v/>
      </c>
      <c r="V37" s="73" t="str">
        <f t="shared" si="44"/>
        <v/>
      </c>
      <c r="W37" s="81" t="str">
        <f>IF(ENGLISH!L37="","",ENGLISH!L37)</f>
        <v/>
      </c>
      <c r="X37" s="73" t="str">
        <f t="shared" si="45"/>
        <v/>
      </c>
      <c r="Y37" s="73" t="str">
        <f t="shared" si="46"/>
        <v/>
      </c>
      <c r="Z37" s="73" t="str">
        <f t="shared" si="47"/>
        <v/>
      </c>
      <c r="AA37" s="73" t="str">
        <f>IF(ENGLISH!O37="","",ENGLISH!O37*40/ENGLISH!$O$6)</f>
        <v/>
      </c>
      <c r="AB37" s="73" t="str">
        <f t="shared" si="48"/>
        <v/>
      </c>
      <c r="AC37" s="73" t="str">
        <f t="shared" si="49"/>
        <v/>
      </c>
      <c r="AD37" s="74" t="str">
        <f>IF(MATHS!E37="","",MATHS!E37)</f>
        <v/>
      </c>
      <c r="AE37" s="643" t="str">
        <f t="shared" si="50"/>
        <v/>
      </c>
      <c r="AF37" s="74" t="str">
        <f>IF(MATHS!F37="","",MATHS!F37)</f>
        <v/>
      </c>
      <c r="AG37" s="643" t="str">
        <f t="shared" si="51"/>
        <v/>
      </c>
      <c r="AH37" s="74" t="str">
        <f>IF(MATHS!G37="","",MATHS!G37)</f>
        <v/>
      </c>
      <c r="AI37" s="643" t="str">
        <f t="shared" si="52"/>
        <v/>
      </c>
      <c r="AJ37" s="75" t="str">
        <f t="shared" si="53"/>
        <v/>
      </c>
      <c r="AK37" s="75" t="str">
        <f t="shared" si="54"/>
        <v/>
      </c>
      <c r="AL37" s="75" t="str">
        <f t="shared" si="55"/>
        <v/>
      </c>
      <c r="AM37" s="75" t="str">
        <f>IF(MATHS!H37="","",MATHS!H37)</f>
        <v/>
      </c>
      <c r="AN37" s="75" t="str">
        <f>IF(MATHS!I37="","",MATHS!I37)</f>
        <v/>
      </c>
      <c r="AO37" s="75" t="str">
        <f>IF(MATHS!J37="","",MATHS!J37)</f>
        <v/>
      </c>
      <c r="AP37" s="75" t="str">
        <f t="shared" si="56"/>
        <v/>
      </c>
      <c r="AQ37" s="75" t="str">
        <f t="shared" si="57"/>
        <v/>
      </c>
      <c r="AR37" s="75" t="str">
        <f>IF(MATHS!K37="","",CEILING(MATHS!K37*$AR$6/MATHS!$K$6,1))</f>
        <v/>
      </c>
      <c r="AS37" s="76" t="str">
        <f t="shared" si="58"/>
        <v/>
      </c>
      <c r="AT37" s="76" t="str">
        <f t="shared" si="59"/>
        <v/>
      </c>
      <c r="AU37" s="76" t="str">
        <f>IF(MATHS!O37="","",MATHS!O37*$AU$6/MATHS!$O$6)</f>
        <v/>
      </c>
      <c r="AV37" s="76" t="str">
        <f t="shared" si="60"/>
        <v/>
      </c>
      <c r="AW37" s="76" t="str">
        <f t="shared" si="61"/>
        <v/>
      </c>
      <c r="AX37" s="73" t="str">
        <f>IF(PHYSICS!E38="","",PHYSICS!E38)</f>
        <v/>
      </c>
      <c r="AY37" s="644" t="str">
        <f t="shared" si="62"/>
        <v/>
      </c>
      <c r="AZ37" s="73" t="str">
        <f>IF(PHYSICS!F38="","",PHYSICS!F38)</f>
        <v/>
      </c>
      <c r="BA37" s="73" t="str">
        <f>IF(PHYSICS!G38="","",PHYSICS!G38)</f>
        <v/>
      </c>
      <c r="BB37" s="73" t="str">
        <f t="shared" si="63"/>
        <v/>
      </c>
      <c r="BC37" s="73" t="str">
        <f t="shared" si="64"/>
        <v/>
      </c>
      <c r="BD37" s="73" t="str">
        <f>IF(PHYSICS!H38="","",PHYSICS!H38)</f>
        <v/>
      </c>
      <c r="BE37" s="645" t="str">
        <f t="shared" si="65"/>
        <v/>
      </c>
      <c r="BF37" s="73" t="str">
        <f>IF(PHYSICS!I38="","",PHYSICS!I38)</f>
        <v/>
      </c>
      <c r="BG37" s="73" t="str">
        <f>IF(PHYSICS!J38="","",PHYSICS!J38)</f>
        <v/>
      </c>
      <c r="BH37" s="73" t="str">
        <f t="shared" si="66"/>
        <v/>
      </c>
      <c r="BI37" s="73" t="str">
        <f t="shared" si="67"/>
        <v/>
      </c>
      <c r="BJ37" s="73" t="str">
        <f t="shared" si="68"/>
        <v/>
      </c>
      <c r="BK37" s="73" t="str">
        <f t="shared" si="69"/>
        <v/>
      </c>
      <c r="BL37" s="73" t="str">
        <f t="shared" si="70"/>
        <v/>
      </c>
      <c r="BM37" s="73" t="str">
        <f t="shared" si="71"/>
        <v/>
      </c>
      <c r="BN37" s="73" t="str">
        <f>IF(PHYSICS!M38="","",PHYSICS!M38*$BN$6/PHYSICS!$M$7)</f>
        <v/>
      </c>
      <c r="BO37" s="73" t="str">
        <f t="shared" si="72"/>
        <v/>
      </c>
      <c r="BP37" s="73" t="str">
        <f t="shared" si="73"/>
        <v/>
      </c>
      <c r="BQ37" s="48" t="str">
        <f>IF(CHEMISTRY!E38="","",CHEMISTRY!E38)</f>
        <v/>
      </c>
      <c r="BR37" s="646" t="str">
        <f t="shared" si="74"/>
        <v/>
      </c>
      <c r="BS37" s="48" t="str">
        <f>IF(CHEMISTRY!F38="","",CHEMISTRY!F38)</f>
        <v/>
      </c>
      <c r="BT37" s="48" t="str">
        <f>IF(CHEMISTRY!G38="","",CHEMISTRY!G38)</f>
        <v/>
      </c>
      <c r="BU37" s="48" t="str">
        <f t="shared" si="75"/>
        <v/>
      </c>
      <c r="BV37" s="48" t="str">
        <f t="shared" si="76"/>
        <v/>
      </c>
      <c r="BW37" s="48" t="str">
        <f>IF(CHEMISTRY!H38="","",CHEMISTRY!H38)</f>
        <v/>
      </c>
      <c r="BX37" s="646" t="str">
        <f t="shared" si="77"/>
        <v/>
      </c>
      <c r="BY37" s="48" t="str">
        <f>IF(CHEMISTRY!I38="","",CHEMISTRY!I38)</f>
        <v/>
      </c>
      <c r="BZ37" s="48" t="str">
        <f>IF(CHEMISTRY!J38="","",CHEMISTRY!J38)</f>
        <v/>
      </c>
      <c r="CA37" s="48" t="str">
        <f t="shared" si="78"/>
        <v/>
      </c>
      <c r="CB37" s="48" t="str">
        <f t="shared" si="79"/>
        <v/>
      </c>
      <c r="CC37" s="48" t="str">
        <f t="shared" si="80"/>
        <v/>
      </c>
      <c r="CD37" s="48" t="str">
        <f t="shared" si="81"/>
        <v/>
      </c>
      <c r="CE37" s="48" t="str">
        <f t="shared" si="82"/>
        <v/>
      </c>
      <c r="CF37" s="48" t="str">
        <f t="shared" si="83"/>
        <v/>
      </c>
      <c r="CG37" s="48" t="str">
        <f>IF(CHEMISTRY!M38="","",CHEMISTRY!M38*$CG$6/CHEMISTRY!$M$7)</f>
        <v/>
      </c>
      <c r="CH37" s="48" t="str">
        <f t="shared" si="84"/>
        <v/>
      </c>
      <c r="CI37" s="48" t="str">
        <f t="shared" si="85"/>
        <v/>
      </c>
      <c r="CJ37" s="73" t="str">
        <f>IF(BIOLOGY!E38="","",BIOLOGY!E38)</f>
        <v/>
      </c>
      <c r="CK37" s="73" t="str">
        <f t="shared" si="86"/>
        <v/>
      </c>
      <c r="CL37" s="73" t="str">
        <f>IF(BIOLOGY!F38="","",BIOLOGY!F38)</f>
        <v/>
      </c>
      <c r="CM37" s="73" t="str">
        <f>IF(BIOLOGY!G38="","",BIOLOGY!G38)</f>
        <v/>
      </c>
      <c r="CN37" s="73" t="str">
        <f t="shared" si="87"/>
        <v/>
      </c>
      <c r="CO37" s="73" t="str">
        <f t="shared" si="88"/>
        <v/>
      </c>
      <c r="CP37" s="73" t="str">
        <f>IF(BIOLOGY!H38="","",BIOLOGY!H38)</f>
        <v/>
      </c>
      <c r="CQ37" s="73" t="str">
        <f t="shared" si="89"/>
        <v/>
      </c>
      <c r="CR37" s="73" t="str">
        <f>IF(BIOLOGY!I38="","",BIOLOGY!I38)</f>
        <v/>
      </c>
      <c r="CS37" s="73" t="str">
        <f>IF(BIOLOGY!J38="","",BIOLOGY!J38)</f>
        <v/>
      </c>
      <c r="CT37" s="73" t="str">
        <f t="shared" si="90"/>
        <v/>
      </c>
      <c r="CU37" s="73" t="str">
        <f t="shared" si="91"/>
        <v/>
      </c>
      <c r="CV37" s="73" t="str">
        <f t="shared" si="92"/>
        <v/>
      </c>
      <c r="CW37" s="73" t="str">
        <f t="shared" si="93"/>
        <v/>
      </c>
      <c r="CX37" s="73" t="str">
        <f t="shared" si="94"/>
        <v/>
      </c>
      <c r="CY37" s="73" t="str">
        <f t="shared" si="95"/>
        <v/>
      </c>
      <c r="CZ37" s="73" t="str">
        <f>IF(BIOLOGY!M38="","",CEILING((BIOLOGY!M38*$CZ$6/BIOLOGY!$M$7),1))</f>
        <v/>
      </c>
      <c r="DA37" s="73" t="str">
        <f t="shared" si="96"/>
        <v/>
      </c>
      <c r="DB37" s="73" t="str">
        <f t="shared" si="97"/>
        <v/>
      </c>
      <c r="DC37" s="76" t="str">
        <f>IF('PHY EDU '!E38="","",'PHY EDU '!E38)</f>
        <v/>
      </c>
      <c r="DD37" s="647" t="str">
        <f t="shared" si="98"/>
        <v/>
      </c>
      <c r="DE37" s="76" t="str">
        <f>IF('PHY EDU '!F38="","",'PHY EDU '!F38)</f>
        <v/>
      </c>
      <c r="DF37" s="76" t="str">
        <f>IF('PHY EDU '!G38="","",'PHY EDU '!G38)</f>
        <v/>
      </c>
      <c r="DG37" s="76" t="str">
        <f t="shared" si="99"/>
        <v/>
      </c>
      <c r="DH37" s="76" t="str">
        <f t="shared" si="100"/>
        <v/>
      </c>
      <c r="DI37" s="76" t="str">
        <f>IF('PHY EDU '!H38="","",'PHY EDU '!H38)</f>
        <v/>
      </c>
      <c r="DJ37" s="647" t="str">
        <f t="shared" si="101"/>
        <v/>
      </c>
      <c r="DK37" s="76" t="str">
        <f>IF('PHY EDU '!I38="","",'PHY EDU '!I38)</f>
        <v/>
      </c>
      <c r="DL37" s="76" t="str">
        <f>IF('PHY EDU '!J38="","",'PHY EDU '!J38)</f>
        <v/>
      </c>
      <c r="DM37" s="76" t="str">
        <f t="shared" si="102"/>
        <v/>
      </c>
      <c r="DN37" s="76" t="str">
        <f t="shared" si="103"/>
        <v/>
      </c>
      <c r="DO37" s="76" t="str">
        <f t="shared" si="104"/>
        <v/>
      </c>
      <c r="DP37" s="76" t="str">
        <f t="shared" si="105"/>
        <v/>
      </c>
      <c r="DQ37" s="76" t="str">
        <f t="shared" si="106"/>
        <v/>
      </c>
      <c r="DR37" s="76" t="str">
        <f t="shared" si="107"/>
        <v/>
      </c>
      <c r="DS37" s="76" t="str">
        <f>IF('PHY EDU '!M38="","",ROUNDUP('PHY EDU '!M38*$DS$6/'PHY EDU '!$M$7,0))</f>
        <v/>
      </c>
      <c r="DT37" s="76" t="str">
        <f t="shared" si="108"/>
        <v/>
      </c>
      <c r="DU37" s="76" t="str">
        <f t="shared" si="109"/>
        <v/>
      </c>
      <c r="DV37" s="72" t="str">
        <f t="shared" si="132"/>
        <v/>
      </c>
      <c r="DW37" s="72" t="str">
        <f t="shared" si="133"/>
        <v/>
      </c>
      <c r="DX37" s="72" t="str">
        <f t="shared" si="134"/>
        <v/>
      </c>
      <c r="DY37" s="72" t="str">
        <f t="shared" si="135"/>
        <v/>
      </c>
      <c r="DZ37" s="72" t="str">
        <f t="shared" si="136"/>
        <v/>
      </c>
      <c r="EA37" s="72" t="str">
        <f t="shared" si="137"/>
        <v/>
      </c>
      <c r="EB37" s="76" t="str">
        <f t="shared" si="138"/>
        <v/>
      </c>
      <c r="EC37" s="76" t="str">
        <f t="shared" si="139"/>
        <v/>
      </c>
      <c r="ED37" s="76" t="str">
        <f t="shared" si="140"/>
        <v/>
      </c>
      <c r="EE37" s="76" t="str">
        <f t="shared" si="141"/>
        <v/>
      </c>
      <c r="EF37" s="76" t="str">
        <f t="shared" si="142"/>
        <v/>
      </c>
      <c r="EG37" s="76" t="str">
        <f t="shared" si="143"/>
        <v/>
      </c>
      <c r="EH37" s="77" t="str">
        <f t="shared" si="144"/>
        <v/>
      </c>
      <c r="EI37" s="495" t="str">
        <f t="shared" si="145"/>
        <v/>
      </c>
      <c r="EJ37" s="86" t="str">
        <f t="shared" si="146"/>
        <v/>
      </c>
      <c r="EK37" s="78" t="str">
        <f t="shared" si="147"/>
        <v/>
      </c>
      <c r="EL37" s="79" t="str">
        <f t="shared" si="148"/>
        <v/>
      </c>
      <c r="EM37" s="139" t="str">
        <f t="shared" si="149"/>
        <v/>
      </c>
      <c r="EN37" s="77" t="str">
        <f t="shared" si="150"/>
        <v/>
      </c>
      <c r="EO37" s="77" t="str">
        <f>IF(EN37="","",ATTENDANCE!Q38&amp;"/"&amp;ATTENDANCE!$Q$7)</f>
        <v/>
      </c>
      <c r="EP37" s="80" t="str">
        <f t="shared" si="151"/>
        <v/>
      </c>
      <c r="EQ37" s="80" t="str">
        <f t="shared" si="152"/>
        <v/>
      </c>
      <c r="ER37" s="80" t="str">
        <f t="shared" si="153"/>
        <v/>
      </c>
      <c r="ES37" s="80" t="str">
        <f t="shared" si="154"/>
        <v/>
      </c>
      <c r="ET37" s="80" t="str">
        <f t="shared" si="155"/>
        <v/>
      </c>
      <c r="EU37" s="80" t="str">
        <f t="shared" si="156"/>
        <v/>
      </c>
      <c r="EV37" s="492" t="str">
        <f t="shared" si="157"/>
        <v/>
      </c>
      <c r="EW37" s="129" t="str">
        <f t="shared" si="158"/>
        <v/>
      </c>
      <c r="EX37" s="129" t="str">
        <f t="shared" si="159"/>
        <v/>
      </c>
      <c r="EY37" s="129" t="str">
        <f t="shared" si="160"/>
        <v/>
      </c>
      <c r="EZ37" s="129" t="str">
        <f t="shared" si="161"/>
        <v/>
      </c>
      <c r="FA37" s="129" t="str">
        <f t="shared" si="162"/>
        <v/>
      </c>
      <c r="FB37" s="129" t="str">
        <f t="shared" si="163"/>
        <v/>
      </c>
      <c r="FC37" s="80" t="str">
        <f t="shared" si="164"/>
        <v/>
      </c>
      <c r="FD37" s="80" t="str">
        <f t="shared" si="165"/>
        <v/>
      </c>
      <c r="FE37" s="80" t="str">
        <f t="shared" si="166"/>
        <v/>
      </c>
      <c r="FF37" s="488" t="str">
        <f t="shared" si="167"/>
        <v/>
      </c>
      <c r="FG37" s="80" t="str">
        <f t="shared" si="168"/>
        <v/>
      </c>
      <c r="FH37" s="80" t="str">
        <f t="shared" si="169"/>
        <v/>
      </c>
      <c r="FI37" s="496" t="str">
        <f t="shared" si="170"/>
        <v/>
      </c>
      <c r="FJ37" s="140" t="str">
        <f t="shared" si="171"/>
        <v/>
      </c>
      <c r="FK37" s="492" t="str">
        <f t="shared" si="172"/>
        <v/>
      </c>
      <c r="FL37" s="490" t="str">
        <f t="shared" si="173"/>
        <v/>
      </c>
      <c r="FM37" s="74" t="str">
        <f t="shared" si="174"/>
        <v/>
      </c>
    </row>
    <row r="38" spans="1:169" ht="16.8" x14ac:dyDescent="0.3">
      <c r="A38" s="6"/>
      <c r="B38" s="25">
        <f>DATA!B36</f>
        <v>0</v>
      </c>
      <c r="C38" s="25" t="str">
        <f>IF(DATA!C36="","",DATA!C36)</f>
        <v/>
      </c>
      <c r="D38" s="25" t="str">
        <f>IF(DATA!D36="","",DATA!D36)</f>
        <v/>
      </c>
      <c r="E38" s="738" t="str">
        <f>IF(DATA!E36="","",DATA!E36)</f>
        <v/>
      </c>
      <c r="F38" s="738" t="str">
        <f>IF(DATA!F36="","",DATA!F36)</f>
        <v/>
      </c>
      <c r="G38" s="738" t="str">
        <f>IF(DATA!G36="","",DATA!G36)</f>
        <v/>
      </c>
      <c r="H38" s="214" t="str">
        <f>IF(DATA!H36="","",DATA!H36)</f>
        <v/>
      </c>
      <c r="I38" s="214" t="str">
        <f>IF(DATA!I36="","",DATA!I36)</f>
        <v/>
      </c>
      <c r="J38" s="214" t="str">
        <f>IF(DATA!J36="","",DATA!J36)</f>
        <v/>
      </c>
      <c r="K38" s="214" t="str">
        <f>IF(DATA!K36="","",DATA!K36)</f>
        <v/>
      </c>
      <c r="L38" s="73" t="str">
        <f>IF(ENGLISH!E38="","",ENGLISH!E38)</f>
        <v/>
      </c>
      <c r="M38" s="73" t="str">
        <f t="shared" si="41"/>
        <v/>
      </c>
      <c r="N38" s="73" t="str">
        <f>IF(ENGLISH!F38="","",ENGLISH!F38)</f>
        <v/>
      </c>
      <c r="O38" s="73" t="str">
        <f t="shared" si="42"/>
        <v/>
      </c>
      <c r="P38" s="73" t="str">
        <f>IF(ENGLISH!G38="","",ENGLISH!G38)</f>
        <v/>
      </c>
      <c r="Q38" s="73" t="str">
        <f t="shared" si="43"/>
        <v/>
      </c>
      <c r="R38" s="73" t="str">
        <f>IF(ENGLISH!H38="","",ENGLISH!H38)</f>
        <v/>
      </c>
      <c r="S38" s="73" t="str">
        <f>IF(ENGLISH!I38="","",ENGLISH!I38)</f>
        <v/>
      </c>
      <c r="T38" s="73" t="str">
        <f>IF(ENGLISH!J38="","",ENGLISH!J38)</f>
        <v/>
      </c>
      <c r="U38" s="73" t="str">
        <f>IF(ENGLISH!K38="","",ENGLISH!K38)</f>
        <v/>
      </c>
      <c r="V38" s="73" t="str">
        <f t="shared" si="44"/>
        <v/>
      </c>
      <c r="W38" s="81" t="str">
        <f>IF(ENGLISH!L38="","",ENGLISH!L38)</f>
        <v/>
      </c>
      <c r="X38" s="73" t="str">
        <f t="shared" si="45"/>
        <v/>
      </c>
      <c r="Y38" s="73" t="str">
        <f t="shared" si="46"/>
        <v/>
      </c>
      <c r="Z38" s="73" t="str">
        <f t="shared" si="47"/>
        <v/>
      </c>
      <c r="AA38" s="73" t="str">
        <f>IF(ENGLISH!O38="","",ENGLISH!O38*40/ENGLISH!$O$6)</f>
        <v/>
      </c>
      <c r="AB38" s="73" t="str">
        <f t="shared" si="48"/>
        <v/>
      </c>
      <c r="AC38" s="73" t="str">
        <f t="shared" si="49"/>
        <v/>
      </c>
      <c r="AD38" s="74" t="str">
        <f>IF(MATHS!E38="","",MATHS!E38)</f>
        <v/>
      </c>
      <c r="AE38" s="643" t="str">
        <f t="shared" si="50"/>
        <v/>
      </c>
      <c r="AF38" s="74" t="str">
        <f>IF(MATHS!F38="","",MATHS!F38)</f>
        <v/>
      </c>
      <c r="AG38" s="643" t="str">
        <f t="shared" si="51"/>
        <v/>
      </c>
      <c r="AH38" s="74" t="str">
        <f>IF(MATHS!G38="","",MATHS!G38)</f>
        <v/>
      </c>
      <c r="AI38" s="643" t="str">
        <f t="shared" si="52"/>
        <v/>
      </c>
      <c r="AJ38" s="75" t="str">
        <f t="shared" si="53"/>
        <v/>
      </c>
      <c r="AK38" s="75" t="str">
        <f t="shared" si="54"/>
        <v/>
      </c>
      <c r="AL38" s="75" t="str">
        <f t="shared" si="55"/>
        <v/>
      </c>
      <c r="AM38" s="75" t="str">
        <f>IF(MATHS!H38="","",MATHS!H38)</f>
        <v/>
      </c>
      <c r="AN38" s="75" t="str">
        <f>IF(MATHS!I38="","",MATHS!I38)</f>
        <v/>
      </c>
      <c r="AO38" s="75" t="str">
        <f>IF(MATHS!J38="","",MATHS!J38)</f>
        <v/>
      </c>
      <c r="AP38" s="75" t="str">
        <f t="shared" si="56"/>
        <v/>
      </c>
      <c r="AQ38" s="75" t="str">
        <f t="shared" si="57"/>
        <v/>
      </c>
      <c r="AR38" s="75" t="str">
        <f>IF(MATHS!K38="","",CEILING(MATHS!K38*$AR$6/MATHS!$K$6,1))</f>
        <v/>
      </c>
      <c r="AS38" s="76" t="str">
        <f t="shared" si="58"/>
        <v/>
      </c>
      <c r="AT38" s="76" t="str">
        <f t="shared" si="59"/>
        <v/>
      </c>
      <c r="AU38" s="76" t="str">
        <f>IF(MATHS!O38="","",MATHS!O38*$AU$6/MATHS!$O$6)</f>
        <v/>
      </c>
      <c r="AV38" s="76" t="str">
        <f t="shared" si="60"/>
        <v/>
      </c>
      <c r="AW38" s="76" t="str">
        <f t="shared" si="61"/>
        <v/>
      </c>
      <c r="AX38" s="73" t="str">
        <f>IF(PHYSICS!E39="","",PHYSICS!E39)</f>
        <v/>
      </c>
      <c r="AY38" s="644" t="str">
        <f t="shared" si="62"/>
        <v/>
      </c>
      <c r="AZ38" s="73" t="str">
        <f>IF(PHYSICS!F39="","",PHYSICS!F39)</f>
        <v/>
      </c>
      <c r="BA38" s="73" t="str">
        <f>IF(PHYSICS!G39="","",PHYSICS!G39)</f>
        <v/>
      </c>
      <c r="BB38" s="73" t="str">
        <f t="shared" si="63"/>
        <v/>
      </c>
      <c r="BC38" s="73" t="str">
        <f t="shared" si="64"/>
        <v/>
      </c>
      <c r="BD38" s="73" t="str">
        <f>IF(PHYSICS!H39="","",PHYSICS!H39)</f>
        <v/>
      </c>
      <c r="BE38" s="645" t="str">
        <f t="shared" si="65"/>
        <v/>
      </c>
      <c r="BF38" s="73" t="str">
        <f>IF(PHYSICS!I39="","",PHYSICS!I39)</f>
        <v/>
      </c>
      <c r="BG38" s="73" t="str">
        <f>IF(PHYSICS!J39="","",PHYSICS!J39)</f>
        <v/>
      </c>
      <c r="BH38" s="73" t="str">
        <f t="shared" si="66"/>
        <v/>
      </c>
      <c r="BI38" s="73" t="str">
        <f t="shared" si="67"/>
        <v/>
      </c>
      <c r="BJ38" s="73" t="str">
        <f t="shared" si="68"/>
        <v/>
      </c>
      <c r="BK38" s="73" t="str">
        <f t="shared" si="69"/>
        <v/>
      </c>
      <c r="BL38" s="73" t="str">
        <f t="shared" si="70"/>
        <v/>
      </c>
      <c r="BM38" s="73" t="str">
        <f t="shared" si="71"/>
        <v/>
      </c>
      <c r="BN38" s="73" t="str">
        <f>IF(PHYSICS!M39="","",PHYSICS!M39*$BN$6/PHYSICS!$M$7)</f>
        <v/>
      </c>
      <c r="BO38" s="73" t="str">
        <f t="shared" si="72"/>
        <v/>
      </c>
      <c r="BP38" s="73" t="str">
        <f t="shared" si="73"/>
        <v/>
      </c>
      <c r="BQ38" s="48" t="str">
        <f>IF(CHEMISTRY!E39="","",CHEMISTRY!E39)</f>
        <v/>
      </c>
      <c r="BR38" s="646" t="str">
        <f t="shared" si="74"/>
        <v/>
      </c>
      <c r="BS38" s="48" t="str">
        <f>IF(CHEMISTRY!F39="","",CHEMISTRY!F39)</f>
        <v/>
      </c>
      <c r="BT38" s="48" t="str">
        <f>IF(CHEMISTRY!G39="","",CHEMISTRY!G39)</f>
        <v/>
      </c>
      <c r="BU38" s="48" t="str">
        <f t="shared" si="75"/>
        <v/>
      </c>
      <c r="BV38" s="48" t="str">
        <f t="shared" si="76"/>
        <v/>
      </c>
      <c r="BW38" s="48" t="str">
        <f>IF(CHEMISTRY!H39="","",CHEMISTRY!H39)</f>
        <v/>
      </c>
      <c r="BX38" s="646" t="str">
        <f t="shared" si="77"/>
        <v/>
      </c>
      <c r="BY38" s="48" t="str">
        <f>IF(CHEMISTRY!I39="","",CHEMISTRY!I39)</f>
        <v/>
      </c>
      <c r="BZ38" s="48" t="str">
        <f>IF(CHEMISTRY!J39="","",CHEMISTRY!J39)</f>
        <v/>
      </c>
      <c r="CA38" s="48" t="str">
        <f t="shared" si="78"/>
        <v/>
      </c>
      <c r="CB38" s="48" t="str">
        <f t="shared" si="79"/>
        <v/>
      </c>
      <c r="CC38" s="48" t="str">
        <f t="shared" si="80"/>
        <v/>
      </c>
      <c r="CD38" s="48" t="str">
        <f t="shared" si="81"/>
        <v/>
      </c>
      <c r="CE38" s="48" t="str">
        <f t="shared" si="82"/>
        <v/>
      </c>
      <c r="CF38" s="48" t="str">
        <f t="shared" si="83"/>
        <v/>
      </c>
      <c r="CG38" s="48" t="str">
        <f>IF(CHEMISTRY!M39="","",CHEMISTRY!M39*$CG$6/CHEMISTRY!$M$7)</f>
        <v/>
      </c>
      <c r="CH38" s="48" t="str">
        <f t="shared" si="84"/>
        <v/>
      </c>
      <c r="CI38" s="48" t="str">
        <f t="shared" si="85"/>
        <v/>
      </c>
      <c r="CJ38" s="73" t="str">
        <f>IF(BIOLOGY!E39="","",BIOLOGY!E39)</f>
        <v/>
      </c>
      <c r="CK38" s="73" t="str">
        <f t="shared" si="86"/>
        <v/>
      </c>
      <c r="CL38" s="73" t="str">
        <f>IF(BIOLOGY!F39="","",BIOLOGY!F39)</f>
        <v/>
      </c>
      <c r="CM38" s="73" t="str">
        <f>IF(BIOLOGY!G39="","",BIOLOGY!G39)</f>
        <v/>
      </c>
      <c r="CN38" s="73" t="str">
        <f t="shared" si="87"/>
        <v/>
      </c>
      <c r="CO38" s="73" t="str">
        <f t="shared" si="88"/>
        <v/>
      </c>
      <c r="CP38" s="73" t="str">
        <f>IF(BIOLOGY!H39="","",BIOLOGY!H39)</f>
        <v/>
      </c>
      <c r="CQ38" s="73" t="str">
        <f t="shared" si="89"/>
        <v/>
      </c>
      <c r="CR38" s="73" t="str">
        <f>IF(BIOLOGY!I39="","",BIOLOGY!I39)</f>
        <v/>
      </c>
      <c r="CS38" s="73" t="str">
        <f>IF(BIOLOGY!J39="","",BIOLOGY!J39)</f>
        <v/>
      </c>
      <c r="CT38" s="73" t="str">
        <f t="shared" si="90"/>
        <v/>
      </c>
      <c r="CU38" s="73" t="str">
        <f t="shared" si="91"/>
        <v/>
      </c>
      <c r="CV38" s="73" t="str">
        <f t="shared" si="92"/>
        <v/>
      </c>
      <c r="CW38" s="73" t="str">
        <f t="shared" si="93"/>
        <v/>
      </c>
      <c r="CX38" s="73" t="str">
        <f t="shared" si="94"/>
        <v/>
      </c>
      <c r="CY38" s="73" t="str">
        <f t="shared" si="95"/>
        <v/>
      </c>
      <c r="CZ38" s="73" t="str">
        <f>IF(BIOLOGY!M39="","",CEILING((BIOLOGY!M39*$CZ$6/BIOLOGY!$M$7),1))</f>
        <v/>
      </c>
      <c r="DA38" s="73" t="str">
        <f t="shared" si="96"/>
        <v/>
      </c>
      <c r="DB38" s="73" t="str">
        <f t="shared" si="97"/>
        <v/>
      </c>
      <c r="DC38" s="76" t="str">
        <f>IF('PHY EDU '!E39="","",'PHY EDU '!E39)</f>
        <v/>
      </c>
      <c r="DD38" s="647" t="str">
        <f t="shared" si="98"/>
        <v/>
      </c>
      <c r="DE38" s="76" t="str">
        <f>IF('PHY EDU '!F39="","",'PHY EDU '!F39)</f>
        <v/>
      </c>
      <c r="DF38" s="76" t="str">
        <f>IF('PHY EDU '!G39="","",'PHY EDU '!G39)</f>
        <v/>
      </c>
      <c r="DG38" s="76" t="str">
        <f t="shared" si="99"/>
        <v/>
      </c>
      <c r="DH38" s="76" t="str">
        <f t="shared" si="100"/>
        <v/>
      </c>
      <c r="DI38" s="76" t="str">
        <f>IF('PHY EDU '!H39="","",'PHY EDU '!H39)</f>
        <v/>
      </c>
      <c r="DJ38" s="647" t="str">
        <f t="shared" si="101"/>
        <v/>
      </c>
      <c r="DK38" s="76" t="str">
        <f>IF('PHY EDU '!I39="","",'PHY EDU '!I39)</f>
        <v/>
      </c>
      <c r="DL38" s="76" t="str">
        <f>IF('PHY EDU '!J39="","",'PHY EDU '!J39)</f>
        <v/>
      </c>
      <c r="DM38" s="76" t="str">
        <f t="shared" si="102"/>
        <v/>
      </c>
      <c r="DN38" s="76" t="str">
        <f t="shared" si="103"/>
        <v/>
      </c>
      <c r="DO38" s="76" t="str">
        <f t="shared" si="104"/>
        <v/>
      </c>
      <c r="DP38" s="76" t="str">
        <f t="shared" si="105"/>
        <v/>
      </c>
      <c r="DQ38" s="76" t="str">
        <f t="shared" si="106"/>
        <v/>
      </c>
      <c r="DR38" s="76" t="str">
        <f t="shared" si="107"/>
        <v/>
      </c>
      <c r="DS38" s="76" t="str">
        <f>IF('PHY EDU '!M39="","",ROUNDUP('PHY EDU '!M39*$DS$6/'PHY EDU '!$M$7,0))</f>
        <v/>
      </c>
      <c r="DT38" s="76" t="str">
        <f t="shared" si="108"/>
        <v/>
      </c>
      <c r="DU38" s="76" t="str">
        <f t="shared" si="109"/>
        <v/>
      </c>
      <c r="DV38" s="72" t="str">
        <f t="shared" si="132"/>
        <v/>
      </c>
      <c r="DW38" s="72" t="str">
        <f t="shared" si="133"/>
        <v/>
      </c>
      <c r="DX38" s="72" t="str">
        <f t="shared" si="134"/>
        <v/>
      </c>
      <c r="DY38" s="72" t="str">
        <f t="shared" si="135"/>
        <v/>
      </c>
      <c r="DZ38" s="72" t="str">
        <f t="shared" si="136"/>
        <v/>
      </c>
      <c r="EA38" s="72" t="str">
        <f t="shared" si="137"/>
        <v/>
      </c>
      <c r="EB38" s="76" t="str">
        <f t="shared" si="138"/>
        <v/>
      </c>
      <c r="EC38" s="76" t="str">
        <f t="shared" si="139"/>
        <v/>
      </c>
      <c r="ED38" s="76" t="str">
        <f t="shared" si="140"/>
        <v/>
      </c>
      <c r="EE38" s="76" t="str">
        <f t="shared" si="141"/>
        <v/>
      </c>
      <c r="EF38" s="76" t="str">
        <f t="shared" si="142"/>
        <v/>
      </c>
      <c r="EG38" s="76" t="str">
        <f t="shared" si="143"/>
        <v/>
      </c>
      <c r="EH38" s="77" t="str">
        <f t="shared" si="144"/>
        <v/>
      </c>
      <c r="EI38" s="495" t="str">
        <f t="shared" si="145"/>
        <v/>
      </c>
      <c r="EJ38" s="86" t="str">
        <f t="shared" si="146"/>
        <v/>
      </c>
      <c r="EK38" s="78" t="str">
        <f t="shared" si="147"/>
        <v/>
      </c>
      <c r="EL38" s="79" t="str">
        <f t="shared" si="148"/>
        <v/>
      </c>
      <c r="EM38" s="139" t="str">
        <f t="shared" si="149"/>
        <v/>
      </c>
      <c r="EN38" s="77" t="str">
        <f t="shared" si="150"/>
        <v/>
      </c>
      <c r="EO38" s="77" t="str">
        <f>IF(EN38="","",ATTENDANCE!Q39&amp;"/"&amp;ATTENDANCE!$Q$7)</f>
        <v/>
      </c>
      <c r="EP38" s="80" t="str">
        <f t="shared" si="151"/>
        <v/>
      </c>
      <c r="EQ38" s="80" t="str">
        <f t="shared" si="152"/>
        <v/>
      </c>
      <c r="ER38" s="80" t="str">
        <f t="shared" si="153"/>
        <v/>
      </c>
      <c r="ES38" s="80" t="str">
        <f t="shared" si="154"/>
        <v/>
      </c>
      <c r="ET38" s="80" t="str">
        <f t="shared" si="155"/>
        <v/>
      </c>
      <c r="EU38" s="80" t="str">
        <f t="shared" si="156"/>
        <v/>
      </c>
      <c r="EV38" s="492" t="str">
        <f t="shared" si="157"/>
        <v/>
      </c>
      <c r="EW38" s="129" t="str">
        <f t="shared" si="158"/>
        <v/>
      </c>
      <c r="EX38" s="129" t="str">
        <f t="shared" si="159"/>
        <v/>
      </c>
      <c r="EY38" s="129" t="str">
        <f t="shared" si="160"/>
        <v/>
      </c>
      <c r="EZ38" s="129" t="str">
        <f t="shared" si="161"/>
        <v/>
      </c>
      <c r="FA38" s="129" t="str">
        <f t="shared" si="162"/>
        <v/>
      </c>
      <c r="FB38" s="129" t="str">
        <f t="shared" si="163"/>
        <v/>
      </c>
      <c r="FC38" s="80" t="str">
        <f t="shared" si="164"/>
        <v/>
      </c>
      <c r="FD38" s="80" t="str">
        <f t="shared" si="165"/>
        <v/>
      </c>
      <c r="FE38" s="80" t="str">
        <f t="shared" si="166"/>
        <v/>
      </c>
      <c r="FF38" s="488" t="str">
        <f t="shared" si="167"/>
        <v/>
      </c>
      <c r="FG38" s="80" t="str">
        <f t="shared" si="168"/>
        <v/>
      </c>
      <c r="FH38" s="80" t="str">
        <f t="shared" si="169"/>
        <v/>
      </c>
      <c r="FI38" s="496" t="str">
        <f t="shared" si="170"/>
        <v/>
      </c>
      <c r="FJ38" s="140" t="str">
        <f t="shared" si="171"/>
        <v/>
      </c>
      <c r="FK38" s="492" t="str">
        <f t="shared" si="172"/>
        <v/>
      </c>
      <c r="FL38" s="490" t="str">
        <f t="shared" si="173"/>
        <v/>
      </c>
      <c r="FM38" s="74" t="str">
        <f t="shared" si="174"/>
        <v/>
      </c>
    </row>
    <row r="39" spans="1:169" ht="16.8" x14ac:dyDescent="0.3">
      <c r="A39" s="6"/>
      <c r="B39" s="25">
        <f>DATA!B37</f>
        <v>0</v>
      </c>
      <c r="C39" s="25" t="str">
        <f>IF(DATA!C37="","",DATA!C37)</f>
        <v/>
      </c>
      <c r="D39" s="25" t="str">
        <f>IF(DATA!D37="","",DATA!D37)</f>
        <v/>
      </c>
      <c r="E39" s="738" t="str">
        <f>IF(DATA!E37="","",DATA!E37)</f>
        <v/>
      </c>
      <c r="F39" s="738" t="str">
        <f>IF(DATA!F37="","",DATA!F37)</f>
        <v/>
      </c>
      <c r="G39" s="738" t="str">
        <f>IF(DATA!G37="","",DATA!G37)</f>
        <v/>
      </c>
      <c r="H39" s="214" t="str">
        <f>IF(DATA!H37="","",DATA!H37)</f>
        <v/>
      </c>
      <c r="I39" s="214" t="str">
        <f>IF(DATA!I37="","",DATA!I37)</f>
        <v/>
      </c>
      <c r="J39" s="214" t="str">
        <f>IF(DATA!J37="","",DATA!J37)</f>
        <v/>
      </c>
      <c r="K39" s="214" t="str">
        <f>IF(DATA!K37="","",DATA!K37)</f>
        <v/>
      </c>
      <c r="L39" s="73" t="str">
        <f>IF(ENGLISH!E39="","",ENGLISH!E39)</f>
        <v/>
      </c>
      <c r="M39" s="73" t="str">
        <f t="shared" si="41"/>
        <v/>
      </c>
      <c r="N39" s="73" t="str">
        <f>IF(ENGLISH!F39="","",ENGLISH!F39)</f>
        <v/>
      </c>
      <c r="O39" s="73" t="str">
        <f t="shared" si="42"/>
        <v/>
      </c>
      <c r="P39" s="73" t="str">
        <f>IF(ENGLISH!G39="","",ENGLISH!G39)</f>
        <v/>
      </c>
      <c r="Q39" s="73" t="str">
        <f t="shared" si="43"/>
        <v/>
      </c>
      <c r="R39" s="73" t="str">
        <f>IF(ENGLISH!H39="","",ENGLISH!H39)</f>
        <v/>
      </c>
      <c r="S39" s="73" t="str">
        <f>IF(ENGLISH!I39="","",ENGLISH!I39)</f>
        <v/>
      </c>
      <c r="T39" s="73" t="str">
        <f>IF(ENGLISH!J39="","",ENGLISH!J39)</f>
        <v/>
      </c>
      <c r="U39" s="73" t="str">
        <f>IF(ENGLISH!K39="","",ENGLISH!K39)</f>
        <v/>
      </c>
      <c r="V39" s="73" t="str">
        <f t="shared" si="44"/>
        <v/>
      </c>
      <c r="W39" s="81" t="str">
        <f>IF(ENGLISH!L39="","",ENGLISH!L39)</f>
        <v/>
      </c>
      <c r="X39" s="73" t="str">
        <f t="shared" si="45"/>
        <v/>
      </c>
      <c r="Y39" s="73" t="str">
        <f t="shared" si="46"/>
        <v/>
      </c>
      <c r="Z39" s="73" t="str">
        <f t="shared" si="47"/>
        <v/>
      </c>
      <c r="AA39" s="73" t="str">
        <f>IF(ENGLISH!O39="","",ENGLISH!O39*40/ENGLISH!$O$6)</f>
        <v/>
      </c>
      <c r="AB39" s="73" t="str">
        <f t="shared" si="48"/>
        <v/>
      </c>
      <c r="AC39" s="73" t="str">
        <f t="shared" si="49"/>
        <v/>
      </c>
      <c r="AD39" s="74" t="str">
        <f>IF(MATHS!E39="","",MATHS!E39)</f>
        <v/>
      </c>
      <c r="AE39" s="643" t="str">
        <f t="shared" si="50"/>
        <v/>
      </c>
      <c r="AF39" s="74" t="str">
        <f>IF(MATHS!F39="","",MATHS!F39)</f>
        <v/>
      </c>
      <c r="AG39" s="643" t="str">
        <f t="shared" si="51"/>
        <v/>
      </c>
      <c r="AH39" s="74" t="str">
        <f>IF(MATHS!G39="","",MATHS!G39)</f>
        <v/>
      </c>
      <c r="AI39" s="643" t="str">
        <f t="shared" si="52"/>
        <v/>
      </c>
      <c r="AJ39" s="75" t="str">
        <f t="shared" si="53"/>
        <v/>
      </c>
      <c r="AK39" s="75" t="str">
        <f t="shared" si="54"/>
        <v/>
      </c>
      <c r="AL39" s="75" t="str">
        <f t="shared" si="55"/>
        <v/>
      </c>
      <c r="AM39" s="75" t="str">
        <f>IF(MATHS!H39="","",MATHS!H39)</f>
        <v/>
      </c>
      <c r="AN39" s="75" t="str">
        <f>IF(MATHS!I39="","",MATHS!I39)</f>
        <v/>
      </c>
      <c r="AO39" s="75" t="str">
        <f>IF(MATHS!J39="","",MATHS!J39)</f>
        <v/>
      </c>
      <c r="AP39" s="75" t="str">
        <f t="shared" si="56"/>
        <v/>
      </c>
      <c r="AQ39" s="75" t="str">
        <f t="shared" si="57"/>
        <v/>
      </c>
      <c r="AR39" s="75" t="str">
        <f>IF(MATHS!K39="","",CEILING(MATHS!K39*$AR$6/MATHS!$K$6,1))</f>
        <v/>
      </c>
      <c r="AS39" s="76" t="str">
        <f t="shared" si="58"/>
        <v/>
      </c>
      <c r="AT39" s="76" t="str">
        <f t="shared" si="59"/>
        <v/>
      </c>
      <c r="AU39" s="76" t="str">
        <f>IF(MATHS!O39="","",MATHS!O39*$AU$6/MATHS!$O$6)</f>
        <v/>
      </c>
      <c r="AV39" s="76" t="str">
        <f t="shared" si="60"/>
        <v/>
      </c>
      <c r="AW39" s="76" t="str">
        <f t="shared" si="61"/>
        <v/>
      </c>
      <c r="AX39" s="73" t="str">
        <f>IF(PHYSICS!E40="","",PHYSICS!E40)</f>
        <v/>
      </c>
      <c r="AY39" s="644" t="str">
        <f t="shared" si="62"/>
        <v/>
      </c>
      <c r="AZ39" s="73" t="str">
        <f>IF(PHYSICS!F40="","",PHYSICS!F40)</f>
        <v/>
      </c>
      <c r="BA39" s="73" t="str">
        <f>IF(PHYSICS!G40="","",PHYSICS!G40)</f>
        <v/>
      </c>
      <c r="BB39" s="73" t="str">
        <f t="shared" si="63"/>
        <v/>
      </c>
      <c r="BC39" s="73" t="str">
        <f t="shared" si="64"/>
        <v/>
      </c>
      <c r="BD39" s="73" t="str">
        <f>IF(PHYSICS!H40="","",PHYSICS!H40)</f>
        <v/>
      </c>
      <c r="BE39" s="645" t="str">
        <f t="shared" si="65"/>
        <v/>
      </c>
      <c r="BF39" s="73" t="str">
        <f>IF(PHYSICS!I40="","",PHYSICS!I40)</f>
        <v/>
      </c>
      <c r="BG39" s="73" t="str">
        <f>IF(PHYSICS!J40="","",PHYSICS!J40)</f>
        <v/>
      </c>
      <c r="BH39" s="73" t="str">
        <f t="shared" si="66"/>
        <v/>
      </c>
      <c r="BI39" s="73" t="str">
        <f t="shared" si="67"/>
        <v/>
      </c>
      <c r="BJ39" s="73" t="str">
        <f t="shared" si="68"/>
        <v/>
      </c>
      <c r="BK39" s="73" t="str">
        <f t="shared" si="69"/>
        <v/>
      </c>
      <c r="BL39" s="73" t="str">
        <f t="shared" si="70"/>
        <v/>
      </c>
      <c r="BM39" s="73" t="str">
        <f t="shared" si="71"/>
        <v/>
      </c>
      <c r="BN39" s="73" t="str">
        <f>IF(PHYSICS!M40="","",PHYSICS!M40*$BN$6/PHYSICS!$M$7)</f>
        <v/>
      </c>
      <c r="BO39" s="73" t="str">
        <f t="shared" si="72"/>
        <v/>
      </c>
      <c r="BP39" s="73" t="str">
        <f t="shared" si="73"/>
        <v/>
      </c>
      <c r="BQ39" s="48" t="str">
        <f>IF(CHEMISTRY!E40="","",CHEMISTRY!E40)</f>
        <v/>
      </c>
      <c r="BR39" s="646" t="str">
        <f t="shared" si="74"/>
        <v/>
      </c>
      <c r="BS39" s="48" t="str">
        <f>IF(CHEMISTRY!F40="","",CHEMISTRY!F40)</f>
        <v/>
      </c>
      <c r="BT39" s="48" t="str">
        <f>IF(CHEMISTRY!G40="","",CHEMISTRY!G40)</f>
        <v/>
      </c>
      <c r="BU39" s="48" t="str">
        <f t="shared" si="75"/>
        <v/>
      </c>
      <c r="BV39" s="48" t="str">
        <f t="shared" si="76"/>
        <v/>
      </c>
      <c r="BW39" s="48" t="str">
        <f>IF(CHEMISTRY!H40="","",CHEMISTRY!H40)</f>
        <v/>
      </c>
      <c r="BX39" s="646" t="str">
        <f t="shared" si="77"/>
        <v/>
      </c>
      <c r="BY39" s="48" t="str">
        <f>IF(CHEMISTRY!I40="","",CHEMISTRY!I40)</f>
        <v/>
      </c>
      <c r="BZ39" s="48" t="str">
        <f>IF(CHEMISTRY!J40="","",CHEMISTRY!J40)</f>
        <v/>
      </c>
      <c r="CA39" s="48" t="str">
        <f t="shared" si="78"/>
        <v/>
      </c>
      <c r="CB39" s="48" t="str">
        <f t="shared" si="79"/>
        <v/>
      </c>
      <c r="CC39" s="48" t="str">
        <f t="shared" si="80"/>
        <v/>
      </c>
      <c r="CD39" s="48" t="str">
        <f t="shared" si="81"/>
        <v/>
      </c>
      <c r="CE39" s="48" t="str">
        <f t="shared" si="82"/>
        <v/>
      </c>
      <c r="CF39" s="48" t="str">
        <f t="shared" si="83"/>
        <v/>
      </c>
      <c r="CG39" s="48" t="str">
        <f>IF(CHEMISTRY!M40="","",CHEMISTRY!M40*$CG$6/CHEMISTRY!$M$7)</f>
        <v/>
      </c>
      <c r="CH39" s="48" t="str">
        <f t="shared" si="84"/>
        <v/>
      </c>
      <c r="CI39" s="48" t="str">
        <f t="shared" si="85"/>
        <v/>
      </c>
      <c r="CJ39" s="73" t="str">
        <f>IF(BIOLOGY!E40="","",BIOLOGY!E40)</f>
        <v/>
      </c>
      <c r="CK39" s="73" t="str">
        <f t="shared" si="86"/>
        <v/>
      </c>
      <c r="CL39" s="73" t="str">
        <f>IF(BIOLOGY!F40="","",BIOLOGY!F40)</f>
        <v/>
      </c>
      <c r="CM39" s="73" t="str">
        <f>IF(BIOLOGY!G40="","",BIOLOGY!G40)</f>
        <v/>
      </c>
      <c r="CN39" s="73" t="str">
        <f t="shared" si="87"/>
        <v/>
      </c>
      <c r="CO39" s="73" t="str">
        <f t="shared" si="88"/>
        <v/>
      </c>
      <c r="CP39" s="73" t="str">
        <f>IF(BIOLOGY!H40="","",BIOLOGY!H40)</f>
        <v/>
      </c>
      <c r="CQ39" s="73" t="str">
        <f t="shared" si="89"/>
        <v/>
      </c>
      <c r="CR39" s="73" t="str">
        <f>IF(BIOLOGY!I40="","",BIOLOGY!I40)</f>
        <v/>
      </c>
      <c r="CS39" s="73" t="str">
        <f>IF(BIOLOGY!J40="","",BIOLOGY!J40)</f>
        <v/>
      </c>
      <c r="CT39" s="73" t="str">
        <f t="shared" si="90"/>
        <v/>
      </c>
      <c r="CU39" s="73" t="str">
        <f t="shared" si="91"/>
        <v/>
      </c>
      <c r="CV39" s="73" t="str">
        <f t="shared" si="92"/>
        <v/>
      </c>
      <c r="CW39" s="73" t="str">
        <f t="shared" si="93"/>
        <v/>
      </c>
      <c r="CX39" s="73" t="str">
        <f t="shared" si="94"/>
        <v/>
      </c>
      <c r="CY39" s="73" t="str">
        <f t="shared" si="95"/>
        <v/>
      </c>
      <c r="CZ39" s="73" t="str">
        <f>IF(BIOLOGY!M40="","",CEILING((BIOLOGY!M40*$CZ$6/BIOLOGY!$M$7),1))</f>
        <v/>
      </c>
      <c r="DA39" s="73" t="str">
        <f t="shared" si="96"/>
        <v/>
      </c>
      <c r="DB39" s="73" t="str">
        <f t="shared" si="97"/>
        <v/>
      </c>
      <c r="DC39" s="76" t="str">
        <f>IF('PHY EDU '!E40="","",'PHY EDU '!E40)</f>
        <v/>
      </c>
      <c r="DD39" s="647" t="str">
        <f t="shared" si="98"/>
        <v/>
      </c>
      <c r="DE39" s="76" t="str">
        <f>IF('PHY EDU '!F40="","",'PHY EDU '!F40)</f>
        <v/>
      </c>
      <c r="DF39" s="76" t="str">
        <f>IF('PHY EDU '!G40="","",'PHY EDU '!G40)</f>
        <v/>
      </c>
      <c r="DG39" s="76" t="str">
        <f t="shared" si="99"/>
        <v/>
      </c>
      <c r="DH39" s="76" t="str">
        <f t="shared" si="100"/>
        <v/>
      </c>
      <c r="DI39" s="76" t="str">
        <f>IF('PHY EDU '!H40="","",'PHY EDU '!H40)</f>
        <v/>
      </c>
      <c r="DJ39" s="647" t="str">
        <f t="shared" si="101"/>
        <v/>
      </c>
      <c r="DK39" s="76" t="str">
        <f>IF('PHY EDU '!I40="","",'PHY EDU '!I40)</f>
        <v/>
      </c>
      <c r="DL39" s="76" t="str">
        <f>IF('PHY EDU '!J40="","",'PHY EDU '!J40)</f>
        <v/>
      </c>
      <c r="DM39" s="76" t="str">
        <f t="shared" si="102"/>
        <v/>
      </c>
      <c r="DN39" s="76" t="str">
        <f t="shared" si="103"/>
        <v/>
      </c>
      <c r="DO39" s="76" t="str">
        <f t="shared" si="104"/>
        <v/>
      </c>
      <c r="DP39" s="76" t="str">
        <f t="shared" si="105"/>
        <v/>
      </c>
      <c r="DQ39" s="76" t="str">
        <f t="shared" si="106"/>
        <v/>
      </c>
      <c r="DR39" s="76" t="str">
        <f t="shared" si="107"/>
        <v/>
      </c>
      <c r="DS39" s="76" t="str">
        <f>IF('PHY EDU '!M40="","",ROUNDUP('PHY EDU '!M40*$DS$6/'PHY EDU '!$M$7,0))</f>
        <v/>
      </c>
      <c r="DT39" s="76" t="str">
        <f t="shared" si="108"/>
        <v/>
      </c>
      <c r="DU39" s="76" t="str">
        <f t="shared" si="109"/>
        <v/>
      </c>
      <c r="DV39" s="72" t="str">
        <f t="shared" si="132"/>
        <v/>
      </c>
      <c r="DW39" s="72" t="str">
        <f t="shared" si="133"/>
        <v/>
      </c>
      <c r="DX39" s="72" t="str">
        <f t="shared" si="134"/>
        <v/>
      </c>
      <c r="DY39" s="72" t="str">
        <f t="shared" si="135"/>
        <v/>
      </c>
      <c r="DZ39" s="72" t="str">
        <f t="shared" si="136"/>
        <v/>
      </c>
      <c r="EA39" s="72" t="str">
        <f t="shared" si="137"/>
        <v/>
      </c>
      <c r="EB39" s="76" t="str">
        <f t="shared" si="138"/>
        <v/>
      </c>
      <c r="EC39" s="76" t="str">
        <f t="shared" si="139"/>
        <v/>
      </c>
      <c r="ED39" s="76" t="str">
        <f t="shared" si="140"/>
        <v/>
      </c>
      <c r="EE39" s="76" t="str">
        <f t="shared" si="141"/>
        <v/>
      </c>
      <c r="EF39" s="76" t="str">
        <f t="shared" si="142"/>
        <v/>
      </c>
      <c r="EG39" s="76" t="str">
        <f t="shared" si="143"/>
        <v/>
      </c>
      <c r="EH39" s="77" t="str">
        <f t="shared" si="144"/>
        <v/>
      </c>
      <c r="EI39" s="495" t="str">
        <f t="shared" si="145"/>
        <v/>
      </c>
      <c r="EJ39" s="86" t="str">
        <f t="shared" si="146"/>
        <v/>
      </c>
      <c r="EK39" s="78" t="str">
        <f t="shared" si="147"/>
        <v/>
      </c>
      <c r="EL39" s="79" t="str">
        <f t="shared" si="148"/>
        <v/>
      </c>
      <c r="EM39" s="139" t="str">
        <f t="shared" si="149"/>
        <v/>
      </c>
      <c r="EN39" s="77" t="str">
        <f t="shared" si="150"/>
        <v/>
      </c>
      <c r="EO39" s="77" t="str">
        <f>IF(EN39="","",ATTENDANCE!Q40&amp;"/"&amp;ATTENDANCE!$Q$7)</f>
        <v/>
      </c>
      <c r="EP39" s="80" t="str">
        <f t="shared" si="151"/>
        <v/>
      </c>
      <c r="EQ39" s="80" t="str">
        <f t="shared" si="152"/>
        <v/>
      </c>
      <c r="ER39" s="80" t="str">
        <f t="shared" si="153"/>
        <v/>
      </c>
      <c r="ES39" s="80" t="str">
        <f t="shared" si="154"/>
        <v/>
      </c>
      <c r="ET39" s="80" t="str">
        <f t="shared" si="155"/>
        <v/>
      </c>
      <c r="EU39" s="80" t="str">
        <f t="shared" si="156"/>
        <v/>
      </c>
      <c r="EV39" s="492" t="str">
        <f t="shared" si="157"/>
        <v/>
      </c>
      <c r="EW39" s="129" t="str">
        <f t="shared" si="158"/>
        <v/>
      </c>
      <c r="EX39" s="129" t="str">
        <f t="shared" si="159"/>
        <v/>
      </c>
      <c r="EY39" s="129" t="str">
        <f t="shared" si="160"/>
        <v/>
      </c>
      <c r="EZ39" s="129" t="str">
        <f t="shared" si="161"/>
        <v/>
      </c>
      <c r="FA39" s="129" t="str">
        <f t="shared" si="162"/>
        <v/>
      </c>
      <c r="FB39" s="129" t="str">
        <f t="shared" si="163"/>
        <v/>
      </c>
      <c r="FC39" s="80" t="str">
        <f t="shared" si="164"/>
        <v/>
      </c>
      <c r="FD39" s="80" t="str">
        <f t="shared" si="165"/>
        <v/>
      </c>
      <c r="FE39" s="80" t="str">
        <f t="shared" si="166"/>
        <v/>
      </c>
      <c r="FF39" s="488" t="str">
        <f t="shared" si="167"/>
        <v/>
      </c>
      <c r="FG39" s="80" t="str">
        <f t="shared" si="168"/>
        <v/>
      </c>
      <c r="FH39" s="80" t="str">
        <f t="shared" si="169"/>
        <v/>
      </c>
      <c r="FI39" s="496" t="str">
        <f t="shared" si="170"/>
        <v/>
      </c>
      <c r="FJ39" s="140" t="str">
        <f t="shared" si="171"/>
        <v/>
      </c>
      <c r="FK39" s="492" t="str">
        <f t="shared" si="172"/>
        <v/>
      </c>
      <c r="FL39" s="490" t="str">
        <f t="shared" si="173"/>
        <v/>
      </c>
      <c r="FM39" s="74" t="str">
        <f t="shared" si="174"/>
        <v/>
      </c>
    </row>
    <row r="40" spans="1:169" ht="16.8" x14ac:dyDescent="0.3">
      <c r="A40" s="6"/>
      <c r="B40" s="25">
        <f>DATA!B38</f>
        <v>0</v>
      </c>
      <c r="C40" s="25" t="str">
        <f>IF(DATA!C38="","",DATA!C38)</f>
        <v/>
      </c>
      <c r="D40" s="25" t="str">
        <f>IF(DATA!D38="","",DATA!D38)</f>
        <v/>
      </c>
      <c r="E40" s="738" t="str">
        <f>IF(DATA!E38="","",DATA!E38)</f>
        <v/>
      </c>
      <c r="F40" s="738" t="str">
        <f>IF(DATA!F38="","",DATA!F38)</f>
        <v/>
      </c>
      <c r="G40" s="738" t="str">
        <f>IF(DATA!G38="","",DATA!G38)</f>
        <v/>
      </c>
      <c r="H40" s="214" t="str">
        <f>IF(DATA!H38="","",DATA!H38)</f>
        <v/>
      </c>
      <c r="I40" s="214" t="str">
        <f>IF(DATA!I38="","",DATA!I38)</f>
        <v/>
      </c>
      <c r="J40" s="214" t="str">
        <f>IF(DATA!J38="","",DATA!J38)</f>
        <v/>
      </c>
      <c r="K40" s="214" t="str">
        <f>IF(DATA!K38="","",DATA!K38)</f>
        <v/>
      </c>
      <c r="L40" s="73" t="str">
        <f>IF(ENGLISH!E40="","",ENGLISH!E40)</f>
        <v/>
      </c>
      <c r="M40" s="73" t="str">
        <f t="shared" si="41"/>
        <v/>
      </c>
      <c r="N40" s="73" t="str">
        <f>IF(ENGLISH!F40="","",ENGLISH!F40)</f>
        <v/>
      </c>
      <c r="O40" s="73" t="str">
        <f t="shared" si="42"/>
        <v/>
      </c>
      <c r="P40" s="73" t="str">
        <f>IF(ENGLISH!G40="","",ENGLISH!G40)</f>
        <v/>
      </c>
      <c r="Q40" s="73" t="str">
        <f t="shared" si="43"/>
        <v/>
      </c>
      <c r="R40" s="73" t="str">
        <f>IF(ENGLISH!H40="","",ENGLISH!H40)</f>
        <v/>
      </c>
      <c r="S40" s="73" t="str">
        <f>IF(ENGLISH!I40="","",ENGLISH!I40)</f>
        <v/>
      </c>
      <c r="T40" s="73" t="str">
        <f>IF(ENGLISH!J40="","",ENGLISH!J40)</f>
        <v/>
      </c>
      <c r="U40" s="73" t="str">
        <f>IF(ENGLISH!K40="","",ENGLISH!K40)</f>
        <v/>
      </c>
      <c r="V40" s="73" t="str">
        <f t="shared" si="44"/>
        <v/>
      </c>
      <c r="W40" s="81" t="str">
        <f>IF(ENGLISH!L40="","",ENGLISH!L40)</f>
        <v/>
      </c>
      <c r="X40" s="73" t="str">
        <f t="shared" si="45"/>
        <v/>
      </c>
      <c r="Y40" s="73" t="str">
        <f t="shared" si="46"/>
        <v/>
      </c>
      <c r="Z40" s="73" t="str">
        <f t="shared" si="47"/>
        <v/>
      </c>
      <c r="AA40" s="73" t="str">
        <f>IF(ENGLISH!O40="","",ENGLISH!O40*40/ENGLISH!$O$6)</f>
        <v/>
      </c>
      <c r="AB40" s="73" t="str">
        <f t="shared" si="48"/>
        <v/>
      </c>
      <c r="AC40" s="73" t="str">
        <f t="shared" si="49"/>
        <v/>
      </c>
      <c r="AD40" s="74" t="str">
        <f>IF(MATHS!E40="","",MATHS!E40)</f>
        <v/>
      </c>
      <c r="AE40" s="643" t="str">
        <f t="shared" si="50"/>
        <v/>
      </c>
      <c r="AF40" s="74" t="str">
        <f>IF(MATHS!F40="","",MATHS!F40)</f>
        <v/>
      </c>
      <c r="AG40" s="643" t="str">
        <f t="shared" si="51"/>
        <v/>
      </c>
      <c r="AH40" s="74" t="str">
        <f>IF(MATHS!G40="","",MATHS!G40)</f>
        <v/>
      </c>
      <c r="AI40" s="643" t="str">
        <f t="shared" si="52"/>
        <v/>
      </c>
      <c r="AJ40" s="75" t="str">
        <f t="shared" si="53"/>
        <v/>
      </c>
      <c r="AK40" s="75" t="str">
        <f t="shared" si="54"/>
        <v/>
      </c>
      <c r="AL40" s="75" t="str">
        <f t="shared" si="55"/>
        <v/>
      </c>
      <c r="AM40" s="75" t="str">
        <f>IF(MATHS!H40="","",MATHS!H40)</f>
        <v/>
      </c>
      <c r="AN40" s="75" t="str">
        <f>IF(MATHS!I40="","",MATHS!I40)</f>
        <v/>
      </c>
      <c r="AO40" s="75" t="str">
        <f>IF(MATHS!J40="","",MATHS!J40)</f>
        <v/>
      </c>
      <c r="AP40" s="75" t="str">
        <f t="shared" si="56"/>
        <v/>
      </c>
      <c r="AQ40" s="75" t="str">
        <f t="shared" si="57"/>
        <v/>
      </c>
      <c r="AR40" s="75" t="str">
        <f>IF(MATHS!K40="","",CEILING(MATHS!K40*$AR$6/MATHS!$K$6,1))</f>
        <v/>
      </c>
      <c r="AS40" s="76" t="str">
        <f t="shared" si="58"/>
        <v/>
      </c>
      <c r="AT40" s="76" t="str">
        <f t="shared" si="59"/>
        <v/>
      </c>
      <c r="AU40" s="76" t="str">
        <f>IF(MATHS!O40="","",MATHS!O40*$AU$6/MATHS!$O$6)</f>
        <v/>
      </c>
      <c r="AV40" s="76" t="str">
        <f t="shared" si="60"/>
        <v/>
      </c>
      <c r="AW40" s="76" t="str">
        <f t="shared" si="61"/>
        <v/>
      </c>
      <c r="AX40" s="73" t="str">
        <f>IF(PHYSICS!E41="","",PHYSICS!E41)</f>
        <v/>
      </c>
      <c r="AY40" s="644" t="str">
        <f t="shared" si="62"/>
        <v/>
      </c>
      <c r="AZ40" s="73" t="str">
        <f>IF(PHYSICS!F41="","",PHYSICS!F41)</f>
        <v/>
      </c>
      <c r="BA40" s="73" t="str">
        <f>IF(PHYSICS!G41="","",PHYSICS!G41)</f>
        <v/>
      </c>
      <c r="BB40" s="73" t="str">
        <f t="shared" si="63"/>
        <v/>
      </c>
      <c r="BC40" s="73" t="str">
        <f t="shared" si="64"/>
        <v/>
      </c>
      <c r="BD40" s="73" t="str">
        <f>IF(PHYSICS!H41="","",PHYSICS!H41)</f>
        <v/>
      </c>
      <c r="BE40" s="645" t="str">
        <f t="shared" si="65"/>
        <v/>
      </c>
      <c r="BF40" s="73" t="str">
        <f>IF(PHYSICS!I41="","",PHYSICS!I41)</f>
        <v/>
      </c>
      <c r="BG40" s="73" t="str">
        <f>IF(PHYSICS!J41="","",PHYSICS!J41)</f>
        <v/>
      </c>
      <c r="BH40" s="73" t="str">
        <f t="shared" si="66"/>
        <v/>
      </c>
      <c r="BI40" s="73" t="str">
        <f t="shared" si="67"/>
        <v/>
      </c>
      <c r="BJ40" s="73" t="str">
        <f t="shared" si="68"/>
        <v/>
      </c>
      <c r="BK40" s="73" t="str">
        <f t="shared" si="69"/>
        <v/>
      </c>
      <c r="BL40" s="73" t="str">
        <f t="shared" si="70"/>
        <v/>
      </c>
      <c r="BM40" s="73" t="str">
        <f t="shared" si="71"/>
        <v/>
      </c>
      <c r="BN40" s="73" t="str">
        <f>IF(PHYSICS!M41="","",PHYSICS!M41*$BN$6/PHYSICS!$M$7)</f>
        <v/>
      </c>
      <c r="BO40" s="73" t="str">
        <f t="shared" si="72"/>
        <v/>
      </c>
      <c r="BP40" s="73" t="str">
        <f t="shared" si="73"/>
        <v/>
      </c>
      <c r="BQ40" s="48" t="str">
        <f>IF(CHEMISTRY!E41="","",CHEMISTRY!E41)</f>
        <v/>
      </c>
      <c r="BR40" s="646" t="str">
        <f t="shared" si="74"/>
        <v/>
      </c>
      <c r="BS40" s="48" t="str">
        <f>IF(CHEMISTRY!F41="","",CHEMISTRY!F41)</f>
        <v/>
      </c>
      <c r="BT40" s="48" t="str">
        <f>IF(CHEMISTRY!G41="","",CHEMISTRY!G41)</f>
        <v/>
      </c>
      <c r="BU40" s="48" t="str">
        <f t="shared" si="75"/>
        <v/>
      </c>
      <c r="BV40" s="48" t="str">
        <f t="shared" si="76"/>
        <v/>
      </c>
      <c r="BW40" s="48" t="str">
        <f>IF(CHEMISTRY!H41="","",CHEMISTRY!H41)</f>
        <v/>
      </c>
      <c r="BX40" s="646" t="str">
        <f t="shared" si="77"/>
        <v/>
      </c>
      <c r="BY40" s="48" t="str">
        <f>IF(CHEMISTRY!I41="","",CHEMISTRY!I41)</f>
        <v/>
      </c>
      <c r="BZ40" s="48" t="str">
        <f>IF(CHEMISTRY!J41="","",CHEMISTRY!J41)</f>
        <v/>
      </c>
      <c r="CA40" s="48" t="str">
        <f t="shared" si="78"/>
        <v/>
      </c>
      <c r="CB40" s="48" t="str">
        <f t="shared" si="79"/>
        <v/>
      </c>
      <c r="CC40" s="48" t="str">
        <f t="shared" si="80"/>
        <v/>
      </c>
      <c r="CD40" s="48" t="str">
        <f t="shared" si="81"/>
        <v/>
      </c>
      <c r="CE40" s="48" t="str">
        <f t="shared" si="82"/>
        <v/>
      </c>
      <c r="CF40" s="48" t="str">
        <f t="shared" si="83"/>
        <v/>
      </c>
      <c r="CG40" s="48" t="str">
        <f>IF(CHEMISTRY!M41="","",CHEMISTRY!M41*$CG$6/CHEMISTRY!$M$7)</f>
        <v/>
      </c>
      <c r="CH40" s="48" t="str">
        <f t="shared" si="84"/>
        <v/>
      </c>
      <c r="CI40" s="48" t="str">
        <f t="shared" si="85"/>
        <v/>
      </c>
      <c r="CJ40" s="73" t="str">
        <f>IF(BIOLOGY!E41="","",BIOLOGY!E41)</f>
        <v/>
      </c>
      <c r="CK40" s="73" t="str">
        <f t="shared" si="86"/>
        <v/>
      </c>
      <c r="CL40" s="73" t="str">
        <f>IF(BIOLOGY!F41="","",BIOLOGY!F41)</f>
        <v/>
      </c>
      <c r="CM40" s="73" t="str">
        <f>IF(BIOLOGY!G41="","",BIOLOGY!G41)</f>
        <v/>
      </c>
      <c r="CN40" s="73" t="str">
        <f t="shared" si="87"/>
        <v/>
      </c>
      <c r="CO40" s="73" t="str">
        <f t="shared" si="88"/>
        <v/>
      </c>
      <c r="CP40" s="73" t="str">
        <f>IF(BIOLOGY!H41="","",BIOLOGY!H41)</f>
        <v/>
      </c>
      <c r="CQ40" s="73" t="str">
        <f t="shared" si="89"/>
        <v/>
      </c>
      <c r="CR40" s="73" t="str">
        <f>IF(BIOLOGY!I41="","",BIOLOGY!I41)</f>
        <v/>
      </c>
      <c r="CS40" s="73" t="str">
        <f>IF(BIOLOGY!J41="","",BIOLOGY!J41)</f>
        <v/>
      </c>
      <c r="CT40" s="73" t="str">
        <f t="shared" si="90"/>
        <v/>
      </c>
      <c r="CU40" s="73" t="str">
        <f t="shared" si="91"/>
        <v/>
      </c>
      <c r="CV40" s="73" t="str">
        <f t="shared" si="92"/>
        <v/>
      </c>
      <c r="CW40" s="73" t="str">
        <f t="shared" si="93"/>
        <v/>
      </c>
      <c r="CX40" s="73" t="str">
        <f t="shared" si="94"/>
        <v/>
      </c>
      <c r="CY40" s="73" t="str">
        <f t="shared" si="95"/>
        <v/>
      </c>
      <c r="CZ40" s="73" t="str">
        <f>IF(BIOLOGY!M41="","",CEILING((BIOLOGY!M41*$CZ$6/BIOLOGY!$M$7),1))</f>
        <v/>
      </c>
      <c r="DA40" s="73" t="str">
        <f t="shared" si="96"/>
        <v/>
      </c>
      <c r="DB40" s="73" t="str">
        <f t="shared" si="97"/>
        <v/>
      </c>
      <c r="DC40" s="76" t="str">
        <f>IF('PHY EDU '!E41="","",'PHY EDU '!E41)</f>
        <v/>
      </c>
      <c r="DD40" s="647" t="str">
        <f t="shared" si="98"/>
        <v/>
      </c>
      <c r="DE40" s="76" t="str">
        <f>IF('PHY EDU '!F41="","",'PHY EDU '!F41)</f>
        <v/>
      </c>
      <c r="DF40" s="76" t="str">
        <f>IF('PHY EDU '!G41="","",'PHY EDU '!G41)</f>
        <v/>
      </c>
      <c r="DG40" s="76" t="str">
        <f t="shared" si="99"/>
        <v/>
      </c>
      <c r="DH40" s="76" t="str">
        <f t="shared" si="100"/>
        <v/>
      </c>
      <c r="DI40" s="76" t="str">
        <f>IF('PHY EDU '!H41="","",'PHY EDU '!H41)</f>
        <v/>
      </c>
      <c r="DJ40" s="647" t="str">
        <f t="shared" si="101"/>
        <v/>
      </c>
      <c r="DK40" s="76" t="str">
        <f>IF('PHY EDU '!I41="","",'PHY EDU '!I41)</f>
        <v/>
      </c>
      <c r="DL40" s="76" t="str">
        <f>IF('PHY EDU '!J41="","",'PHY EDU '!J41)</f>
        <v/>
      </c>
      <c r="DM40" s="76" t="str">
        <f t="shared" si="102"/>
        <v/>
      </c>
      <c r="DN40" s="76" t="str">
        <f t="shared" si="103"/>
        <v/>
      </c>
      <c r="DO40" s="76" t="str">
        <f t="shared" si="104"/>
        <v/>
      </c>
      <c r="DP40" s="76" t="str">
        <f t="shared" si="105"/>
        <v/>
      </c>
      <c r="DQ40" s="76" t="str">
        <f t="shared" si="106"/>
        <v/>
      </c>
      <c r="DR40" s="76" t="str">
        <f t="shared" si="107"/>
        <v/>
      </c>
      <c r="DS40" s="76" t="str">
        <f>IF('PHY EDU '!M41="","",ROUNDUP('PHY EDU '!M41*$DS$6/'PHY EDU '!$M$7,0))</f>
        <v/>
      </c>
      <c r="DT40" s="76" t="str">
        <f t="shared" si="108"/>
        <v/>
      </c>
      <c r="DU40" s="76" t="str">
        <f t="shared" si="109"/>
        <v/>
      </c>
      <c r="DV40" s="72" t="str">
        <f t="shared" si="132"/>
        <v/>
      </c>
      <c r="DW40" s="72" t="str">
        <f t="shared" si="133"/>
        <v/>
      </c>
      <c r="DX40" s="72" t="str">
        <f t="shared" si="134"/>
        <v/>
      </c>
      <c r="DY40" s="72" t="str">
        <f t="shared" si="135"/>
        <v/>
      </c>
      <c r="DZ40" s="72" t="str">
        <f t="shared" si="136"/>
        <v/>
      </c>
      <c r="EA40" s="72" t="str">
        <f t="shared" si="137"/>
        <v/>
      </c>
      <c r="EB40" s="76" t="str">
        <f t="shared" si="138"/>
        <v/>
      </c>
      <c r="EC40" s="76" t="str">
        <f t="shared" si="139"/>
        <v/>
      </c>
      <c r="ED40" s="76" t="str">
        <f t="shared" si="140"/>
        <v/>
      </c>
      <c r="EE40" s="76" t="str">
        <f t="shared" si="141"/>
        <v/>
      </c>
      <c r="EF40" s="76" t="str">
        <f t="shared" si="142"/>
        <v/>
      </c>
      <c r="EG40" s="76" t="str">
        <f t="shared" si="143"/>
        <v/>
      </c>
      <c r="EH40" s="77" t="str">
        <f t="shared" si="144"/>
        <v/>
      </c>
      <c r="EI40" s="495" t="str">
        <f t="shared" si="145"/>
        <v/>
      </c>
      <c r="EJ40" s="86" t="str">
        <f t="shared" si="146"/>
        <v/>
      </c>
      <c r="EK40" s="78" t="str">
        <f t="shared" si="147"/>
        <v/>
      </c>
      <c r="EL40" s="79" t="str">
        <f t="shared" si="148"/>
        <v/>
      </c>
      <c r="EM40" s="139" t="str">
        <f t="shared" si="149"/>
        <v/>
      </c>
      <c r="EN40" s="77" t="str">
        <f t="shared" si="150"/>
        <v/>
      </c>
      <c r="EO40" s="77" t="str">
        <f>IF(EN40="","",ATTENDANCE!Q41&amp;"/"&amp;ATTENDANCE!$Q$7)</f>
        <v/>
      </c>
      <c r="EP40" s="80" t="str">
        <f t="shared" si="151"/>
        <v/>
      </c>
      <c r="EQ40" s="80" t="str">
        <f t="shared" si="152"/>
        <v/>
      </c>
      <c r="ER40" s="80" t="str">
        <f t="shared" si="153"/>
        <v/>
      </c>
      <c r="ES40" s="80" t="str">
        <f t="shared" si="154"/>
        <v/>
      </c>
      <c r="ET40" s="80" t="str">
        <f t="shared" si="155"/>
        <v/>
      </c>
      <c r="EU40" s="80" t="str">
        <f t="shared" si="156"/>
        <v/>
      </c>
      <c r="EV40" s="492" t="str">
        <f t="shared" si="157"/>
        <v/>
      </c>
      <c r="EW40" s="129" t="str">
        <f t="shared" si="158"/>
        <v/>
      </c>
      <c r="EX40" s="129" t="str">
        <f t="shared" si="159"/>
        <v/>
      </c>
      <c r="EY40" s="129" t="str">
        <f t="shared" si="160"/>
        <v/>
      </c>
      <c r="EZ40" s="129" t="str">
        <f t="shared" si="161"/>
        <v/>
      </c>
      <c r="FA40" s="129" t="str">
        <f t="shared" si="162"/>
        <v/>
      </c>
      <c r="FB40" s="129" t="str">
        <f t="shared" si="163"/>
        <v/>
      </c>
      <c r="FC40" s="80" t="str">
        <f t="shared" si="164"/>
        <v/>
      </c>
      <c r="FD40" s="80" t="str">
        <f t="shared" si="165"/>
        <v/>
      </c>
      <c r="FE40" s="80" t="str">
        <f t="shared" si="166"/>
        <v/>
      </c>
      <c r="FF40" s="488" t="str">
        <f t="shared" si="167"/>
        <v/>
      </c>
      <c r="FG40" s="80" t="str">
        <f t="shared" si="168"/>
        <v/>
      </c>
      <c r="FH40" s="80" t="str">
        <f t="shared" si="169"/>
        <v/>
      </c>
      <c r="FI40" s="496" t="str">
        <f t="shared" si="170"/>
        <v/>
      </c>
      <c r="FJ40" s="140" t="str">
        <f t="shared" si="171"/>
        <v/>
      </c>
      <c r="FK40" s="492" t="str">
        <f t="shared" si="172"/>
        <v/>
      </c>
      <c r="FL40" s="490" t="str">
        <f t="shared" si="173"/>
        <v/>
      </c>
      <c r="FM40" s="74" t="str">
        <f t="shared" si="174"/>
        <v/>
      </c>
    </row>
    <row r="41" spans="1:169" ht="16.8" x14ac:dyDescent="0.3">
      <c r="A41" s="6"/>
      <c r="B41" s="25">
        <f>DATA!B39</f>
        <v>0</v>
      </c>
      <c r="C41" s="25" t="str">
        <f>IF(DATA!C39="","",DATA!C39)</f>
        <v/>
      </c>
      <c r="D41" s="25" t="str">
        <f>IF(DATA!D39="","",DATA!D39)</f>
        <v/>
      </c>
      <c r="E41" s="738" t="str">
        <f>IF(DATA!E39="","",DATA!E39)</f>
        <v/>
      </c>
      <c r="F41" s="738" t="str">
        <f>IF(DATA!F39="","",DATA!F39)</f>
        <v/>
      </c>
      <c r="G41" s="738" t="str">
        <f>IF(DATA!G39="","",DATA!G39)</f>
        <v/>
      </c>
      <c r="H41" s="214" t="str">
        <f>IF(DATA!H39="","",DATA!H39)</f>
        <v/>
      </c>
      <c r="I41" s="214" t="str">
        <f>IF(DATA!I39="","",DATA!I39)</f>
        <v/>
      </c>
      <c r="J41" s="214" t="str">
        <f>IF(DATA!J39="","",DATA!J39)</f>
        <v/>
      </c>
      <c r="K41" s="214" t="str">
        <f>IF(DATA!K39="","",DATA!K39)</f>
        <v/>
      </c>
      <c r="L41" s="73" t="str">
        <f>IF(ENGLISH!E41="","",ENGLISH!E41)</f>
        <v/>
      </c>
      <c r="M41" s="73" t="str">
        <f t="shared" si="41"/>
        <v/>
      </c>
      <c r="N41" s="73" t="str">
        <f>IF(ENGLISH!F41="","",ENGLISH!F41)</f>
        <v/>
      </c>
      <c r="O41" s="73" t="str">
        <f t="shared" si="42"/>
        <v/>
      </c>
      <c r="P41" s="73" t="str">
        <f>IF(ENGLISH!G41="","",ENGLISH!G41)</f>
        <v/>
      </c>
      <c r="Q41" s="73" t="str">
        <f t="shared" si="43"/>
        <v/>
      </c>
      <c r="R41" s="73" t="str">
        <f>IF(ENGLISH!H41="","",ENGLISH!H41)</f>
        <v/>
      </c>
      <c r="S41" s="73" t="str">
        <f>IF(ENGLISH!I41="","",ENGLISH!I41)</f>
        <v/>
      </c>
      <c r="T41" s="73" t="str">
        <f>IF(ENGLISH!J41="","",ENGLISH!J41)</f>
        <v/>
      </c>
      <c r="U41" s="73" t="str">
        <f>IF(ENGLISH!K41="","",ENGLISH!K41)</f>
        <v/>
      </c>
      <c r="V41" s="73" t="str">
        <f t="shared" si="44"/>
        <v/>
      </c>
      <c r="W41" s="81" t="str">
        <f>IF(ENGLISH!L41="","",ENGLISH!L41)</f>
        <v/>
      </c>
      <c r="X41" s="73" t="str">
        <f t="shared" si="45"/>
        <v/>
      </c>
      <c r="Y41" s="73" t="str">
        <f t="shared" si="46"/>
        <v/>
      </c>
      <c r="Z41" s="73" t="str">
        <f t="shared" si="47"/>
        <v/>
      </c>
      <c r="AA41" s="73" t="str">
        <f>IF(ENGLISH!O41="","",ENGLISH!O41*40/ENGLISH!$O$6)</f>
        <v/>
      </c>
      <c r="AB41" s="73" t="str">
        <f t="shared" si="48"/>
        <v/>
      </c>
      <c r="AC41" s="73" t="str">
        <f t="shared" si="49"/>
        <v/>
      </c>
      <c r="AD41" s="74" t="str">
        <f>IF(MATHS!E41="","",MATHS!E41)</f>
        <v/>
      </c>
      <c r="AE41" s="643" t="str">
        <f t="shared" si="50"/>
        <v/>
      </c>
      <c r="AF41" s="74" t="str">
        <f>IF(MATHS!F41="","",MATHS!F41)</f>
        <v/>
      </c>
      <c r="AG41" s="643" t="str">
        <f t="shared" si="51"/>
        <v/>
      </c>
      <c r="AH41" s="74" t="str">
        <f>IF(MATHS!G41="","",MATHS!G41)</f>
        <v/>
      </c>
      <c r="AI41" s="643" t="str">
        <f t="shared" si="52"/>
        <v/>
      </c>
      <c r="AJ41" s="75" t="str">
        <f t="shared" si="53"/>
        <v/>
      </c>
      <c r="AK41" s="75" t="str">
        <f t="shared" si="54"/>
        <v/>
      </c>
      <c r="AL41" s="75" t="str">
        <f t="shared" si="55"/>
        <v/>
      </c>
      <c r="AM41" s="75" t="str">
        <f>IF(MATHS!H41="","",MATHS!H41)</f>
        <v/>
      </c>
      <c r="AN41" s="75" t="str">
        <f>IF(MATHS!I41="","",MATHS!I41)</f>
        <v/>
      </c>
      <c r="AO41" s="75" t="str">
        <f>IF(MATHS!J41="","",MATHS!J41)</f>
        <v/>
      </c>
      <c r="AP41" s="75" t="str">
        <f t="shared" si="56"/>
        <v/>
      </c>
      <c r="AQ41" s="75" t="str">
        <f t="shared" si="57"/>
        <v/>
      </c>
      <c r="AR41" s="75" t="str">
        <f>IF(MATHS!K41="","",CEILING(MATHS!K41*$AR$6/MATHS!$K$6,1))</f>
        <v/>
      </c>
      <c r="AS41" s="76" t="str">
        <f t="shared" si="58"/>
        <v/>
      </c>
      <c r="AT41" s="76" t="str">
        <f t="shared" si="59"/>
        <v/>
      </c>
      <c r="AU41" s="76" t="str">
        <f>IF(MATHS!O41="","",MATHS!O41*$AU$6/MATHS!$O$6)</f>
        <v/>
      </c>
      <c r="AV41" s="76" t="str">
        <f t="shared" si="60"/>
        <v/>
      </c>
      <c r="AW41" s="76" t="str">
        <f t="shared" si="61"/>
        <v/>
      </c>
      <c r="AX41" s="73" t="str">
        <f>IF(PHYSICS!E42="","",PHYSICS!E42)</f>
        <v/>
      </c>
      <c r="AY41" s="644" t="str">
        <f t="shared" si="62"/>
        <v/>
      </c>
      <c r="AZ41" s="73" t="str">
        <f>IF(PHYSICS!F42="","",PHYSICS!F42)</f>
        <v/>
      </c>
      <c r="BA41" s="73" t="str">
        <f>IF(PHYSICS!G42="","",PHYSICS!G42)</f>
        <v/>
      </c>
      <c r="BB41" s="73" t="str">
        <f t="shared" si="63"/>
        <v/>
      </c>
      <c r="BC41" s="73" t="str">
        <f t="shared" si="64"/>
        <v/>
      </c>
      <c r="BD41" s="73" t="str">
        <f>IF(PHYSICS!H42="","",PHYSICS!H42)</f>
        <v/>
      </c>
      <c r="BE41" s="645" t="str">
        <f t="shared" si="65"/>
        <v/>
      </c>
      <c r="BF41" s="73" t="str">
        <f>IF(PHYSICS!I42="","",PHYSICS!I42)</f>
        <v/>
      </c>
      <c r="BG41" s="73" t="str">
        <f>IF(PHYSICS!J42="","",PHYSICS!J42)</f>
        <v/>
      </c>
      <c r="BH41" s="73" t="str">
        <f t="shared" si="66"/>
        <v/>
      </c>
      <c r="BI41" s="73" t="str">
        <f t="shared" si="67"/>
        <v/>
      </c>
      <c r="BJ41" s="73" t="str">
        <f t="shared" si="68"/>
        <v/>
      </c>
      <c r="BK41" s="73" t="str">
        <f t="shared" si="69"/>
        <v/>
      </c>
      <c r="BL41" s="73" t="str">
        <f t="shared" si="70"/>
        <v/>
      </c>
      <c r="BM41" s="73" t="str">
        <f t="shared" si="71"/>
        <v/>
      </c>
      <c r="BN41" s="73" t="str">
        <f>IF(PHYSICS!M42="","",PHYSICS!M42*$BN$6/PHYSICS!$M$7)</f>
        <v/>
      </c>
      <c r="BO41" s="73" t="str">
        <f t="shared" si="72"/>
        <v/>
      </c>
      <c r="BP41" s="73" t="str">
        <f t="shared" si="73"/>
        <v/>
      </c>
      <c r="BQ41" s="48" t="str">
        <f>IF(CHEMISTRY!E42="","",CHEMISTRY!E42)</f>
        <v/>
      </c>
      <c r="BR41" s="646" t="str">
        <f t="shared" si="74"/>
        <v/>
      </c>
      <c r="BS41" s="48" t="str">
        <f>IF(CHEMISTRY!F42="","",CHEMISTRY!F42)</f>
        <v/>
      </c>
      <c r="BT41" s="48" t="str">
        <f>IF(CHEMISTRY!G42="","",CHEMISTRY!G42)</f>
        <v/>
      </c>
      <c r="BU41" s="48" t="str">
        <f t="shared" si="75"/>
        <v/>
      </c>
      <c r="BV41" s="48" t="str">
        <f t="shared" si="76"/>
        <v/>
      </c>
      <c r="BW41" s="48" t="str">
        <f>IF(CHEMISTRY!H42="","",CHEMISTRY!H42)</f>
        <v/>
      </c>
      <c r="BX41" s="646" t="str">
        <f t="shared" si="77"/>
        <v/>
      </c>
      <c r="BY41" s="48" t="str">
        <f>IF(CHEMISTRY!I42="","",CHEMISTRY!I42)</f>
        <v/>
      </c>
      <c r="BZ41" s="48" t="str">
        <f>IF(CHEMISTRY!J42="","",CHEMISTRY!J42)</f>
        <v/>
      </c>
      <c r="CA41" s="48" t="str">
        <f t="shared" si="78"/>
        <v/>
      </c>
      <c r="CB41" s="48" t="str">
        <f t="shared" si="79"/>
        <v/>
      </c>
      <c r="CC41" s="48" t="str">
        <f t="shared" si="80"/>
        <v/>
      </c>
      <c r="CD41" s="48" t="str">
        <f t="shared" si="81"/>
        <v/>
      </c>
      <c r="CE41" s="48" t="str">
        <f t="shared" si="82"/>
        <v/>
      </c>
      <c r="CF41" s="48" t="str">
        <f t="shared" si="83"/>
        <v/>
      </c>
      <c r="CG41" s="48" t="str">
        <f>IF(CHEMISTRY!M42="","",CHEMISTRY!M42*$CG$6/CHEMISTRY!$M$7)</f>
        <v/>
      </c>
      <c r="CH41" s="48" t="str">
        <f t="shared" si="84"/>
        <v/>
      </c>
      <c r="CI41" s="48" t="str">
        <f t="shared" si="85"/>
        <v/>
      </c>
      <c r="CJ41" s="73" t="str">
        <f>IF(BIOLOGY!E42="","",BIOLOGY!E42)</f>
        <v/>
      </c>
      <c r="CK41" s="73" t="str">
        <f t="shared" si="86"/>
        <v/>
      </c>
      <c r="CL41" s="73" t="str">
        <f>IF(BIOLOGY!F42="","",BIOLOGY!F42)</f>
        <v/>
      </c>
      <c r="CM41" s="73" t="str">
        <f>IF(BIOLOGY!G42="","",BIOLOGY!G42)</f>
        <v/>
      </c>
      <c r="CN41" s="73" t="str">
        <f t="shared" si="87"/>
        <v/>
      </c>
      <c r="CO41" s="73" t="str">
        <f t="shared" si="88"/>
        <v/>
      </c>
      <c r="CP41" s="73" t="str">
        <f>IF(BIOLOGY!H42="","",BIOLOGY!H42)</f>
        <v/>
      </c>
      <c r="CQ41" s="73" t="str">
        <f t="shared" si="89"/>
        <v/>
      </c>
      <c r="CR41" s="73" t="str">
        <f>IF(BIOLOGY!I42="","",BIOLOGY!I42)</f>
        <v/>
      </c>
      <c r="CS41" s="73" t="str">
        <f>IF(BIOLOGY!J42="","",BIOLOGY!J42)</f>
        <v/>
      </c>
      <c r="CT41" s="73" t="str">
        <f t="shared" si="90"/>
        <v/>
      </c>
      <c r="CU41" s="73" t="str">
        <f t="shared" si="91"/>
        <v/>
      </c>
      <c r="CV41" s="73" t="str">
        <f t="shared" si="92"/>
        <v/>
      </c>
      <c r="CW41" s="73" t="str">
        <f t="shared" si="93"/>
        <v/>
      </c>
      <c r="CX41" s="73" t="str">
        <f t="shared" si="94"/>
        <v/>
      </c>
      <c r="CY41" s="73" t="str">
        <f t="shared" si="95"/>
        <v/>
      </c>
      <c r="CZ41" s="73" t="str">
        <f>IF(BIOLOGY!M42="","",CEILING((BIOLOGY!M42*$CZ$6/BIOLOGY!$M$7),1))</f>
        <v/>
      </c>
      <c r="DA41" s="73" t="str">
        <f t="shared" si="96"/>
        <v/>
      </c>
      <c r="DB41" s="73" t="str">
        <f t="shared" si="97"/>
        <v/>
      </c>
      <c r="DC41" s="76" t="str">
        <f>IF('PHY EDU '!E42="","",'PHY EDU '!E42)</f>
        <v/>
      </c>
      <c r="DD41" s="647" t="str">
        <f t="shared" si="98"/>
        <v/>
      </c>
      <c r="DE41" s="76" t="str">
        <f>IF('PHY EDU '!F42="","",'PHY EDU '!F42)</f>
        <v/>
      </c>
      <c r="DF41" s="76" t="str">
        <f>IF('PHY EDU '!G42="","",'PHY EDU '!G42)</f>
        <v/>
      </c>
      <c r="DG41" s="76" t="str">
        <f t="shared" si="99"/>
        <v/>
      </c>
      <c r="DH41" s="76" t="str">
        <f t="shared" si="100"/>
        <v/>
      </c>
      <c r="DI41" s="76" t="str">
        <f>IF('PHY EDU '!H42="","",'PHY EDU '!H42)</f>
        <v/>
      </c>
      <c r="DJ41" s="647" t="str">
        <f t="shared" si="101"/>
        <v/>
      </c>
      <c r="DK41" s="76" t="str">
        <f>IF('PHY EDU '!I42="","",'PHY EDU '!I42)</f>
        <v/>
      </c>
      <c r="DL41" s="76" t="str">
        <f>IF('PHY EDU '!J42="","",'PHY EDU '!J42)</f>
        <v/>
      </c>
      <c r="DM41" s="76" t="str">
        <f t="shared" si="102"/>
        <v/>
      </c>
      <c r="DN41" s="76" t="str">
        <f t="shared" si="103"/>
        <v/>
      </c>
      <c r="DO41" s="76" t="str">
        <f t="shared" si="104"/>
        <v/>
      </c>
      <c r="DP41" s="76" t="str">
        <f t="shared" si="105"/>
        <v/>
      </c>
      <c r="DQ41" s="76" t="str">
        <f t="shared" si="106"/>
        <v/>
      </c>
      <c r="DR41" s="76" t="str">
        <f t="shared" si="107"/>
        <v/>
      </c>
      <c r="DS41" s="76" t="str">
        <f>IF('PHY EDU '!M42="","",ROUNDUP('PHY EDU '!M42*$DS$6/'PHY EDU '!$M$7,0))</f>
        <v/>
      </c>
      <c r="DT41" s="76" t="str">
        <f t="shared" si="108"/>
        <v/>
      </c>
      <c r="DU41" s="76" t="str">
        <f t="shared" si="109"/>
        <v/>
      </c>
      <c r="DV41" s="72" t="str">
        <f t="shared" si="132"/>
        <v/>
      </c>
      <c r="DW41" s="72" t="str">
        <f t="shared" si="133"/>
        <v/>
      </c>
      <c r="DX41" s="72" t="str">
        <f t="shared" si="134"/>
        <v/>
      </c>
      <c r="DY41" s="72" t="str">
        <f t="shared" si="135"/>
        <v/>
      </c>
      <c r="DZ41" s="72" t="str">
        <f t="shared" si="136"/>
        <v/>
      </c>
      <c r="EA41" s="72" t="str">
        <f t="shared" si="137"/>
        <v/>
      </c>
      <c r="EB41" s="76" t="str">
        <f t="shared" si="138"/>
        <v/>
      </c>
      <c r="EC41" s="76" t="str">
        <f t="shared" si="139"/>
        <v/>
      </c>
      <c r="ED41" s="76" t="str">
        <f t="shared" si="140"/>
        <v/>
      </c>
      <c r="EE41" s="76" t="str">
        <f t="shared" si="141"/>
        <v/>
      </c>
      <c r="EF41" s="76" t="str">
        <f t="shared" si="142"/>
        <v/>
      </c>
      <c r="EG41" s="76" t="str">
        <f t="shared" si="143"/>
        <v/>
      </c>
      <c r="EH41" s="77" t="str">
        <f t="shared" si="144"/>
        <v/>
      </c>
      <c r="EI41" s="495" t="str">
        <f t="shared" si="145"/>
        <v/>
      </c>
      <c r="EJ41" s="86" t="str">
        <f t="shared" si="146"/>
        <v/>
      </c>
      <c r="EK41" s="78" t="str">
        <f t="shared" si="147"/>
        <v/>
      </c>
      <c r="EL41" s="79" t="str">
        <f t="shared" si="148"/>
        <v/>
      </c>
      <c r="EM41" s="139" t="str">
        <f t="shared" si="149"/>
        <v/>
      </c>
      <c r="EN41" s="77" t="str">
        <f t="shared" si="150"/>
        <v/>
      </c>
      <c r="EO41" s="77" t="str">
        <f>IF(EN41="","",ATTENDANCE!Q42&amp;"/"&amp;ATTENDANCE!$Q$7)</f>
        <v/>
      </c>
      <c r="EP41" s="80" t="str">
        <f t="shared" si="151"/>
        <v/>
      </c>
      <c r="EQ41" s="80" t="str">
        <f t="shared" si="152"/>
        <v/>
      </c>
      <c r="ER41" s="80" t="str">
        <f t="shared" si="153"/>
        <v/>
      </c>
      <c r="ES41" s="80" t="str">
        <f t="shared" si="154"/>
        <v/>
      </c>
      <c r="ET41" s="80" t="str">
        <f t="shared" si="155"/>
        <v/>
      </c>
      <c r="EU41" s="80" t="str">
        <f t="shared" si="156"/>
        <v/>
      </c>
      <c r="EV41" s="492" t="str">
        <f t="shared" si="157"/>
        <v/>
      </c>
      <c r="EW41" s="129" t="str">
        <f t="shared" si="158"/>
        <v/>
      </c>
      <c r="EX41" s="129" t="str">
        <f t="shared" si="159"/>
        <v/>
      </c>
      <c r="EY41" s="129" t="str">
        <f t="shared" si="160"/>
        <v/>
      </c>
      <c r="EZ41" s="129" t="str">
        <f t="shared" si="161"/>
        <v/>
      </c>
      <c r="FA41" s="129" t="str">
        <f t="shared" si="162"/>
        <v/>
      </c>
      <c r="FB41" s="129" t="str">
        <f t="shared" si="163"/>
        <v/>
      </c>
      <c r="FC41" s="80" t="str">
        <f t="shared" si="164"/>
        <v/>
      </c>
      <c r="FD41" s="80" t="str">
        <f t="shared" si="165"/>
        <v/>
      </c>
      <c r="FE41" s="80" t="str">
        <f t="shared" si="166"/>
        <v/>
      </c>
      <c r="FF41" s="488" t="str">
        <f t="shared" si="167"/>
        <v/>
      </c>
      <c r="FG41" s="80" t="str">
        <f t="shared" si="168"/>
        <v/>
      </c>
      <c r="FH41" s="80" t="str">
        <f t="shared" si="169"/>
        <v/>
      </c>
      <c r="FI41" s="496" t="str">
        <f t="shared" si="170"/>
        <v/>
      </c>
      <c r="FJ41" s="140" t="str">
        <f t="shared" si="171"/>
        <v/>
      </c>
      <c r="FK41" s="492" t="str">
        <f t="shared" si="172"/>
        <v/>
      </c>
      <c r="FL41" s="490" t="str">
        <f t="shared" si="173"/>
        <v/>
      </c>
      <c r="FM41" s="74" t="str">
        <f t="shared" si="174"/>
        <v/>
      </c>
    </row>
    <row r="42" spans="1:169" ht="16.8" x14ac:dyDescent="0.3">
      <c r="A42" s="6"/>
      <c r="B42" s="25">
        <f>DATA!B40</f>
        <v>0</v>
      </c>
      <c r="C42" s="25" t="str">
        <f>IF(DATA!C40="","",DATA!C40)</f>
        <v/>
      </c>
      <c r="D42" s="25" t="str">
        <f>IF(DATA!D40="","",DATA!D40)</f>
        <v/>
      </c>
      <c r="E42" s="738" t="str">
        <f>IF(DATA!E40="","",DATA!E40)</f>
        <v/>
      </c>
      <c r="F42" s="738" t="str">
        <f>IF(DATA!F40="","",DATA!F40)</f>
        <v/>
      </c>
      <c r="G42" s="738" t="str">
        <f>IF(DATA!G40="","",DATA!G40)</f>
        <v/>
      </c>
      <c r="H42" s="214" t="str">
        <f>IF(DATA!H40="","",DATA!H40)</f>
        <v/>
      </c>
      <c r="I42" s="214" t="str">
        <f>IF(DATA!I40="","",DATA!I40)</f>
        <v/>
      </c>
      <c r="J42" s="214" t="str">
        <f>IF(DATA!J40="","",DATA!J40)</f>
        <v/>
      </c>
      <c r="K42" s="214" t="str">
        <f>IF(DATA!K40="","",DATA!K40)</f>
        <v/>
      </c>
      <c r="L42" s="73" t="str">
        <f>IF(ENGLISH!E42="","",ENGLISH!E42)</f>
        <v/>
      </c>
      <c r="M42" s="73" t="str">
        <f t="shared" si="41"/>
        <v/>
      </c>
      <c r="N42" s="73" t="str">
        <f>IF(ENGLISH!F42="","",ENGLISH!F42)</f>
        <v/>
      </c>
      <c r="O42" s="73" t="str">
        <f t="shared" si="42"/>
        <v/>
      </c>
      <c r="P42" s="73" t="str">
        <f>IF(ENGLISH!G42="","",ENGLISH!G42)</f>
        <v/>
      </c>
      <c r="Q42" s="73" t="str">
        <f t="shared" si="43"/>
        <v/>
      </c>
      <c r="R42" s="73" t="str">
        <f>IF(ENGLISH!H42="","",ENGLISH!H42)</f>
        <v/>
      </c>
      <c r="S42" s="73" t="str">
        <f>IF(ENGLISH!I42="","",ENGLISH!I42)</f>
        <v/>
      </c>
      <c r="T42" s="73" t="str">
        <f>IF(ENGLISH!J42="","",ENGLISH!J42)</f>
        <v/>
      </c>
      <c r="U42" s="73" t="str">
        <f>IF(ENGLISH!K42="","",ENGLISH!K42)</f>
        <v/>
      </c>
      <c r="V42" s="73" t="str">
        <f t="shared" si="44"/>
        <v/>
      </c>
      <c r="W42" s="81" t="str">
        <f>IF(ENGLISH!L42="","",ENGLISH!L42)</f>
        <v/>
      </c>
      <c r="X42" s="73" t="str">
        <f t="shared" si="45"/>
        <v/>
      </c>
      <c r="Y42" s="73" t="str">
        <f t="shared" si="46"/>
        <v/>
      </c>
      <c r="Z42" s="73" t="str">
        <f t="shared" si="47"/>
        <v/>
      </c>
      <c r="AA42" s="73" t="str">
        <f>IF(ENGLISH!O42="","",ENGLISH!O42*40/ENGLISH!$O$6)</f>
        <v/>
      </c>
      <c r="AB42" s="73" t="str">
        <f t="shared" si="48"/>
        <v/>
      </c>
      <c r="AC42" s="73" t="str">
        <f t="shared" si="49"/>
        <v/>
      </c>
      <c r="AD42" s="74" t="str">
        <f>IF(MATHS!E42="","",MATHS!E42)</f>
        <v/>
      </c>
      <c r="AE42" s="643" t="str">
        <f t="shared" si="50"/>
        <v/>
      </c>
      <c r="AF42" s="74" t="str">
        <f>IF(MATHS!F42="","",MATHS!F42)</f>
        <v/>
      </c>
      <c r="AG42" s="643" t="str">
        <f t="shared" si="51"/>
        <v/>
      </c>
      <c r="AH42" s="74" t="str">
        <f>IF(MATHS!G42="","",MATHS!G42)</f>
        <v/>
      </c>
      <c r="AI42" s="643" t="str">
        <f t="shared" si="52"/>
        <v/>
      </c>
      <c r="AJ42" s="75" t="str">
        <f t="shared" si="53"/>
        <v/>
      </c>
      <c r="AK42" s="75" t="str">
        <f t="shared" si="54"/>
        <v/>
      </c>
      <c r="AL42" s="75" t="str">
        <f t="shared" si="55"/>
        <v/>
      </c>
      <c r="AM42" s="75" t="str">
        <f>IF(MATHS!H42="","",MATHS!H42)</f>
        <v/>
      </c>
      <c r="AN42" s="75" t="str">
        <f>IF(MATHS!I42="","",MATHS!I42)</f>
        <v/>
      </c>
      <c r="AO42" s="75" t="str">
        <f>IF(MATHS!J42="","",MATHS!J42)</f>
        <v/>
      </c>
      <c r="AP42" s="75" t="str">
        <f t="shared" si="56"/>
        <v/>
      </c>
      <c r="AQ42" s="75" t="str">
        <f t="shared" si="57"/>
        <v/>
      </c>
      <c r="AR42" s="75" t="str">
        <f>IF(MATHS!K42="","",CEILING(MATHS!K42*$AR$6/MATHS!$K$6,1))</f>
        <v/>
      </c>
      <c r="AS42" s="76" t="str">
        <f t="shared" si="58"/>
        <v/>
      </c>
      <c r="AT42" s="76" t="str">
        <f t="shared" si="59"/>
        <v/>
      </c>
      <c r="AU42" s="76" t="str">
        <f>IF(MATHS!O42="","",MATHS!O42*$AU$6/MATHS!$O$6)</f>
        <v/>
      </c>
      <c r="AV42" s="76" t="str">
        <f t="shared" si="60"/>
        <v/>
      </c>
      <c r="AW42" s="76" t="str">
        <f t="shared" si="61"/>
        <v/>
      </c>
      <c r="AX42" s="73" t="str">
        <f>IF(PHYSICS!E43="","",PHYSICS!E43)</f>
        <v/>
      </c>
      <c r="AY42" s="644" t="str">
        <f t="shared" si="62"/>
        <v/>
      </c>
      <c r="AZ42" s="73" t="str">
        <f>IF(PHYSICS!F43="","",PHYSICS!F43)</f>
        <v/>
      </c>
      <c r="BA42" s="73" t="str">
        <f>IF(PHYSICS!G43="","",PHYSICS!G43)</f>
        <v/>
      </c>
      <c r="BB42" s="73" t="str">
        <f t="shared" si="63"/>
        <v/>
      </c>
      <c r="BC42" s="73" t="str">
        <f t="shared" si="64"/>
        <v/>
      </c>
      <c r="BD42" s="73" t="str">
        <f>IF(PHYSICS!H43="","",PHYSICS!H43)</f>
        <v/>
      </c>
      <c r="BE42" s="645" t="str">
        <f t="shared" si="65"/>
        <v/>
      </c>
      <c r="BF42" s="73" t="str">
        <f>IF(PHYSICS!I43="","",PHYSICS!I43)</f>
        <v/>
      </c>
      <c r="BG42" s="73" t="str">
        <f>IF(PHYSICS!J43="","",PHYSICS!J43)</f>
        <v/>
      </c>
      <c r="BH42" s="73" t="str">
        <f t="shared" si="66"/>
        <v/>
      </c>
      <c r="BI42" s="73" t="str">
        <f t="shared" si="67"/>
        <v/>
      </c>
      <c r="BJ42" s="73" t="str">
        <f t="shared" si="68"/>
        <v/>
      </c>
      <c r="BK42" s="73" t="str">
        <f t="shared" si="69"/>
        <v/>
      </c>
      <c r="BL42" s="73" t="str">
        <f t="shared" si="70"/>
        <v/>
      </c>
      <c r="BM42" s="73" t="str">
        <f t="shared" si="71"/>
        <v/>
      </c>
      <c r="BN42" s="73" t="str">
        <f>IF(PHYSICS!M43="","",PHYSICS!M43*$BN$6/PHYSICS!$M$7)</f>
        <v/>
      </c>
      <c r="BO42" s="73" t="str">
        <f t="shared" si="72"/>
        <v/>
      </c>
      <c r="BP42" s="73" t="str">
        <f t="shared" si="73"/>
        <v/>
      </c>
      <c r="BQ42" s="48" t="str">
        <f>IF(CHEMISTRY!E43="","",CHEMISTRY!E43)</f>
        <v/>
      </c>
      <c r="BR42" s="646" t="str">
        <f t="shared" si="74"/>
        <v/>
      </c>
      <c r="BS42" s="48" t="str">
        <f>IF(CHEMISTRY!F43="","",CHEMISTRY!F43)</f>
        <v/>
      </c>
      <c r="BT42" s="48" t="str">
        <f>IF(CHEMISTRY!G43="","",CHEMISTRY!G43)</f>
        <v/>
      </c>
      <c r="BU42" s="48" t="str">
        <f t="shared" si="75"/>
        <v/>
      </c>
      <c r="BV42" s="48" t="str">
        <f t="shared" si="76"/>
        <v/>
      </c>
      <c r="BW42" s="48" t="str">
        <f>IF(CHEMISTRY!H43="","",CHEMISTRY!H43)</f>
        <v/>
      </c>
      <c r="BX42" s="646" t="str">
        <f t="shared" si="77"/>
        <v/>
      </c>
      <c r="BY42" s="48" t="str">
        <f>IF(CHEMISTRY!I43="","",CHEMISTRY!I43)</f>
        <v/>
      </c>
      <c r="BZ42" s="48" t="str">
        <f>IF(CHEMISTRY!J43="","",CHEMISTRY!J43)</f>
        <v/>
      </c>
      <c r="CA42" s="48" t="str">
        <f t="shared" si="78"/>
        <v/>
      </c>
      <c r="CB42" s="48" t="str">
        <f t="shared" si="79"/>
        <v/>
      </c>
      <c r="CC42" s="48" t="str">
        <f t="shared" si="80"/>
        <v/>
      </c>
      <c r="CD42" s="48" t="str">
        <f t="shared" si="81"/>
        <v/>
      </c>
      <c r="CE42" s="48" t="str">
        <f t="shared" si="82"/>
        <v/>
      </c>
      <c r="CF42" s="48" t="str">
        <f t="shared" si="83"/>
        <v/>
      </c>
      <c r="CG42" s="48" t="str">
        <f>IF(CHEMISTRY!M43="","",CHEMISTRY!M43*$CG$6/CHEMISTRY!$M$7)</f>
        <v/>
      </c>
      <c r="CH42" s="48" t="str">
        <f t="shared" si="84"/>
        <v/>
      </c>
      <c r="CI42" s="48" t="str">
        <f t="shared" si="85"/>
        <v/>
      </c>
      <c r="CJ42" s="73" t="str">
        <f>IF(BIOLOGY!E43="","",BIOLOGY!E43)</f>
        <v/>
      </c>
      <c r="CK42" s="73" t="str">
        <f t="shared" si="86"/>
        <v/>
      </c>
      <c r="CL42" s="73" t="str">
        <f>IF(BIOLOGY!F43="","",BIOLOGY!F43)</f>
        <v/>
      </c>
      <c r="CM42" s="73" t="str">
        <f>IF(BIOLOGY!G43="","",BIOLOGY!G43)</f>
        <v/>
      </c>
      <c r="CN42" s="73" t="str">
        <f t="shared" si="87"/>
        <v/>
      </c>
      <c r="CO42" s="73" t="str">
        <f t="shared" si="88"/>
        <v/>
      </c>
      <c r="CP42" s="73" t="str">
        <f>IF(BIOLOGY!H43="","",BIOLOGY!H43)</f>
        <v/>
      </c>
      <c r="CQ42" s="73" t="str">
        <f t="shared" si="89"/>
        <v/>
      </c>
      <c r="CR42" s="73" t="str">
        <f>IF(BIOLOGY!I43="","",BIOLOGY!I43)</f>
        <v/>
      </c>
      <c r="CS42" s="73" t="str">
        <f>IF(BIOLOGY!J43="","",BIOLOGY!J43)</f>
        <v/>
      </c>
      <c r="CT42" s="73" t="str">
        <f t="shared" si="90"/>
        <v/>
      </c>
      <c r="CU42" s="73" t="str">
        <f t="shared" si="91"/>
        <v/>
      </c>
      <c r="CV42" s="73" t="str">
        <f t="shared" si="92"/>
        <v/>
      </c>
      <c r="CW42" s="73" t="str">
        <f t="shared" si="93"/>
        <v/>
      </c>
      <c r="CX42" s="73" t="str">
        <f t="shared" si="94"/>
        <v/>
      </c>
      <c r="CY42" s="73" t="str">
        <f t="shared" si="95"/>
        <v/>
      </c>
      <c r="CZ42" s="73" t="str">
        <f>IF(BIOLOGY!M43="","",CEILING((BIOLOGY!M43*$CZ$6/BIOLOGY!$M$7),1))</f>
        <v/>
      </c>
      <c r="DA42" s="73" t="str">
        <f t="shared" si="96"/>
        <v/>
      </c>
      <c r="DB42" s="73" t="str">
        <f t="shared" si="97"/>
        <v/>
      </c>
      <c r="DC42" s="76" t="str">
        <f>IF('PHY EDU '!E43="","",'PHY EDU '!E43)</f>
        <v/>
      </c>
      <c r="DD42" s="647" t="str">
        <f t="shared" si="98"/>
        <v/>
      </c>
      <c r="DE42" s="76" t="str">
        <f>IF('PHY EDU '!F43="","",'PHY EDU '!F43)</f>
        <v/>
      </c>
      <c r="DF42" s="76" t="str">
        <f>IF('PHY EDU '!G43="","",'PHY EDU '!G43)</f>
        <v/>
      </c>
      <c r="DG42" s="76" t="str">
        <f t="shared" si="99"/>
        <v/>
      </c>
      <c r="DH42" s="76" t="str">
        <f t="shared" si="100"/>
        <v/>
      </c>
      <c r="DI42" s="76" t="str">
        <f>IF('PHY EDU '!H43="","",'PHY EDU '!H43)</f>
        <v/>
      </c>
      <c r="DJ42" s="647" t="str">
        <f t="shared" si="101"/>
        <v/>
      </c>
      <c r="DK42" s="76" t="str">
        <f>IF('PHY EDU '!I43="","",'PHY EDU '!I43)</f>
        <v/>
      </c>
      <c r="DL42" s="76" t="str">
        <f>IF('PHY EDU '!J43="","",'PHY EDU '!J43)</f>
        <v/>
      </c>
      <c r="DM42" s="76" t="str">
        <f t="shared" si="102"/>
        <v/>
      </c>
      <c r="DN42" s="76" t="str">
        <f t="shared" si="103"/>
        <v/>
      </c>
      <c r="DO42" s="76" t="str">
        <f t="shared" si="104"/>
        <v/>
      </c>
      <c r="DP42" s="76" t="str">
        <f t="shared" si="105"/>
        <v/>
      </c>
      <c r="DQ42" s="76" t="str">
        <f t="shared" si="106"/>
        <v/>
      </c>
      <c r="DR42" s="76" t="str">
        <f t="shared" si="107"/>
        <v/>
      </c>
      <c r="DS42" s="76" t="str">
        <f>IF('PHY EDU '!M43="","",ROUNDUP('PHY EDU '!M43*$DS$6/'PHY EDU '!$M$7,0))</f>
        <v/>
      </c>
      <c r="DT42" s="76" t="str">
        <f t="shared" si="108"/>
        <v/>
      </c>
      <c r="DU42" s="76" t="str">
        <f t="shared" si="109"/>
        <v/>
      </c>
      <c r="DV42" s="72" t="str">
        <f t="shared" si="132"/>
        <v/>
      </c>
      <c r="DW42" s="72" t="str">
        <f t="shared" si="133"/>
        <v/>
      </c>
      <c r="DX42" s="72" t="str">
        <f t="shared" si="134"/>
        <v/>
      </c>
      <c r="DY42" s="72" t="str">
        <f t="shared" si="135"/>
        <v/>
      </c>
      <c r="DZ42" s="72" t="str">
        <f t="shared" si="136"/>
        <v/>
      </c>
      <c r="EA42" s="72" t="str">
        <f t="shared" si="137"/>
        <v/>
      </c>
      <c r="EB42" s="76" t="str">
        <f t="shared" si="138"/>
        <v/>
      </c>
      <c r="EC42" s="76" t="str">
        <f t="shared" si="139"/>
        <v/>
      </c>
      <c r="ED42" s="76" t="str">
        <f t="shared" si="140"/>
        <v/>
      </c>
      <c r="EE42" s="76" t="str">
        <f t="shared" si="141"/>
        <v/>
      </c>
      <c r="EF42" s="76" t="str">
        <f t="shared" si="142"/>
        <v/>
      </c>
      <c r="EG42" s="76" t="str">
        <f t="shared" si="143"/>
        <v/>
      </c>
      <c r="EH42" s="77" t="str">
        <f t="shared" si="144"/>
        <v/>
      </c>
      <c r="EI42" s="495" t="str">
        <f t="shared" si="145"/>
        <v/>
      </c>
      <c r="EJ42" s="86" t="str">
        <f t="shared" si="146"/>
        <v/>
      </c>
      <c r="EK42" s="78" t="str">
        <f t="shared" si="147"/>
        <v/>
      </c>
      <c r="EL42" s="79" t="str">
        <f t="shared" si="148"/>
        <v/>
      </c>
      <c r="EM42" s="139" t="str">
        <f t="shared" si="149"/>
        <v/>
      </c>
      <c r="EN42" s="77" t="str">
        <f t="shared" si="150"/>
        <v/>
      </c>
      <c r="EO42" s="77" t="str">
        <f>IF(EN42="","",ATTENDANCE!Q43&amp;"/"&amp;ATTENDANCE!$Q$7)</f>
        <v/>
      </c>
      <c r="EP42" s="80" t="str">
        <f t="shared" si="151"/>
        <v/>
      </c>
      <c r="EQ42" s="80" t="str">
        <f t="shared" si="152"/>
        <v/>
      </c>
      <c r="ER42" s="80" t="str">
        <f t="shared" si="153"/>
        <v/>
      </c>
      <c r="ES42" s="80" t="str">
        <f t="shared" si="154"/>
        <v/>
      </c>
      <c r="ET42" s="80" t="str">
        <f t="shared" si="155"/>
        <v/>
      </c>
      <c r="EU42" s="80" t="str">
        <f t="shared" si="156"/>
        <v/>
      </c>
      <c r="EV42" s="492" t="str">
        <f t="shared" si="157"/>
        <v/>
      </c>
      <c r="EW42" s="129" t="str">
        <f t="shared" si="158"/>
        <v/>
      </c>
      <c r="EX42" s="129" t="str">
        <f t="shared" si="159"/>
        <v/>
      </c>
      <c r="EY42" s="129" t="str">
        <f t="shared" si="160"/>
        <v/>
      </c>
      <c r="EZ42" s="129" t="str">
        <f t="shared" si="161"/>
        <v/>
      </c>
      <c r="FA42" s="129" t="str">
        <f t="shared" si="162"/>
        <v/>
      </c>
      <c r="FB42" s="129" t="str">
        <f t="shared" si="163"/>
        <v/>
      </c>
      <c r="FC42" s="80" t="str">
        <f t="shared" si="164"/>
        <v/>
      </c>
      <c r="FD42" s="80" t="str">
        <f t="shared" si="165"/>
        <v/>
      </c>
      <c r="FE42" s="80" t="str">
        <f t="shared" si="166"/>
        <v/>
      </c>
      <c r="FF42" s="488" t="str">
        <f t="shared" si="167"/>
        <v/>
      </c>
      <c r="FG42" s="80" t="str">
        <f t="shared" si="168"/>
        <v/>
      </c>
      <c r="FH42" s="80" t="str">
        <f t="shared" si="169"/>
        <v/>
      </c>
      <c r="FI42" s="496" t="str">
        <f t="shared" si="170"/>
        <v/>
      </c>
      <c r="FJ42" s="140" t="str">
        <f t="shared" si="171"/>
        <v/>
      </c>
      <c r="FK42" s="492" t="str">
        <f t="shared" si="172"/>
        <v/>
      </c>
      <c r="FL42" s="490" t="str">
        <f t="shared" si="173"/>
        <v/>
      </c>
      <c r="FM42" s="74" t="str">
        <f t="shared" si="174"/>
        <v/>
      </c>
    </row>
    <row r="43" spans="1:169" ht="16.8" x14ac:dyDescent="0.3">
      <c r="A43" s="6"/>
      <c r="B43" s="25">
        <f>DATA!B41</f>
        <v>0</v>
      </c>
      <c r="C43" s="25" t="str">
        <f>IF(DATA!C41="","",DATA!C41)</f>
        <v/>
      </c>
      <c r="D43" s="25" t="str">
        <f>IF(DATA!D41="","",DATA!D41)</f>
        <v/>
      </c>
      <c r="E43" s="738" t="str">
        <f>IF(DATA!E41="","",DATA!E41)</f>
        <v/>
      </c>
      <c r="F43" s="738" t="str">
        <f>IF(DATA!F41="","",DATA!F41)</f>
        <v/>
      </c>
      <c r="G43" s="738" t="str">
        <f>IF(DATA!G41="","",DATA!G41)</f>
        <v/>
      </c>
      <c r="H43" s="214" t="str">
        <f>IF(DATA!H41="","",DATA!H41)</f>
        <v/>
      </c>
      <c r="I43" s="214" t="str">
        <f>IF(DATA!I41="","",DATA!I41)</f>
        <v/>
      </c>
      <c r="J43" s="214" t="str">
        <f>IF(DATA!J41="","",DATA!J41)</f>
        <v/>
      </c>
      <c r="K43" s="214" t="str">
        <f>IF(DATA!K41="","",DATA!K41)</f>
        <v/>
      </c>
      <c r="L43" s="73" t="str">
        <f>IF(ENGLISH!E43="","",ENGLISH!E43)</f>
        <v/>
      </c>
      <c r="M43" s="73" t="str">
        <f t="shared" si="41"/>
        <v/>
      </c>
      <c r="N43" s="73" t="str">
        <f>IF(ENGLISH!F43="","",ENGLISH!F43)</f>
        <v/>
      </c>
      <c r="O43" s="73" t="str">
        <f t="shared" si="42"/>
        <v/>
      </c>
      <c r="P43" s="73" t="str">
        <f>IF(ENGLISH!G43="","",ENGLISH!G43)</f>
        <v/>
      </c>
      <c r="Q43" s="73" t="str">
        <f t="shared" si="43"/>
        <v/>
      </c>
      <c r="R43" s="73" t="str">
        <f>IF(ENGLISH!H43="","",ENGLISH!H43)</f>
        <v/>
      </c>
      <c r="S43" s="73" t="str">
        <f>IF(ENGLISH!I43="","",ENGLISH!I43)</f>
        <v/>
      </c>
      <c r="T43" s="73" t="str">
        <f>IF(ENGLISH!J43="","",ENGLISH!J43)</f>
        <v/>
      </c>
      <c r="U43" s="73" t="str">
        <f>IF(ENGLISH!K43="","",ENGLISH!K43)</f>
        <v/>
      </c>
      <c r="V43" s="73" t="str">
        <f t="shared" si="44"/>
        <v/>
      </c>
      <c r="W43" s="81" t="str">
        <f>IF(ENGLISH!L43="","",ENGLISH!L43)</f>
        <v/>
      </c>
      <c r="X43" s="73" t="str">
        <f t="shared" si="45"/>
        <v/>
      </c>
      <c r="Y43" s="73" t="str">
        <f t="shared" si="46"/>
        <v/>
      </c>
      <c r="Z43" s="73" t="str">
        <f t="shared" si="47"/>
        <v/>
      </c>
      <c r="AA43" s="73" t="str">
        <f>IF(ENGLISH!O43="","",ENGLISH!O43*40/ENGLISH!$O$6)</f>
        <v/>
      </c>
      <c r="AB43" s="73" t="str">
        <f t="shared" si="48"/>
        <v/>
      </c>
      <c r="AC43" s="73" t="str">
        <f t="shared" si="49"/>
        <v/>
      </c>
      <c r="AD43" s="74" t="str">
        <f>IF(MATHS!E43="","",MATHS!E43)</f>
        <v/>
      </c>
      <c r="AE43" s="643" t="str">
        <f t="shared" si="50"/>
        <v/>
      </c>
      <c r="AF43" s="74" t="str">
        <f>IF(MATHS!F43="","",MATHS!F43)</f>
        <v/>
      </c>
      <c r="AG43" s="643" t="str">
        <f t="shared" si="51"/>
        <v/>
      </c>
      <c r="AH43" s="74" t="str">
        <f>IF(MATHS!G43="","",MATHS!G43)</f>
        <v/>
      </c>
      <c r="AI43" s="643" t="str">
        <f t="shared" si="52"/>
        <v/>
      </c>
      <c r="AJ43" s="75" t="str">
        <f t="shared" si="53"/>
        <v/>
      </c>
      <c r="AK43" s="75" t="str">
        <f t="shared" si="54"/>
        <v/>
      </c>
      <c r="AL43" s="75" t="str">
        <f t="shared" si="55"/>
        <v/>
      </c>
      <c r="AM43" s="75" t="str">
        <f>IF(MATHS!H43="","",MATHS!H43)</f>
        <v/>
      </c>
      <c r="AN43" s="75" t="str">
        <f>IF(MATHS!I43="","",MATHS!I43)</f>
        <v/>
      </c>
      <c r="AO43" s="75" t="str">
        <f>IF(MATHS!J43="","",MATHS!J43)</f>
        <v/>
      </c>
      <c r="AP43" s="75" t="str">
        <f t="shared" si="56"/>
        <v/>
      </c>
      <c r="AQ43" s="75" t="str">
        <f t="shared" si="57"/>
        <v/>
      </c>
      <c r="AR43" s="75" t="str">
        <f>IF(MATHS!K43="","",CEILING(MATHS!K43*$AR$6/MATHS!$K$6,1))</f>
        <v/>
      </c>
      <c r="AS43" s="76" t="str">
        <f t="shared" si="58"/>
        <v/>
      </c>
      <c r="AT43" s="76" t="str">
        <f t="shared" si="59"/>
        <v/>
      </c>
      <c r="AU43" s="76" t="str">
        <f>IF(MATHS!O43="","",MATHS!O43*$AU$6/MATHS!$O$6)</f>
        <v/>
      </c>
      <c r="AV43" s="76" t="str">
        <f t="shared" si="60"/>
        <v/>
      </c>
      <c r="AW43" s="76" t="str">
        <f t="shared" si="61"/>
        <v/>
      </c>
      <c r="AX43" s="73" t="str">
        <f>IF(PHYSICS!E44="","",PHYSICS!E44)</f>
        <v/>
      </c>
      <c r="AY43" s="644" t="str">
        <f t="shared" si="62"/>
        <v/>
      </c>
      <c r="AZ43" s="73" t="str">
        <f>IF(PHYSICS!F44="","",PHYSICS!F44)</f>
        <v/>
      </c>
      <c r="BA43" s="73" t="str">
        <f>IF(PHYSICS!G44="","",PHYSICS!G44)</f>
        <v/>
      </c>
      <c r="BB43" s="73" t="str">
        <f t="shared" si="63"/>
        <v/>
      </c>
      <c r="BC43" s="73" t="str">
        <f t="shared" si="64"/>
        <v/>
      </c>
      <c r="BD43" s="73" t="str">
        <f>IF(PHYSICS!H44="","",PHYSICS!H44)</f>
        <v/>
      </c>
      <c r="BE43" s="645" t="str">
        <f t="shared" si="65"/>
        <v/>
      </c>
      <c r="BF43" s="73" t="str">
        <f>IF(PHYSICS!I44="","",PHYSICS!I44)</f>
        <v/>
      </c>
      <c r="BG43" s="73" t="str">
        <f>IF(PHYSICS!J44="","",PHYSICS!J44)</f>
        <v/>
      </c>
      <c r="BH43" s="73" t="str">
        <f t="shared" si="66"/>
        <v/>
      </c>
      <c r="BI43" s="73" t="str">
        <f t="shared" si="67"/>
        <v/>
      </c>
      <c r="BJ43" s="73" t="str">
        <f t="shared" si="68"/>
        <v/>
      </c>
      <c r="BK43" s="73" t="str">
        <f t="shared" si="69"/>
        <v/>
      </c>
      <c r="BL43" s="73" t="str">
        <f t="shared" si="70"/>
        <v/>
      </c>
      <c r="BM43" s="73" t="str">
        <f t="shared" si="71"/>
        <v/>
      </c>
      <c r="BN43" s="73" t="str">
        <f>IF(PHYSICS!M44="","",PHYSICS!M44*$BN$6/PHYSICS!$M$7)</f>
        <v/>
      </c>
      <c r="BO43" s="73" t="str">
        <f t="shared" si="72"/>
        <v/>
      </c>
      <c r="BP43" s="73" t="str">
        <f t="shared" si="73"/>
        <v/>
      </c>
      <c r="BQ43" s="48" t="str">
        <f>IF(CHEMISTRY!E44="","",CHEMISTRY!E44)</f>
        <v/>
      </c>
      <c r="BR43" s="646" t="str">
        <f t="shared" si="74"/>
        <v/>
      </c>
      <c r="BS43" s="48" t="str">
        <f>IF(CHEMISTRY!F44="","",CHEMISTRY!F44)</f>
        <v/>
      </c>
      <c r="BT43" s="48" t="str">
        <f>IF(CHEMISTRY!G44="","",CHEMISTRY!G44)</f>
        <v/>
      </c>
      <c r="BU43" s="48" t="str">
        <f t="shared" si="75"/>
        <v/>
      </c>
      <c r="BV43" s="48" t="str">
        <f t="shared" si="76"/>
        <v/>
      </c>
      <c r="BW43" s="48" t="str">
        <f>IF(CHEMISTRY!H44="","",CHEMISTRY!H44)</f>
        <v/>
      </c>
      <c r="BX43" s="646" t="str">
        <f t="shared" si="77"/>
        <v/>
      </c>
      <c r="BY43" s="48" t="str">
        <f>IF(CHEMISTRY!I44="","",CHEMISTRY!I44)</f>
        <v/>
      </c>
      <c r="BZ43" s="48" t="str">
        <f>IF(CHEMISTRY!J44="","",CHEMISTRY!J44)</f>
        <v/>
      </c>
      <c r="CA43" s="48" t="str">
        <f t="shared" si="78"/>
        <v/>
      </c>
      <c r="CB43" s="48" t="str">
        <f t="shared" si="79"/>
        <v/>
      </c>
      <c r="CC43" s="48" t="str">
        <f t="shared" si="80"/>
        <v/>
      </c>
      <c r="CD43" s="48" t="str">
        <f t="shared" si="81"/>
        <v/>
      </c>
      <c r="CE43" s="48" t="str">
        <f t="shared" si="82"/>
        <v/>
      </c>
      <c r="CF43" s="48" t="str">
        <f t="shared" si="83"/>
        <v/>
      </c>
      <c r="CG43" s="48" t="str">
        <f>IF(CHEMISTRY!M44="","",CHEMISTRY!M44*$CG$6/CHEMISTRY!$M$7)</f>
        <v/>
      </c>
      <c r="CH43" s="48" t="str">
        <f t="shared" si="84"/>
        <v/>
      </c>
      <c r="CI43" s="48" t="str">
        <f t="shared" si="85"/>
        <v/>
      </c>
      <c r="CJ43" s="73" t="str">
        <f>IF(BIOLOGY!E44="","",BIOLOGY!E44)</f>
        <v/>
      </c>
      <c r="CK43" s="73" t="str">
        <f t="shared" si="86"/>
        <v/>
      </c>
      <c r="CL43" s="73" t="str">
        <f>IF(BIOLOGY!F44="","",BIOLOGY!F44)</f>
        <v/>
      </c>
      <c r="CM43" s="73" t="str">
        <f>IF(BIOLOGY!G44="","",BIOLOGY!G44)</f>
        <v/>
      </c>
      <c r="CN43" s="73" t="str">
        <f t="shared" si="87"/>
        <v/>
      </c>
      <c r="CO43" s="73" t="str">
        <f t="shared" si="88"/>
        <v/>
      </c>
      <c r="CP43" s="73" t="str">
        <f>IF(BIOLOGY!H44="","",BIOLOGY!H44)</f>
        <v/>
      </c>
      <c r="CQ43" s="73" t="str">
        <f t="shared" si="89"/>
        <v/>
      </c>
      <c r="CR43" s="73" t="str">
        <f>IF(BIOLOGY!I44="","",BIOLOGY!I44)</f>
        <v/>
      </c>
      <c r="CS43" s="73" t="str">
        <f>IF(BIOLOGY!J44="","",BIOLOGY!J44)</f>
        <v/>
      </c>
      <c r="CT43" s="73" t="str">
        <f t="shared" si="90"/>
        <v/>
      </c>
      <c r="CU43" s="73" t="str">
        <f t="shared" si="91"/>
        <v/>
      </c>
      <c r="CV43" s="73" t="str">
        <f t="shared" si="92"/>
        <v/>
      </c>
      <c r="CW43" s="73" t="str">
        <f t="shared" si="93"/>
        <v/>
      </c>
      <c r="CX43" s="73" t="str">
        <f t="shared" si="94"/>
        <v/>
      </c>
      <c r="CY43" s="73" t="str">
        <f t="shared" si="95"/>
        <v/>
      </c>
      <c r="CZ43" s="73" t="str">
        <f>IF(BIOLOGY!M44="","",CEILING((BIOLOGY!M44*$CZ$6/BIOLOGY!$M$7),1))</f>
        <v/>
      </c>
      <c r="DA43" s="73" t="str">
        <f t="shared" si="96"/>
        <v/>
      </c>
      <c r="DB43" s="73" t="str">
        <f t="shared" si="97"/>
        <v/>
      </c>
      <c r="DC43" s="76" t="str">
        <f>IF('PHY EDU '!E44="","",'PHY EDU '!E44)</f>
        <v/>
      </c>
      <c r="DD43" s="647" t="str">
        <f t="shared" si="98"/>
        <v/>
      </c>
      <c r="DE43" s="76" t="str">
        <f>IF('PHY EDU '!F44="","",'PHY EDU '!F44)</f>
        <v/>
      </c>
      <c r="DF43" s="76" t="str">
        <f>IF('PHY EDU '!G44="","",'PHY EDU '!G44)</f>
        <v/>
      </c>
      <c r="DG43" s="76" t="str">
        <f t="shared" si="99"/>
        <v/>
      </c>
      <c r="DH43" s="76" t="str">
        <f t="shared" si="100"/>
        <v/>
      </c>
      <c r="DI43" s="76" t="str">
        <f>IF('PHY EDU '!H44="","",'PHY EDU '!H44)</f>
        <v/>
      </c>
      <c r="DJ43" s="647" t="str">
        <f t="shared" si="101"/>
        <v/>
      </c>
      <c r="DK43" s="76" t="str">
        <f>IF('PHY EDU '!I44="","",'PHY EDU '!I44)</f>
        <v/>
      </c>
      <c r="DL43" s="76" t="str">
        <f>IF('PHY EDU '!J44="","",'PHY EDU '!J44)</f>
        <v/>
      </c>
      <c r="DM43" s="76" t="str">
        <f t="shared" si="102"/>
        <v/>
      </c>
      <c r="DN43" s="76" t="str">
        <f t="shared" si="103"/>
        <v/>
      </c>
      <c r="DO43" s="76" t="str">
        <f t="shared" si="104"/>
        <v/>
      </c>
      <c r="DP43" s="76" t="str">
        <f t="shared" si="105"/>
        <v/>
      </c>
      <c r="DQ43" s="76" t="str">
        <f t="shared" si="106"/>
        <v/>
      </c>
      <c r="DR43" s="76" t="str">
        <f t="shared" si="107"/>
        <v/>
      </c>
      <c r="DS43" s="76" t="str">
        <f>IF('PHY EDU '!M44="","",ROUNDUP('PHY EDU '!M44*$DS$6/'PHY EDU '!$M$7,0))</f>
        <v/>
      </c>
      <c r="DT43" s="76" t="str">
        <f t="shared" si="108"/>
        <v/>
      </c>
      <c r="DU43" s="76" t="str">
        <f t="shared" si="109"/>
        <v/>
      </c>
      <c r="DV43" s="72" t="str">
        <f t="shared" si="132"/>
        <v/>
      </c>
      <c r="DW43" s="72" t="str">
        <f t="shared" si="133"/>
        <v/>
      </c>
      <c r="DX43" s="72" t="str">
        <f t="shared" si="134"/>
        <v/>
      </c>
      <c r="DY43" s="72" t="str">
        <f t="shared" si="135"/>
        <v/>
      </c>
      <c r="DZ43" s="72" t="str">
        <f t="shared" si="136"/>
        <v/>
      </c>
      <c r="EA43" s="72" t="str">
        <f t="shared" si="137"/>
        <v/>
      </c>
      <c r="EB43" s="76" t="str">
        <f t="shared" si="138"/>
        <v/>
      </c>
      <c r="EC43" s="76" t="str">
        <f t="shared" si="139"/>
        <v/>
      </c>
      <c r="ED43" s="76" t="str">
        <f t="shared" si="140"/>
        <v/>
      </c>
      <c r="EE43" s="76" t="str">
        <f t="shared" si="141"/>
        <v/>
      </c>
      <c r="EF43" s="76" t="str">
        <f t="shared" si="142"/>
        <v/>
      </c>
      <c r="EG43" s="76" t="str">
        <f t="shared" si="143"/>
        <v/>
      </c>
      <c r="EH43" s="77" t="str">
        <f t="shared" si="144"/>
        <v/>
      </c>
      <c r="EI43" s="495" t="str">
        <f t="shared" si="145"/>
        <v/>
      </c>
      <c r="EJ43" s="86" t="str">
        <f t="shared" si="146"/>
        <v/>
      </c>
      <c r="EK43" s="78" t="str">
        <f t="shared" si="147"/>
        <v/>
      </c>
      <c r="EL43" s="79" t="str">
        <f t="shared" si="148"/>
        <v/>
      </c>
      <c r="EM43" s="139" t="str">
        <f t="shared" si="149"/>
        <v/>
      </c>
      <c r="EN43" s="77" t="str">
        <f t="shared" si="150"/>
        <v/>
      </c>
      <c r="EO43" s="77" t="str">
        <f>IF(EN43="","",ATTENDANCE!Q44&amp;"/"&amp;ATTENDANCE!$Q$7)</f>
        <v/>
      </c>
      <c r="EP43" s="80" t="str">
        <f t="shared" si="151"/>
        <v/>
      </c>
      <c r="EQ43" s="80" t="str">
        <f t="shared" si="152"/>
        <v/>
      </c>
      <c r="ER43" s="80" t="str">
        <f t="shared" si="153"/>
        <v/>
      </c>
      <c r="ES43" s="80" t="str">
        <f t="shared" si="154"/>
        <v/>
      </c>
      <c r="ET43" s="80" t="str">
        <f t="shared" si="155"/>
        <v/>
      </c>
      <c r="EU43" s="80" t="str">
        <f t="shared" si="156"/>
        <v/>
      </c>
      <c r="EV43" s="492" t="str">
        <f t="shared" si="157"/>
        <v/>
      </c>
      <c r="EW43" s="129" t="str">
        <f t="shared" si="158"/>
        <v/>
      </c>
      <c r="EX43" s="129" t="str">
        <f t="shared" si="159"/>
        <v/>
      </c>
      <c r="EY43" s="129" t="str">
        <f t="shared" si="160"/>
        <v/>
      </c>
      <c r="EZ43" s="129" t="str">
        <f t="shared" si="161"/>
        <v/>
      </c>
      <c r="FA43" s="129" t="str">
        <f t="shared" si="162"/>
        <v/>
      </c>
      <c r="FB43" s="129" t="str">
        <f t="shared" si="163"/>
        <v/>
      </c>
      <c r="FC43" s="80" t="str">
        <f t="shared" si="164"/>
        <v/>
      </c>
      <c r="FD43" s="80" t="str">
        <f t="shared" si="165"/>
        <v/>
      </c>
      <c r="FE43" s="80" t="str">
        <f t="shared" si="166"/>
        <v/>
      </c>
      <c r="FF43" s="488" t="str">
        <f t="shared" si="167"/>
        <v/>
      </c>
      <c r="FG43" s="80" t="str">
        <f t="shared" si="168"/>
        <v/>
      </c>
      <c r="FH43" s="80" t="str">
        <f t="shared" si="169"/>
        <v/>
      </c>
      <c r="FI43" s="496" t="str">
        <f t="shared" si="170"/>
        <v/>
      </c>
      <c r="FJ43" s="140" t="str">
        <f t="shared" si="171"/>
        <v/>
      </c>
      <c r="FK43" s="492" t="str">
        <f t="shared" si="172"/>
        <v/>
      </c>
      <c r="FL43" s="490" t="str">
        <f t="shared" si="173"/>
        <v/>
      </c>
      <c r="FM43" s="74" t="str">
        <f t="shared" si="174"/>
        <v/>
      </c>
    </row>
    <row r="44" spans="1:169" ht="16.8" x14ac:dyDescent="0.3">
      <c r="A44" s="6"/>
      <c r="B44" s="25">
        <f>DATA!B42</f>
        <v>0</v>
      </c>
      <c r="C44" s="25" t="str">
        <f>IF(DATA!C42="","",DATA!C42)</f>
        <v/>
      </c>
      <c r="D44" s="25" t="str">
        <f>IF(DATA!D42="","",DATA!D42)</f>
        <v/>
      </c>
      <c r="E44" s="738" t="str">
        <f>IF(DATA!E42="","",DATA!E42)</f>
        <v/>
      </c>
      <c r="F44" s="738" t="str">
        <f>IF(DATA!F42="","",DATA!F42)</f>
        <v/>
      </c>
      <c r="G44" s="738" t="str">
        <f>IF(DATA!G42="","",DATA!G42)</f>
        <v/>
      </c>
      <c r="H44" s="214" t="str">
        <f>IF(DATA!H42="","",DATA!H42)</f>
        <v/>
      </c>
      <c r="I44" s="214" t="str">
        <f>IF(DATA!I42="","",DATA!I42)</f>
        <v/>
      </c>
      <c r="J44" s="214" t="str">
        <f>IF(DATA!J42="","",DATA!J42)</f>
        <v/>
      </c>
      <c r="K44" s="214" t="str">
        <f>IF(DATA!K42="","",DATA!K42)</f>
        <v/>
      </c>
      <c r="L44" s="73" t="str">
        <f>IF(ENGLISH!E44="","",ENGLISH!E44)</f>
        <v/>
      </c>
      <c r="M44" s="73" t="str">
        <f t="shared" si="41"/>
        <v/>
      </c>
      <c r="N44" s="73" t="str">
        <f>IF(ENGLISH!F44="","",ENGLISH!F44)</f>
        <v/>
      </c>
      <c r="O44" s="73" t="str">
        <f t="shared" si="42"/>
        <v/>
      </c>
      <c r="P44" s="73" t="str">
        <f>IF(ENGLISH!G44="","",ENGLISH!G44)</f>
        <v/>
      </c>
      <c r="Q44" s="73" t="str">
        <f t="shared" si="43"/>
        <v/>
      </c>
      <c r="R44" s="73" t="str">
        <f>IF(ENGLISH!H44="","",ENGLISH!H44)</f>
        <v/>
      </c>
      <c r="S44" s="73" t="str">
        <f>IF(ENGLISH!I44="","",ENGLISH!I44)</f>
        <v/>
      </c>
      <c r="T44" s="73" t="str">
        <f>IF(ENGLISH!J44="","",ENGLISH!J44)</f>
        <v/>
      </c>
      <c r="U44" s="73" t="str">
        <f>IF(ENGLISH!K44="","",ENGLISH!K44)</f>
        <v/>
      </c>
      <c r="V44" s="73" t="str">
        <f t="shared" si="44"/>
        <v/>
      </c>
      <c r="W44" s="81" t="str">
        <f>IF(ENGLISH!L44="","",ENGLISH!L44)</f>
        <v/>
      </c>
      <c r="X44" s="73" t="str">
        <f t="shared" si="45"/>
        <v/>
      </c>
      <c r="Y44" s="73" t="str">
        <f t="shared" si="46"/>
        <v/>
      </c>
      <c r="Z44" s="73" t="str">
        <f t="shared" si="47"/>
        <v/>
      </c>
      <c r="AA44" s="73" t="str">
        <f>IF(ENGLISH!O44="","",ENGLISH!O44*40/ENGLISH!$O$6)</f>
        <v/>
      </c>
      <c r="AB44" s="73" t="str">
        <f t="shared" si="48"/>
        <v/>
      </c>
      <c r="AC44" s="73" t="str">
        <f t="shared" si="49"/>
        <v/>
      </c>
      <c r="AD44" s="74" t="str">
        <f>IF(MATHS!E44="","",MATHS!E44)</f>
        <v/>
      </c>
      <c r="AE44" s="643" t="str">
        <f t="shared" si="50"/>
        <v/>
      </c>
      <c r="AF44" s="74" t="str">
        <f>IF(MATHS!F44="","",MATHS!F44)</f>
        <v/>
      </c>
      <c r="AG44" s="643" t="str">
        <f t="shared" si="51"/>
        <v/>
      </c>
      <c r="AH44" s="74" t="str">
        <f>IF(MATHS!G44="","",MATHS!G44)</f>
        <v/>
      </c>
      <c r="AI44" s="643" t="str">
        <f t="shared" si="52"/>
        <v/>
      </c>
      <c r="AJ44" s="75" t="str">
        <f t="shared" si="53"/>
        <v/>
      </c>
      <c r="AK44" s="75" t="str">
        <f t="shared" si="54"/>
        <v/>
      </c>
      <c r="AL44" s="75" t="str">
        <f t="shared" si="55"/>
        <v/>
      </c>
      <c r="AM44" s="75" t="str">
        <f>IF(MATHS!H44="","",MATHS!H44)</f>
        <v/>
      </c>
      <c r="AN44" s="75" t="str">
        <f>IF(MATHS!I44="","",MATHS!I44)</f>
        <v/>
      </c>
      <c r="AO44" s="75" t="str">
        <f>IF(MATHS!J44="","",MATHS!J44)</f>
        <v/>
      </c>
      <c r="AP44" s="75" t="str">
        <f t="shared" si="56"/>
        <v/>
      </c>
      <c r="AQ44" s="75" t="str">
        <f t="shared" si="57"/>
        <v/>
      </c>
      <c r="AR44" s="75" t="str">
        <f>IF(MATHS!K44="","",CEILING(MATHS!K44*$AR$6/MATHS!$K$6,1))</f>
        <v/>
      </c>
      <c r="AS44" s="76" t="str">
        <f t="shared" si="58"/>
        <v/>
      </c>
      <c r="AT44" s="76" t="str">
        <f t="shared" si="59"/>
        <v/>
      </c>
      <c r="AU44" s="76" t="str">
        <f>IF(MATHS!O44="","",MATHS!O44*$AU$6/MATHS!$O$6)</f>
        <v/>
      </c>
      <c r="AV44" s="76" t="str">
        <f t="shared" si="60"/>
        <v/>
      </c>
      <c r="AW44" s="76" t="str">
        <f t="shared" si="61"/>
        <v/>
      </c>
      <c r="AX44" s="73" t="str">
        <f>IF(PHYSICS!E45="","",PHYSICS!E45)</f>
        <v/>
      </c>
      <c r="AY44" s="644" t="str">
        <f t="shared" si="62"/>
        <v/>
      </c>
      <c r="AZ44" s="73" t="str">
        <f>IF(PHYSICS!F45="","",PHYSICS!F45)</f>
        <v/>
      </c>
      <c r="BA44" s="73" t="str">
        <f>IF(PHYSICS!G45="","",PHYSICS!G45)</f>
        <v/>
      </c>
      <c r="BB44" s="73" t="str">
        <f t="shared" si="63"/>
        <v/>
      </c>
      <c r="BC44" s="73" t="str">
        <f t="shared" si="64"/>
        <v/>
      </c>
      <c r="BD44" s="73" t="str">
        <f>IF(PHYSICS!H45="","",PHYSICS!H45)</f>
        <v/>
      </c>
      <c r="BE44" s="645" t="str">
        <f t="shared" si="65"/>
        <v/>
      </c>
      <c r="BF44" s="73" t="str">
        <f>IF(PHYSICS!I45="","",PHYSICS!I45)</f>
        <v/>
      </c>
      <c r="BG44" s="73" t="str">
        <f>IF(PHYSICS!J45="","",PHYSICS!J45)</f>
        <v/>
      </c>
      <c r="BH44" s="73" t="str">
        <f t="shared" si="66"/>
        <v/>
      </c>
      <c r="BI44" s="73" t="str">
        <f t="shared" si="67"/>
        <v/>
      </c>
      <c r="BJ44" s="73" t="str">
        <f t="shared" si="68"/>
        <v/>
      </c>
      <c r="BK44" s="73" t="str">
        <f t="shared" si="69"/>
        <v/>
      </c>
      <c r="BL44" s="73" t="str">
        <f t="shared" si="70"/>
        <v/>
      </c>
      <c r="BM44" s="73" t="str">
        <f t="shared" si="71"/>
        <v/>
      </c>
      <c r="BN44" s="73" t="str">
        <f>IF(PHYSICS!M45="","",PHYSICS!M45*$BN$6/PHYSICS!$M$7)</f>
        <v/>
      </c>
      <c r="BO44" s="73" t="str">
        <f t="shared" si="72"/>
        <v/>
      </c>
      <c r="BP44" s="73" t="str">
        <f t="shared" si="73"/>
        <v/>
      </c>
      <c r="BQ44" s="48" t="str">
        <f>IF(CHEMISTRY!E45="","",CHEMISTRY!E45)</f>
        <v/>
      </c>
      <c r="BR44" s="646" t="str">
        <f t="shared" si="74"/>
        <v/>
      </c>
      <c r="BS44" s="48" t="str">
        <f>IF(CHEMISTRY!F45="","",CHEMISTRY!F45)</f>
        <v/>
      </c>
      <c r="BT44" s="48" t="str">
        <f>IF(CHEMISTRY!G45="","",CHEMISTRY!G45)</f>
        <v/>
      </c>
      <c r="BU44" s="48" t="str">
        <f t="shared" si="75"/>
        <v/>
      </c>
      <c r="BV44" s="48" t="str">
        <f t="shared" si="76"/>
        <v/>
      </c>
      <c r="BW44" s="48" t="str">
        <f>IF(CHEMISTRY!H45="","",CHEMISTRY!H45)</f>
        <v/>
      </c>
      <c r="BX44" s="646" t="str">
        <f t="shared" si="77"/>
        <v/>
      </c>
      <c r="BY44" s="48" t="str">
        <f>IF(CHEMISTRY!I45="","",CHEMISTRY!I45)</f>
        <v/>
      </c>
      <c r="BZ44" s="48" t="str">
        <f>IF(CHEMISTRY!J45="","",CHEMISTRY!J45)</f>
        <v/>
      </c>
      <c r="CA44" s="48" t="str">
        <f t="shared" si="78"/>
        <v/>
      </c>
      <c r="CB44" s="48" t="str">
        <f t="shared" si="79"/>
        <v/>
      </c>
      <c r="CC44" s="48" t="str">
        <f t="shared" si="80"/>
        <v/>
      </c>
      <c r="CD44" s="48" t="str">
        <f t="shared" si="81"/>
        <v/>
      </c>
      <c r="CE44" s="48" t="str">
        <f t="shared" si="82"/>
        <v/>
      </c>
      <c r="CF44" s="48" t="str">
        <f t="shared" si="83"/>
        <v/>
      </c>
      <c r="CG44" s="48" t="str">
        <f>IF(CHEMISTRY!M45="","",CHEMISTRY!M45*$CG$6/CHEMISTRY!$M$7)</f>
        <v/>
      </c>
      <c r="CH44" s="48" t="str">
        <f t="shared" si="84"/>
        <v/>
      </c>
      <c r="CI44" s="48" t="str">
        <f t="shared" si="85"/>
        <v/>
      </c>
      <c r="CJ44" s="73" t="str">
        <f>IF(BIOLOGY!E45="","",BIOLOGY!E45)</f>
        <v/>
      </c>
      <c r="CK44" s="73" t="str">
        <f t="shared" si="86"/>
        <v/>
      </c>
      <c r="CL44" s="73" t="str">
        <f>IF(BIOLOGY!F45="","",BIOLOGY!F45)</f>
        <v/>
      </c>
      <c r="CM44" s="73" t="str">
        <f>IF(BIOLOGY!G45="","",BIOLOGY!G45)</f>
        <v/>
      </c>
      <c r="CN44" s="73" t="str">
        <f t="shared" si="87"/>
        <v/>
      </c>
      <c r="CO44" s="73" t="str">
        <f t="shared" si="88"/>
        <v/>
      </c>
      <c r="CP44" s="73" t="str">
        <f>IF(BIOLOGY!H45="","",BIOLOGY!H45)</f>
        <v/>
      </c>
      <c r="CQ44" s="73" t="str">
        <f t="shared" si="89"/>
        <v/>
      </c>
      <c r="CR44" s="73" t="str">
        <f>IF(BIOLOGY!I45="","",BIOLOGY!I45)</f>
        <v/>
      </c>
      <c r="CS44" s="73" t="str">
        <f>IF(BIOLOGY!J45="","",BIOLOGY!J45)</f>
        <v/>
      </c>
      <c r="CT44" s="73" t="str">
        <f t="shared" si="90"/>
        <v/>
      </c>
      <c r="CU44" s="73" t="str">
        <f t="shared" si="91"/>
        <v/>
      </c>
      <c r="CV44" s="73" t="str">
        <f t="shared" si="92"/>
        <v/>
      </c>
      <c r="CW44" s="73" t="str">
        <f t="shared" si="93"/>
        <v/>
      </c>
      <c r="CX44" s="73" t="str">
        <f t="shared" si="94"/>
        <v/>
      </c>
      <c r="CY44" s="73" t="str">
        <f t="shared" si="95"/>
        <v/>
      </c>
      <c r="CZ44" s="73" t="str">
        <f>IF(BIOLOGY!M45="","",CEILING((BIOLOGY!M45*$CZ$6/BIOLOGY!$M$7),1))</f>
        <v/>
      </c>
      <c r="DA44" s="73" t="str">
        <f t="shared" si="96"/>
        <v/>
      </c>
      <c r="DB44" s="73" t="str">
        <f t="shared" si="97"/>
        <v/>
      </c>
      <c r="DC44" s="76" t="str">
        <f>IF('PHY EDU '!E45="","",'PHY EDU '!E45)</f>
        <v/>
      </c>
      <c r="DD44" s="647" t="str">
        <f t="shared" si="98"/>
        <v/>
      </c>
      <c r="DE44" s="76" t="str">
        <f>IF('PHY EDU '!F45="","",'PHY EDU '!F45)</f>
        <v/>
      </c>
      <c r="DF44" s="76" t="str">
        <f>IF('PHY EDU '!G45="","",'PHY EDU '!G45)</f>
        <v/>
      </c>
      <c r="DG44" s="76" t="str">
        <f t="shared" si="99"/>
        <v/>
      </c>
      <c r="DH44" s="76" t="str">
        <f t="shared" si="100"/>
        <v/>
      </c>
      <c r="DI44" s="76" t="str">
        <f>IF('PHY EDU '!H45="","",'PHY EDU '!H45)</f>
        <v/>
      </c>
      <c r="DJ44" s="647" t="str">
        <f t="shared" si="101"/>
        <v/>
      </c>
      <c r="DK44" s="76" t="str">
        <f>IF('PHY EDU '!I45="","",'PHY EDU '!I45)</f>
        <v/>
      </c>
      <c r="DL44" s="76" t="str">
        <f>IF('PHY EDU '!J45="","",'PHY EDU '!J45)</f>
        <v/>
      </c>
      <c r="DM44" s="76" t="str">
        <f t="shared" si="102"/>
        <v/>
      </c>
      <c r="DN44" s="76" t="str">
        <f t="shared" si="103"/>
        <v/>
      </c>
      <c r="DO44" s="76" t="str">
        <f t="shared" si="104"/>
        <v/>
      </c>
      <c r="DP44" s="76" t="str">
        <f t="shared" si="105"/>
        <v/>
      </c>
      <c r="DQ44" s="76" t="str">
        <f t="shared" si="106"/>
        <v/>
      </c>
      <c r="DR44" s="76" t="str">
        <f t="shared" si="107"/>
        <v/>
      </c>
      <c r="DS44" s="76" t="str">
        <f>IF('PHY EDU '!M45="","",ROUNDUP('PHY EDU '!M45*$DS$6/'PHY EDU '!$M$7,0))</f>
        <v/>
      </c>
      <c r="DT44" s="76" t="str">
        <f t="shared" si="108"/>
        <v/>
      </c>
      <c r="DU44" s="76" t="str">
        <f t="shared" si="109"/>
        <v/>
      </c>
      <c r="DV44" s="72" t="str">
        <f t="shared" si="132"/>
        <v/>
      </c>
      <c r="DW44" s="72" t="str">
        <f t="shared" si="133"/>
        <v/>
      </c>
      <c r="DX44" s="72" t="str">
        <f t="shared" si="134"/>
        <v/>
      </c>
      <c r="DY44" s="72" t="str">
        <f t="shared" si="135"/>
        <v/>
      </c>
      <c r="DZ44" s="72" t="str">
        <f t="shared" si="136"/>
        <v/>
      </c>
      <c r="EA44" s="72" t="str">
        <f t="shared" si="137"/>
        <v/>
      </c>
      <c r="EB44" s="76" t="str">
        <f t="shared" si="138"/>
        <v/>
      </c>
      <c r="EC44" s="76" t="str">
        <f t="shared" si="139"/>
        <v/>
      </c>
      <c r="ED44" s="76" t="str">
        <f t="shared" si="140"/>
        <v/>
      </c>
      <c r="EE44" s="76" t="str">
        <f t="shared" si="141"/>
        <v/>
      </c>
      <c r="EF44" s="76" t="str">
        <f t="shared" si="142"/>
        <v/>
      </c>
      <c r="EG44" s="76" t="str">
        <f t="shared" si="143"/>
        <v/>
      </c>
      <c r="EH44" s="77" t="str">
        <f t="shared" si="144"/>
        <v/>
      </c>
      <c r="EI44" s="495" t="str">
        <f t="shared" si="145"/>
        <v/>
      </c>
      <c r="EJ44" s="86" t="str">
        <f t="shared" si="146"/>
        <v/>
      </c>
      <c r="EK44" s="78" t="str">
        <f t="shared" si="147"/>
        <v/>
      </c>
      <c r="EL44" s="79" t="str">
        <f t="shared" si="148"/>
        <v/>
      </c>
      <c r="EM44" s="139" t="str">
        <f t="shared" si="149"/>
        <v/>
      </c>
      <c r="EN44" s="77" t="str">
        <f t="shared" si="150"/>
        <v/>
      </c>
      <c r="EO44" s="77" t="str">
        <f>IF(EN44="","",ATTENDANCE!Q45&amp;"/"&amp;ATTENDANCE!$Q$7)</f>
        <v/>
      </c>
      <c r="EP44" s="80" t="str">
        <f t="shared" si="151"/>
        <v/>
      </c>
      <c r="EQ44" s="80" t="str">
        <f t="shared" si="152"/>
        <v/>
      </c>
      <c r="ER44" s="80" t="str">
        <f t="shared" si="153"/>
        <v/>
      </c>
      <c r="ES44" s="80" t="str">
        <f t="shared" si="154"/>
        <v/>
      </c>
      <c r="ET44" s="80" t="str">
        <f t="shared" si="155"/>
        <v/>
      </c>
      <c r="EU44" s="80" t="str">
        <f t="shared" si="156"/>
        <v/>
      </c>
      <c r="EV44" s="492" t="str">
        <f t="shared" si="157"/>
        <v/>
      </c>
      <c r="EW44" s="129" t="str">
        <f t="shared" si="158"/>
        <v/>
      </c>
      <c r="EX44" s="129" t="str">
        <f t="shared" si="159"/>
        <v/>
      </c>
      <c r="EY44" s="129" t="str">
        <f t="shared" si="160"/>
        <v/>
      </c>
      <c r="EZ44" s="129" t="str">
        <f t="shared" si="161"/>
        <v/>
      </c>
      <c r="FA44" s="129" t="str">
        <f t="shared" si="162"/>
        <v/>
      </c>
      <c r="FB44" s="129" t="str">
        <f t="shared" si="163"/>
        <v/>
      </c>
      <c r="FC44" s="80" t="str">
        <f t="shared" si="164"/>
        <v/>
      </c>
      <c r="FD44" s="80" t="str">
        <f t="shared" si="165"/>
        <v/>
      </c>
      <c r="FE44" s="80" t="str">
        <f t="shared" si="166"/>
        <v/>
      </c>
      <c r="FF44" s="488" t="str">
        <f t="shared" si="167"/>
        <v/>
      </c>
      <c r="FG44" s="80" t="str">
        <f t="shared" si="168"/>
        <v/>
      </c>
      <c r="FH44" s="80" t="str">
        <f t="shared" si="169"/>
        <v/>
      </c>
      <c r="FI44" s="496" t="str">
        <f t="shared" si="170"/>
        <v/>
      </c>
      <c r="FJ44" s="140" t="str">
        <f t="shared" si="171"/>
        <v/>
      </c>
      <c r="FK44" s="492" t="str">
        <f t="shared" si="172"/>
        <v/>
      </c>
      <c r="FL44" s="490" t="str">
        <f t="shared" si="173"/>
        <v/>
      </c>
      <c r="FM44" s="74" t="str">
        <f t="shared" si="174"/>
        <v/>
      </c>
    </row>
    <row r="45" spans="1:169" ht="16.8" x14ac:dyDescent="0.3">
      <c r="A45" s="6"/>
      <c r="B45" s="25">
        <f>DATA!B43</f>
        <v>0</v>
      </c>
      <c r="C45" s="25" t="str">
        <f>IF(DATA!C43="","",DATA!C43)</f>
        <v/>
      </c>
      <c r="D45" s="25" t="str">
        <f>IF(DATA!D43="","",DATA!D43)</f>
        <v/>
      </c>
      <c r="E45" s="738" t="str">
        <f>IF(DATA!E43="","",DATA!E43)</f>
        <v/>
      </c>
      <c r="F45" s="738" t="str">
        <f>IF(DATA!F43="","",DATA!F43)</f>
        <v/>
      </c>
      <c r="G45" s="738" t="str">
        <f>IF(DATA!G43="","",DATA!G43)</f>
        <v/>
      </c>
      <c r="H45" s="214" t="str">
        <f>IF(DATA!H43="","",DATA!H43)</f>
        <v/>
      </c>
      <c r="I45" s="214" t="str">
        <f>IF(DATA!I43="","",DATA!I43)</f>
        <v/>
      </c>
      <c r="J45" s="214" t="str">
        <f>IF(DATA!J43="","",DATA!J43)</f>
        <v/>
      </c>
      <c r="K45" s="214" t="str">
        <f>IF(DATA!K43="","",DATA!K43)</f>
        <v/>
      </c>
      <c r="L45" s="73" t="str">
        <f>IF(ENGLISH!E45="","",ENGLISH!E45)</f>
        <v/>
      </c>
      <c r="M45" s="73" t="str">
        <f t="shared" si="41"/>
        <v/>
      </c>
      <c r="N45" s="73" t="str">
        <f>IF(ENGLISH!F45="","",ENGLISH!F45)</f>
        <v/>
      </c>
      <c r="O45" s="73" t="str">
        <f t="shared" si="42"/>
        <v/>
      </c>
      <c r="P45" s="73" t="str">
        <f>IF(ENGLISH!G45="","",ENGLISH!G45)</f>
        <v/>
      </c>
      <c r="Q45" s="73" t="str">
        <f t="shared" si="43"/>
        <v/>
      </c>
      <c r="R45" s="73" t="str">
        <f>IF(ENGLISH!H45="","",ENGLISH!H45)</f>
        <v/>
      </c>
      <c r="S45" s="73" t="str">
        <f>IF(ENGLISH!I45="","",ENGLISH!I45)</f>
        <v/>
      </c>
      <c r="T45" s="73" t="str">
        <f>IF(ENGLISH!J45="","",ENGLISH!J45)</f>
        <v/>
      </c>
      <c r="U45" s="73" t="str">
        <f>IF(ENGLISH!K45="","",ENGLISH!K45)</f>
        <v/>
      </c>
      <c r="V45" s="73" t="str">
        <f t="shared" si="44"/>
        <v/>
      </c>
      <c r="W45" s="81" t="str">
        <f>IF(ENGLISH!L45="","",ENGLISH!L45)</f>
        <v/>
      </c>
      <c r="X45" s="73" t="str">
        <f t="shared" si="45"/>
        <v/>
      </c>
      <c r="Y45" s="73" t="str">
        <f t="shared" si="46"/>
        <v/>
      </c>
      <c r="Z45" s="73" t="str">
        <f t="shared" si="47"/>
        <v/>
      </c>
      <c r="AA45" s="73" t="str">
        <f>IF(ENGLISH!O45="","",ENGLISH!O45*40/ENGLISH!$O$6)</f>
        <v/>
      </c>
      <c r="AB45" s="73" t="str">
        <f t="shared" si="48"/>
        <v/>
      </c>
      <c r="AC45" s="73" t="str">
        <f t="shared" si="49"/>
        <v/>
      </c>
      <c r="AD45" s="74" t="str">
        <f>IF(MATHS!E45="","",MATHS!E45)</f>
        <v/>
      </c>
      <c r="AE45" s="643" t="str">
        <f t="shared" si="50"/>
        <v/>
      </c>
      <c r="AF45" s="74" t="str">
        <f>IF(MATHS!F45="","",MATHS!F45)</f>
        <v/>
      </c>
      <c r="AG45" s="643" t="str">
        <f t="shared" si="51"/>
        <v/>
      </c>
      <c r="AH45" s="74" t="str">
        <f>IF(MATHS!G45="","",MATHS!G45)</f>
        <v/>
      </c>
      <c r="AI45" s="643" t="str">
        <f t="shared" si="52"/>
        <v/>
      </c>
      <c r="AJ45" s="75" t="str">
        <f t="shared" si="53"/>
        <v/>
      </c>
      <c r="AK45" s="75" t="str">
        <f t="shared" si="54"/>
        <v/>
      </c>
      <c r="AL45" s="75" t="str">
        <f t="shared" si="55"/>
        <v/>
      </c>
      <c r="AM45" s="75" t="str">
        <f>IF(MATHS!H45="","",MATHS!H45)</f>
        <v/>
      </c>
      <c r="AN45" s="75" t="str">
        <f>IF(MATHS!I45="","",MATHS!I45)</f>
        <v/>
      </c>
      <c r="AO45" s="75" t="str">
        <f>IF(MATHS!J45="","",MATHS!J45)</f>
        <v/>
      </c>
      <c r="AP45" s="75" t="str">
        <f t="shared" si="56"/>
        <v/>
      </c>
      <c r="AQ45" s="75" t="str">
        <f t="shared" si="57"/>
        <v/>
      </c>
      <c r="AR45" s="75" t="str">
        <f>IF(MATHS!K45="","",CEILING(MATHS!K45*$AR$6/MATHS!$K$6,1))</f>
        <v/>
      </c>
      <c r="AS45" s="76" t="str">
        <f t="shared" si="58"/>
        <v/>
      </c>
      <c r="AT45" s="76" t="str">
        <f t="shared" si="59"/>
        <v/>
      </c>
      <c r="AU45" s="76" t="str">
        <f>IF(MATHS!O45="","",MATHS!O45*$AU$6/MATHS!$O$6)</f>
        <v/>
      </c>
      <c r="AV45" s="76" t="str">
        <f t="shared" si="60"/>
        <v/>
      </c>
      <c r="AW45" s="76" t="str">
        <f t="shared" si="61"/>
        <v/>
      </c>
      <c r="AX45" s="73" t="str">
        <f>IF(PHYSICS!E46="","",PHYSICS!E46)</f>
        <v/>
      </c>
      <c r="AY45" s="644" t="str">
        <f t="shared" si="62"/>
        <v/>
      </c>
      <c r="AZ45" s="73" t="str">
        <f>IF(PHYSICS!F46="","",PHYSICS!F46)</f>
        <v/>
      </c>
      <c r="BA45" s="73" t="str">
        <f>IF(PHYSICS!G46="","",PHYSICS!G46)</f>
        <v/>
      </c>
      <c r="BB45" s="73" t="str">
        <f t="shared" si="63"/>
        <v/>
      </c>
      <c r="BC45" s="73" t="str">
        <f t="shared" si="64"/>
        <v/>
      </c>
      <c r="BD45" s="73" t="str">
        <f>IF(PHYSICS!H46="","",PHYSICS!H46)</f>
        <v/>
      </c>
      <c r="BE45" s="645" t="str">
        <f t="shared" si="65"/>
        <v/>
      </c>
      <c r="BF45" s="73" t="str">
        <f>IF(PHYSICS!I46="","",PHYSICS!I46)</f>
        <v/>
      </c>
      <c r="BG45" s="73" t="str">
        <f>IF(PHYSICS!J46="","",PHYSICS!J46)</f>
        <v/>
      </c>
      <c r="BH45" s="73" t="str">
        <f t="shared" si="66"/>
        <v/>
      </c>
      <c r="BI45" s="73" t="str">
        <f t="shared" si="67"/>
        <v/>
      </c>
      <c r="BJ45" s="73" t="str">
        <f t="shared" si="68"/>
        <v/>
      </c>
      <c r="BK45" s="73" t="str">
        <f t="shared" si="69"/>
        <v/>
      </c>
      <c r="BL45" s="73" t="str">
        <f t="shared" si="70"/>
        <v/>
      </c>
      <c r="BM45" s="73" t="str">
        <f t="shared" si="71"/>
        <v/>
      </c>
      <c r="BN45" s="73" t="str">
        <f>IF(PHYSICS!M46="","",PHYSICS!M46*$BN$6/PHYSICS!$M$7)</f>
        <v/>
      </c>
      <c r="BO45" s="73" t="str">
        <f t="shared" si="72"/>
        <v/>
      </c>
      <c r="BP45" s="73" t="str">
        <f t="shared" si="73"/>
        <v/>
      </c>
      <c r="BQ45" s="48" t="str">
        <f>IF(CHEMISTRY!E46="","",CHEMISTRY!E46)</f>
        <v/>
      </c>
      <c r="BR45" s="646" t="str">
        <f t="shared" si="74"/>
        <v/>
      </c>
      <c r="BS45" s="48" t="str">
        <f>IF(CHEMISTRY!F46="","",CHEMISTRY!F46)</f>
        <v/>
      </c>
      <c r="BT45" s="48" t="str">
        <f>IF(CHEMISTRY!G46="","",CHEMISTRY!G46)</f>
        <v/>
      </c>
      <c r="BU45" s="48" t="str">
        <f t="shared" si="75"/>
        <v/>
      </c>
      <c r="BV45" s="48" t="str">
        <f t="shared" si="76"/>
        <v/>
      </c>
      <c r="BW45" s="48" t="str">
        <f>IF(CHEMISTRY!H46="","",CHEMISTRY!H46)</f>
        <v/>
      </c>
      <c r="BX45" s="646" t="str">
        <f t="shared" si="77"/>
        <v/>
      </c>
      <c r="BY45" s="48" t="str">
        <f>IF(CHEMISTRY!I46="","",CHEMISTRY!I46)</f>
        <v/>
      </c>
      <c r="BZ45" s="48" t="str">
        <f>IF(CHEMISTRY!J46="","",CHEMISTRY!J46)</f>
        <v/>
      </c>
      <c r="CA45" s="48" t="str">
        <f t="shared" si="78"/>
        <v/>
      </c>
      <c r="CB45" s="48" t="str">
        <f t="shared" si="79"/>
        <v/>
      </c>
      <c r="CC45" s="48" t="str">
        <f t="shared" si="80"/>
        <v/>
      </c>
      <c r="CD45" s="48" t="str">
        <f t="shared" si="81"/>
        <v/>
      </c>
      <c r="CE45" s="48" t="str">
        <f t="shared" si="82"/>
        <v/>
      </c>
      <c r="CF45" s="48" t="str">
        <f t="shared" si="83"/>
        <v/>
      </c>
      <c r="CG45" s="48" t="str">
        <f>IF(CHEMISTRY!M46="","",CHEMISTRY!M46*$CG$6/CHEMISTRY!$M$7)</f>
        <v/>
      </c>
      <c r="CH45" s="48" t="str">
        <f t="shared" si="84"/>
        <v/>
      </c>
      <c r="CI45" s="48" t="str">
        <f t="shared" si="85"/>
        <v/>
      </c>
      <c r="CJ45" s="73" t="str">
        <f>IF(BIOLOGY!E46="","",BIOLOGY!E46)</f>
        <v/>
      </c>
      <c r="CK45" s="73" t="str">
        <f t="shared" si="86"/>
        <v/>
      </c>
      <c r="CL45" s="73" t="str">
        <f>IF(BIOLOGY!F46="","",BIOLOGY!F46)</f>
        <v/>
      </c>
      <c r="CM45" s="73" t="str">
        <f>IF(BIOLOGY!G46="","",BIOLOGY!G46)</f>
        <v/>
      </c>
      <c r="CN45" s="73" t="str">
        <f t="shared" si="87"/>
        <v/>
      </c>
      <c r="CO45" s="73" t="str">
        <f t="shared" si="88"/>
        <v/>
      </c>
      <c r="CP45" s="73" t="str">
        <f>IF(BIOLOGY!H46="","",BIOLOGY!H46)</f>
        <v/>
      </c>
      <c r="CQ45" s="73" t="str">
        <f t="shared" si="89"/>
        <v/>
      </c>
      <c r="CR45" s="73" t="str">
        <f>IF(BIOLOGY!I46="","",BIOLOGY!I46)</f>
        <v/>
      </c>
      <c r="CS45" s="73" t="str">
        <f>IF(BIOLOGY!J46="","",BIOLOGY!J46)</f>
        <v/>
      </c>
      <c r="CT45" s="73" t="str">
        <f t="shared" si="90"/>
        <v/>
      </c>
      <c r="CU45" s="73" t="str">
        <f t="shared" si="91"/>
        <v/>
      </c>
      <c r="CV45" s="73" t="str">
        <f t="shared" si="92"/>
        <v/>
      </c>
      <c r="CW45" s="73" t="str">
        <f t="shared" si="93"/>
        <v/>
      </c>
      <c r="CX45" s="73" t="str">
        <f t="shared" si="94"/>
        <v/>
      </c>
      <c r="CY45" s="73" t="str">
        <f t="shared" si="95"/>
        <v/>
      </c>
      <c r="CZ45" s="73" t="str">
        <f>IF(BIOLOGY!M46="","",CEILING((BIOLOGY!M46*$CZ$6/BIOLOGY!$M$7),1))</f>
        <v/>
      </c>
      <c r="DA45" s="73" t="str">
        <f t="shared" si="96"/>
        <v/>
      </c>
      <c r="DB45" s="73" t="str">
        <f t="shared" si="97"/>
        <v/>
      </c>
      <c r="DC45" s="76" t="str">
        <f>IF('PHY EDU '!E46="","",'PHY EDU '!E46)</f>
        <v/>
      </c>
      <c r="DD45" s="647" t="str">
        <f t="shared" si="98"/>
        <v/>
      </c>
      <c r="DE45" s="76" t="str">
        <f>IF('PHY EDU '!F46="","",'PHY EDU '!F46)</f>
        <v/>
      </c>
      <c r="DF45" s="76" t="str">
        <f>IF('PHY EDU '!G46="","",'PHY EDU '!G46)</f>
        <v/>
      </c>
      <c r="DG45" s="76" t="str">
        <f t="shared" si="99"/>
        <v/>
      </c>
      <c r="DH45" s="76" t="str">
        <f t="shared" si="100"/>
        <v/>
      </c>
      <c r="DI45" s="76" t="str">
        <f>IF('PHY EDU '!H46="","",'PHY EDU '!H46)</f>
        <v/>
      </c>
      <c r="DJ45" s="647" t="str">
        <f t="shared" si="101"/>
        <v/>
      </c>
      <c r="DK45" s="76" t="str">
        <f>IF('PHY EDU '!I46="","",'PHY EDU '!I46)</f>
        <v/>
      </c>
      <c r="DL45" s="76" t="str">
        <f>IF('PHY EDU '!J46="","",'PHY EDU '!J46)</f>
        <v/>
      </c>
      <c r="DM45" s="76" t="str">
        <f t="shared" si="102"/>
        <v/>
      </c>
      <c r="DN45" s="76" t="str">
        <f t="shared" si="103"/>
        <v/>
      </c>
      <c r="DO45" s="76" t="str">
        <f t="shared" si="104"/>
        <v/>
      </c>
      <c r="DP45" s="76" t="str">
        <f t="shared" si="105"/>
        <v/>
      </c>
      <c r="DQ45" s="76" t="str">
        <f t="shared" si="106"/>
        <v/>
      </c>
      <c r="DR45" s="76" t="str">
        <f t="shared" si="107"/>
        <v/>
      </c>
      <c r="DS45" s="76" t="str">
        <f>IF('PHY EDU '!M46="","",ROUNDUP('PHY EDU '!M46*$DS$6/'PHY EDU '!$M$7,0))</f>
        <v/>
      </c>
      <c r="DT45" s="76" t="str">
        <f t="shared" si="108"/>
        <v/>
      </c>
      <c r="DU45" s="76" t="str">
        <f t="shared" si="109"/>
        <v/>
      </c>
      <c r="DV45" s="72" t="str">
        <f t="shared" si="132"/>
        <v/>
      </c>
      <c r="DW45" s="72" t="str">
        <f t="shared" si="133"/>
        <v/>
      </c>
      <c r="DX45" s="72" t="str">
        <f t="shared" si="134"/>
        <v/>
      </c>
      <c r="DY45" s="72" t="str">
        <f t="shared" si="135"/>
        <v/>
      </c>
      <c r="DZ45" s="72" t="str">
        <f t="shared" si="136"/>
        <v/>
      </c>
      <c r="EA45" s="72" t="str">
        <f t="shared" si="137"/>
        <v/>
      </c>
      <c r="EB45" s="76" t="str">
        <f t="shared" si="138"/>
        <v/>
      </c>
      <c r="EC45" s="76" t="str">
        <f t="shared" si="139"/>
        <v/>
      </c>
      <c r="ED45" s="76" t="str">
        <f t="shared" si="140"/>
        <v/>
      </c>
      <c r="EE45" s="76" t="str">
        <f t="shared" si="141"/>
        <v/>
      </c>
      <c r="EF45" s="76" t="str">
        <f t="shared" si="142"/>
        <v/>
      </c>
      <c r="EG45" s="76" t="str">
        <f t="shared" si="143"/>
        <v/>
      </c>
      <c r="EH45" s="77" t="str">
        <f t="shared" si="144"/>
        <v/>
      </c>
      <c r="EI45" s="495" t="str">
        <f t="shared" si="145"/>
        <v/>
      </c>
      <c r="EJ45" s="86" t="str">
        <f t="shared" si="146"/>
        <v/>
      </c>
      <c r="EK45" s="78" t="str">
        <f t="shared" si="147"/>
        <v/>
      </c>
      <c r="EL45" s="79" t="str">
        <f t="shared" si="148"/>
        <v/>
      </c>
      <c r="EM45" s="139" t="str">
        <f t="shared" si="149"/>
        <v/>
      </c>
      <c r="EN45" s="77" t="str">
        <f t="shared" si="150"/>
        <v/>
      </c>
      <c r="EO45" s="77" t="str">
        <f>IF(EN45="","",ATTENDANCE!Q46&amp;"/"&amp;ATTENDANCE!$Q$7)</f>
        <v/>
      </c>
      <c r="EP45" s="80" t="str">
        <f t="shared" si="151"/>
        <v/>
      </c>
      <c r="EQ45" s="80" t="str">
        <f t="shared" si="152"/>
        <v/>
      </c>
      <c r="ER45" s="80" t="str">
        <f t="shared" si="153"/>
        <v/>
      </c>
      <c r="ES45" s="80" t="str">
        <f t="shared" si="154"/>
        <v/>
      </c>
      <c r="ET45" s="80" t="str">
        <f t="shared" si="155"/>
        <v/>
      </c>
      <c r="EU45" s="80" t="str">
        <f t="shared" si="156"/>
        <v/>
      </c>
      <c r="EV45" s="492" t="str">
        <f t="shared" si="157"/>
        <v/>
      </c>
      <c r="EW45" s="129" t="str">
        <f t="shared" si="158"/>
        <v/>
      </c>
      <c r="EX45" s="129" t="str">
        <f t="shared" si="159"/>
        <v/>
      </c>
      <c r="EY45" s="129" t="str">
        <f t="shared" si="160"/>
        <v/>
      </c>
      <c r="EZ45" s="129" t="str">
        <f t="shared" si="161"/>
        <v/>
      </c>
      <c r="FA45" s="129" t="str">
        <f t="shared" si="162"/>
        <v/>
      </c>
      <c r="FB45" s="129" t="str">
        <f t="shared" si="163"/>
        <v/>
      </c>
      <c r="FC45" s="80" t="str">
        <f t="shared" si="164"/>
        <v/>
      </c>
      <c r="FD45" s="80" t="str">
        <f t="shared" si="165"/>
        <v/>
      </c>
      <c r="FE45" s="80" t="str">
        <f t="shared" si="166"/>
        <v/>
      </c>
      <c r="FF45" s="488" t="str">
        <f t="shared" si="167"/>
        <v/>
      </c>
      <c r="FG45" s="80" t="str">
        <f t="shared" si="168"/>
        <v/>
      </c>
      <c r="FH45" s="80" t="str">
        <f t="shared" si="169"/>
        <v/>
      </c>
      <c r="FI45" s="496" t="str">
        <f t="shared" si="170"/>
        <v/>
      </c>
      <c r="FJ45" s="140" t="str">
        <f t="shared" si="171"/>
        <v/>
      </c>
      <c r="FK45" s="492" t="str">
        <f t="shared" si="172"/>
        <v/>
      </c>
      <c r="FL45" s="490" t="str">
        <f t="shared" si="173"/>
        <v/>
      </c>
      <c r="FM45" s="74" t="str">
        <f t="shared" si="174"/>
        <v/>
      </c>
    </row>
    <row r="46" spans="1:169" ht="16.8" x14ac:dyDescent="0.3">
      <c r="A46" s="6"/>
      <c r="B46" s="25">
        <f>DATA!B44</f>
        <v>0</v>
      </c>
      <c r="C46" s="25" t="str">
        <f>IF(DATA!C44="","",DATA!C44)</f>
        <v/>
      </c>
      <c r="D46" s="25" t="str">
        <f>IF(DATA!D44="","",DATA!D44)</f>
        <v/>
      </c>
      <c r="E46" s="738" t="str">
        <f>IF(DATA!E44="","",DATA!E44)</f>
        <v/>
      </c>
      <c r="F46" s="738" t="str">
        <f>IF(DATA!F44="","",DATA!F44)</f>
        <v/>
      </c>
      <c r="G46" s="738" t="str">
        <f>IF(DATA!G44="","",DATA!G44)</f>
        <v/>
      </c>
      <c r="H46" s="214" t="str">
        <f>IF(DATA!H44="","",DATA!H44)</f>
        <v/>
      </c>
      <c r="I46" s="214" t="str">
        <f>IF(DATA!I44="","",DATA!I44)</f>
        <v/>
      </c>
      <c r="J46" s="214" t="str">
        <f>IF(DATA!J44="","",DATA!J44)</f>
        <v/>
      </c>
      <c r="K46" s="214" t="str">
        <f>IF(DATA!K44="","",DATA!K44)</f>
        <v/>
      </c>
      <c r="L46" s="73" t="str">
        <f>IF(ENGLISH!E46="","",ENGLISH!E46)</f>
        <v/>
      </c>
      <c r="M46" s="73" t="str">
        <f t="shared" si="41"/>
        <v/>
      </c>
      <c r="N46" s="73" t="str">
        <f>IF(ENGLISH!F46="","",ENGLISH!F46)</f>
        <v/>
      </c>
      <c r="O46" s="73" t="str">
        <f t="shared" si="42"/>
        <v/>
      </c>
      <c r="P46" s="73" t="str">
        <f>IF(ENGLISH!G46="","",ENGLISH!G46)</f>
        <v/>
      </c>
      <c r="Q46" s="73" t="str">
        <f t="shared" si="43"/>
        <v/>
      </c>
      <c r="R46" s="73" t="str">
        <f>IF(ENGLISH!H46="","",ENGLISH!H46)</f>
        <v/>
      </c>
      <c r="S46" s="73" t="str">
        <f>IF(ENGLISH!I46="","",ENGLISH!I46)</f>
        <v/>
      </c>
      <c r="T46" s="73" t="str">
        <f>IF(ENGLISH!J46="","",ENGLISH!J46)</f>
        <v/>
      </c>
      <c r="U46" s="73" t="str">
        <f>IF(ENGLISH!K46="","",ENGLISH!K46)</f>
        <v/>
      </c>
      <c r="V46" s="73" t="str">
        <f t="shared" si="44"/>
        <v/>
      </c>
      <c r="W46" s="81" t="str">
        <f>IF(ENGLISH!L46="","",ENGLISH!L46)</f>
        <v/>
      </c>
      <c r="X46" s="73" t="str">
        <f t="shared" si="45"/>
        <v/>
      </c>
      <c r="Y46" s="73" t="str">
        <f t="shared" si="46"/>
        <v/>
      </c>
      <c r="Z46" s="73" t="str">
        <f t="shared" si="47"/>
        <v/>
      </c>
      <c r="AA46" s="73" t="str">
        <f>IF(ENGLISH!O46="","",ENGLISH!O46*40/ENGLISH!$O$6)</f>
        <v/>
      </c>
      <c r="AB46" s="73" t="str">
        <f t="shared" si="48"/>
        <v/>
      </c>
      <c r="AC46" s="73" t="str">
        <f t="shared" si="49"/>
        <v/>
      </c>
      <c r="AD46" s="74" t="str">
        <f>IF(MATHS!E46="","",MATHS!E46)</f>
        <v/>
      </c>
      <c r="AE46" s="643" t="str">
        <f t="shared" si="50"/>
        <v/>
      </c>
      <c r="AF46" s="74" t="str">
        <f>IF(MATHS!F46="","",MATHS!F46)</f>
        <v/>
      </c>
      <c r="AG46" s="643" t="str">
        <f t="shared" si="51"/>
        <v/>
      </c>
      <c r="AH46" s="74" t="str">
        <f>IF(MATHS!G46="","",MATHS!G46)</f>
        <v/>
      </c>
      <c r="AI46" s="643" t="str">
        <f t="shared" si="52"/>
        <v/>
      </c>
      <c r="AJ46" s="75" t="str">
        <f t="shared" si="53"/>
        <v/>
      </c>
      <c r="AK46" s="75" t="str">
        <f t="shared" si="54"/>
        <v/>
      </c>
      <c r="AL46" s="75" t="str">
        <f t="shared" si="55"/>
        <v/>
      </c>
      <c r="AM46" s="75" t="str">
        <f>IF(MATHS!H46="","",MATHS!H46)</f>
        <v/>
      </c>
      <c r="AN46" s="75" t="str">
        <f>IF(MATHS!I46="","",MATHS!I46)</f>
        <v/>
      </c>
      <c r="AO46" s="75" t="str">
        <f>IF(MATHS!J46="","",MATHS!J46)</f>
        <v/>
      </c>
      <c r="AP46" s="75" t="str">
        <f t="shared" si="56"/>
        <v/>
      </c>
      <c r="AQ46" s="75" t="str">
        <f t="shared" si="57"/>
        <v/>
      </c>
      <c r="AR46" s="75" t="str">
        <f>IF(MATHS!K46="","",CEILING(MATHS!K46*$AR$6/MATHS!$K$6,1))</f>
        <v/>
      </c>
      <c r="AS46" s="76" t="str">
        <f t="shared" si="58"/>
        <v/>
      </c>
      <c r="AT46" s="76" t="str">
        <f t="shared" si="59"/>
        <v/>
      </c>
      <c r="AU46" s="76" t="str">
        <f>IF(MATHS!O46="","",MATHS!O46*$AU$6/MATHS!$O$6)</f>
        <v/>
      </c>
      <c r="AV46" s="76" t="str">
        <f t="shared" si="60"/>
        <v/>
      </c>
      <c r="AW46" s="76" t="str">
        <f t="shared" si="61"/>
        <v/>
      </c>
      <c r="AX46" s="73" t="str">
        <f>IF(PHYSICS!E47="","",PHYSICS!E47)</f>
        <v/>
      </c>
      <c r="AY46" s="644" t="str">
        <f t="shared" si="62"/>
        <v/>
      </c>
      <c r="AZ46" s="73" t="str">
        <f>IF(PHYSICS!F47="","",PHYSICS!F47)</f>
        <v/>
      </c>
      <c r="BA46" s="73" t="str">
        <f>IF(PHYSICS!G47="","",PHYSICS!G47)</f>
        <v/>
      </c>
      <c r="BB46" s="73" t="str">
        <f t="shared" si="63"/>
        <v/>
      </c>
      <c r="BC46" s="73" t="str">
        <f t="shared" si="64"/>
        <v/>
      </c>
      <c r="BD46" s="73" t="str">
        <f>IF(PHYSICS!H47="","",PHYSICS!H47)</f>
        <v/>
      </c>
      <c r="BE46" s="645" t="str">
        <f t="shared" si="65"/>
        <v/>
      </c>
      <c r="BF46" s="73" t="str">
        <f>IF(PHYSICS!I47="","",PHYSICS!I47)</f>
        <v/>
      </c>
      <c r="BG46" s="73" t="str">
        <f>IF(PHYSICS!J47="","",PHYSICS!J47)</f>
        <v/>
      </c>
      <c r="BH46" s="73" t="str">
        <f t="shared" si="66"/>
        <v/>
      </c>
      <c r="BI46" s="73" t="str">
        <f t="shared" si="67"/>
        <v/>
      </c>
      <c r="BJ46" s="73" t="str">
        <f t="shared" si="68"/>
        <v/>
      </c>
      <c r="BK46" s="73" t="str">
        <f t="shared" si="69"/>
        <v/>
      </c>
      <c r="BL46" s="73" t="str">
        <f t="shared" si="70"/>
        <v/>
      </c>
      <c r="BM46" s="73" t="str">
        <f t="shared" si="71"/>
        <v/>
      </c>
      <c r="BN46" s="73" t="str">
        <f>IF(PHYSICS!M47="","",PHYSICS!M47*$BN$6/PHYSICS!$M$7)</f>
        <v/>
      </c>
      <c r="BO46" s="73" t="str">
        <f t="shared" si="72"/>
        <v/>
      </c>
      <c r="BP46" s="73" t="str">
        <f t="shared" si="73"/>
        <v/>
      </c>
      <c r="BQ46" s="48" t="str">
        <f>IF(CHEMISTRY!E47="","",CHEMISTRY!E47)</f>
        <v/>
      </c>
      <c r="BR46" s="646" t="str">
        <f t="shared" si="74"/>
        <v/>
      </c>
      <c r="BS46" s="48" t="str">
        <f>IF(CHEMISTRY!F47="","",CHEMISTRY!F47)</f>
        <v/>
      </c>
      <c r="BT46" s="48" t="str">
        <f>IF(CHEMISTRY!G47="","",CHEMISTRY!G47)</f>
        <v/>
      </c>
      <c r="BU46" s="48" t="str">
        <f t="shared" si="75"/>
        <v/>
      </c>
      <c r="BV46" s="48" t="str">
        <f t="shared" si="76"/>
        <v/>
      </c>
      <c r="BW46" s="48" t="str">
        <f>IF(CHEMISTRY!H47="","",CHEMISTRY!H47)</f>
        <v/>
      </c>
      <c r="BX46" s="646" t="str">
        <f t="shared" si="77"/>
        <v/>
      </c>
      <c r="BY46" s="48" t="str">
        <f>IF(CHEMISTRY!I47="","",CHEMISTRY!I47)</f>
        <v/>
      </c>
      <c r="BZ46" s="48" t="str">
        <f>IF(CHEMISTRY!J47="","",CHEMISTRY!J47)</f>
        <v/>
      </c>
      <c r="CA46" s="48" t="str">
        <f t="shared" si="78"/>
        <v/>
      </c>
      <c r="CB46" s="48" t="str">
        <f t="shared" si="79"/>
        <v/>
      </c>
      <c r="CC46" s="48" t="str">
        <f t="shared" si="80"/>
        <v/>
      </c>
      <c r="CD46" s="48" t="str">
        <f t="shared" si="81"/>
        <v/>
      </c>
      <c r="CE46" s="48" t="str">
        <f t="shared" si="82"/>
        <v/>
      </c>
      <c r="CF46" s="48" t="str">
        <f t="shared" si="83"/>
        <v/>
      </c>
      <c r="CG46" s="48" t="str">
        <f>IF(CHEMISTRY!M47="","",CHEMISTRY!M47*$CG$6/CHEMISTRY!$M$7)</f>
        <v/>
      </c>
      <c r="CH46" s="48" t="str">
        <f t="shared" si="84"/>
        <v/>
      </c>
      <c r="CI46" s="48" t="str">
        <f t="shared" si="85"/>
        <v/>
      </c>
      <c r="CJ46" s="73" t="str">
        <f>IF(BIOLOGY!E47="","",BIOLOGY!E47)</f>
        <v/>
      </c>
      <c r="CK46" s="73" t="str">
        <f t="shared" si="86"/>
        <v/>
      </c>
      <c r="CL46" s="73" t="str">
        <f>IF(BIOLOGY!F47="","",BIOLOGY!F47)</f>
        <v/>
      </c>
      <c r="CM46" s="73" t="str">
        <f>IF(BIOLOGY!G47="","",BIOLOGY!G47)</f>
        <v/>
      </c>
      <c r="CN46" s="73" t="str">
        <f t="shared" si="87"/>
        <v/>
      </c>
      <c r="CO46" s="73" t="str">
        <f t="shared" si="88"/>
        <v/>
      </c>
      <c r="CP46" s="73" t="str">
        <f>IF(BIOLOGY!H47="","",BIOLOGY!H47)</f>
        <v/>
      </c>
      <c r="CQ46" s="73" t="str">
        <f t="shared" si="89"/>
        <v/>
      </c>
      <c r="CR46" s="73" t="str">
        <f>IF(BIOLOGY!I47="","",BIOLOGY!I47)</f>
        <v/>
      </c>
      <c r="CS46" s="73" t="str">
        <f>IF(BIOLOGY!J47="","",BIOLOGY!J47)</f>
        <v/>
      </c>
      <c r="CT46" s="73" t="str">
        <f t="shared" si="90"/>
        <v/>
      </c>
      <c r="CU46" s="73" t="str">
        <f t="shared" si="91"/>
        <v/>
      </c>
      <c r="CV46" s="73" t="str">
        <f t="shared" si="92"/>
        <v/>
      </c>
      <c r="CW46" s="73" t="str">
        <f t="shared" si="93"/>
        <v/>
      </c>
      <c r="CX46" s="73" t="str">
        <f t="shared" si="94"/>
        <v/>
      </c>
      <c r="CY46" s="73" t="str">
        <f t="shared" si="95"/>
        <v/>
      </c>
      <c r="CZ46" s="73" t="str">
        <f>IF(BIOLOGY!M47="","",CEILING((BIOLOGY!M47*$CZ$6/BIOLOGY!$M$7),1))</f>
        <v/>
      </c>
      <c r="DA46" s="73" t="str">
        <f t="shared" si="96"/>
        <v/>
      </c>
      <c r="DB46" s="73" t="str">
        <f t="shared" si="97"/>
        <v/>
      </c>
      <c r="DC46" s="76" t="str">
        <f>IF('PHY EDU '!E47="","",'PHY EDU '!E47)</f>
        <v/>
      </c>
      <c r="DD46" s="647" t="str">
        <f t="shared" si="98"/>
        <v/>
      </c>
      <c r="DE46" s="76" t="str">
        <f>IF('PHY EDU '!F47="","",'PHY EDU '!F47)</f>
        <v/>
      </c>
      <c r="DF46" s="76" t="str">
        <f>IF('PHY EDU '!G47="","",'PHY EDU '!G47)</f>
        <v/>
      </c>
      <c r="DG46" s="76" t="str">
        <f t="shared" si="99"/>
        <v/>
      </c>
      <c r="DH46" s="76" t="str">
        <f t="shared" si="100"/>
        <v/>
      </c>
      <c r="DI46" s="76" t="str">
        <f>IF('PHY EDU '!H47="","",'PHY EDU '!H47)</f>
        <v/>
      </c>
      <c r="DJ46" s="647" t="str">
        <f t="shared" si="101"/>
        <v/>
      </c>
      <c r="DK46" s="76" t="str">
        <f>IF('PHY EDU '!I47="","",'PHY EDU '!I47)</f>
        <v/>
      </c>
      <c r="DL46" s="76" t="str">
        <f>IF('PHY EDU '!J47="","",'PHY EDU '!J47)</f>
        <v/>
      </c>
      <c r="DM46" s="76" t="str">
        <f t="shared" si="102"/>
        <v/>
      </c>
      <c r="DN46" s="76" t="str">
        <f t="shared" si="103"/>
        <v/>
      </c>
      <c r="DO46" s="76" t="str">
        <f t="shared" si="104"/>
        <v/>
      </c>
      <c r="DP46" s="76" t="str">
        <f t="shared" si="105"/>
        <v/>
      </c>
      <c r="DQ46" s="76" t="str">
        <f t="shared" si="106"/>
        <v/>
      </c>
      <c r="DR46" s="76" t="str">
        <f t="shared" si="107"/>
        <v/>
      </c>
      <c r="DS46" s="76" t="str">
        <f>IF('PHY EDU '!M47="","",ROUNDUP('PHY EDU '!M47*$DS$6/'PHY EDU '!$M$7,0))</f>
        <v/>
      </c>
      <c r="DT46" s="76" t="str">
        <f t="shared" si="108"/>
        <v/>
      </c>
      <c r="DU46" s="76" t="str">
        <f t="shared" si="109"/>
        <v/>
      </c>
      <c r="DV46" s="72" t="str">
        <f t="shared" si="132"/>
        <v/>
      </c>
      <c r="DW46" s="72" t="str">
        <f t="shared" si="133"/>
        <v/>
      </c>
      <c r="DX46" s="72" t="str">
        <f t="shared" si="134"/>
        <v/>
      </c>
      <c r="DY46" s="72" t="str">
        <f t="shared" si="135"/>
        <v/>
      </c>
      <c r="DZ46" s="72" t="str">
        <f t="shared" si="136"/>
        <v/>
      </c>
      <c r="EA46" s="72" t="str">
        <f t="shared" si="137"/>
        <v/>
      </c>
      <c r="EB46" s="76" t="str">
        <f t="shared" si="138"/>
        <v/>
      </c>
      <c r="EC46" s="76" t="str">
        <f t="shared" si="139"/>
        <v/>
      </c>
      <c r="ED46" s="76" t="str">
        <f t="shared" si="140"/>
        <v/>
      </c>
      <c r="EE46" s="76" t="str">
        <f t="shared" si="141"/>
        <v/>
      </c>
      <c r="EF46" s="76" t="str">
        <f t="shared" si="142"/>
        <v/>
      </c>
      <c r="EG46" s="76" t="str">
        <f t="shared" si="143"/>
        <v/>
      </c>
      <c r="EH46" s="77" t="str">
        <f t="shared" si="144"/>
        <v/>
      </c>
      <c r="EI46" s="495" t="str">
        <f t="shared" si="145"/>
        <v/>
      </c>
      <c r="EJ46" s="86" t="str">
        <f t="shared" si="146"/>
        <v/>
      </c>
      <c r="EK46" s="78" t="str">
        <f t="shared" si="147"/>
        <v/>
      </c>
      <c r="EL46" s="79" t="str">
        <f t="shared" si="148"/>
        <v/>
      </c>
      <c r="EM46" s="139" t="str">
        <f t="shared" si="149"/>
        <v/>
      </c>
      <c r="EN46" s="77" t="str">
        <f t="shared" si="150"/>
        <v/>
      </c>
      <c r="EO46" s="77" t="str">
        <f>IF(EN46="","",ATTENDANCE!Q47&amp;"/"&amp;ATTENDANCE!$Q$7)</f>
        <v/>
      </c>
      <c r="EP46" s="80" t="str">
        <f t="shared" si="151"/>
        <v/>
      </c>
      <c r="EQ46" s="80" t="str">
        <f t="shared" si="152"/>
        <v/>
      </c>
      <c r="ER46" s="80" t="str">
        <f t="shared" si="153"/>
        <v/>
      </c>
      <c r="ES46" s="80" t="str">
        <f t="shared" si="154"/>
        <v/>
      </c>
      <c r="ET46" s="80" t="str">
        <f t="shared" si="155"/>
        <v/>
      </c>
      <c r="EU46" s="80" t="str">
        <f t="shared" si="156"/>
        <v/>
      </c>
      <c r="EV46" s="492" t="str">
        <f t="shared" si="157"/>
        <v/>
      </c>
      <c r="EW46" s="129" t="str">
        <f t="shared" si="158"/>
        <v/>
      </c>
      <c r="EX46" s="129" t="str">
        <f t="shared" si="159"/>
        <v/>
      </c>
      <c r="EY46" s="129" t="str">
        <f t="shared" si="160"/>
        <v/>
      </c>
      <c r="EZ46" s="129" t="str">
        <f t="shared" si="161"/>
        <v/>
      </c>
      <c r="FA46" s="129" t="str">
        <f t="shared" si="162"/>
        <v/>
      </c>
      <c r="FB46" s="129" t="str">
        <f t="shared" si="163"/>
        <v/>
      </c>
      <c r="FC46" s="80" t="str">
        <f t="shared" si="164"/>
        <v/>
      </c>
      <c r="FD46" s="80" t="str">
        <f t="shared" si="165"/>
        <v/>
      </c>
      <c r="FE46" s="80" t="str">
        <f t="shared" si="166"/>
        <v/>
      </c>
      <c r="FF46" s="488" t="str">
        <f t="shared" si="167"/>
        <v/>
      </c>
      <c r="FG46" s="80" t="str">
        <f t="shared" si="168"/>
        <v/>
      </c>
      <c r="FH46" s="80" t="str">
        <f t="shared" si="169"/>
        <v/>
      </c>
      <c r="FI46" s="496" t="str">
        <f t="shared" si="170"/>
        <v/>
      </c>
      <c r="FJ46" s="140" t="str">
        <f t="shared" si="171"/>
        <v/>
      </c>
      <c r="FK46" s="492" t="str">
        <f t="shared" si="172"/>
        <v/>
      </c>
      <c r="FL46" s="490" t="str">
        <f t="shared" si="173"/>
        <v/>
      </c>
      <c r="FM46" s="74" t="str">
        <f t="shared" si="174"/>
        <v/>
      </c>
    </row>
    <row r="47" spans="1:169" ht="16.8" x14ac:dyDescent="0.3">
      <c r="A47" s="6"/>
      <c r="B47" s="25">
        <f>DATA!B45</f>
        <v>0</v>
      </c>
      <c r="C47" s="25" t="str">
        <f>IF(DATA!C45="","",DATA!C45)</f>
        <v/>
      </c>
      <c r="D47" s="25" t="str">
        <f>IF(DATA!D45="","",DATA!D45)</f>
        <v/>
      </c>
      <c r="E47" s="738" t="str">
        <f>IF(DATA!E45="","",DATA!E45)</f>
        <v/>
      </c>
      <c r="F47" s="738" t="str">
        <f>IF(DATA!F45="","",DATA!F45)</f>
        <v/>
      </c>
      <c r="G47" s="738" t="str">
        <f>IF(DATA!G45="","",DATA!G45)</f>
        <v/>
      </c>
      <c r="H47" s="214" t="str">
        <f>IF(DATA!H45="","",DATA!H45)</f>
        <v/>
      </c>
      <c r="I47" s="214" t="str">
        <f>IF(DATA!I45="","",DATA!I45)</f>
        <v/>
      </c>
      <c r="J47" s="214" t="str">
        <f>IF(DATA!J45="","",DATA!J45)</f>
        <v/>
      </c>
      <c r="K47" s="214" t="str">
        <f>IF(DATA!K45="","",DATA!K45)</f>
        <v/>
      </c>
      <c r="L47" s="73" t="str">
        <f>IF(ENGLISH!E47="","",ENGLISH!E47)</f>
        <v/>
      </c>
      <c r="M47" s="73" t="str">
        <f t="shared" si="41"/>
        <v/>
      </c>
      <c r="N47" s="73" t="str">
        <f>IF(ENGLISH!F47="","",ENGLISH!F47)</f>
        <v/>
      </c>
      <c r="O47" s="73" t="str">
        <f t="shared" si="42"/>
        <v/>
      </c>
      <c r="P47" s="73" t="str">
        <f>IF(ENGLISH!G47="","",ENGLISH!G47)</f>
        <v/>
      </c>
      <c r="Q47" s="73" t="str">
        <f t="shared" si="43"/>
        <v/>
      </c>
      <c r="R47" s="73" t="str">
        <f>IF(ENGLISH!H47="","",ENGLISH!H47)</f>
        <v/>
      </c>
      <c r="S47" s="73" t="str">
        <f>IF(ENGLISH!I47="","",ENGLISH!I47)</f>
        <v/>
      </c>
      <c r="T47" s="73" t="str">
        <f>IF(ENGLISH!J47="","",ENGLISH!J47)</f>
        <v/>
      </c>
      <c r="U47" s="73" t="str">
        <f>IF(ENGLISH!K47="","",ENGLISH!K47)</f>
        <v/>
      </c>
      <c r="V47" s="73" t="str">
        <f t="shared" si="44"/>
        <v/>
      </c>
      <c r="W47" s="81" t="str">
        <f>IF(ENGLISH!L47="","",ENGLISH!L47)</f>
        <v/>
      </c>
      <c r="X47" s="73" t="str">
        <f t="shared" si="45"/>
        <v/>
      </c>
      <c r="Y47" s="73" t="str">
        <f t="shared" si="46"/>
        <v/>
      </c>
      <c r="Z47" s="73" t="str">
        <f t="shared" si="47"/>
        <v/>
      </c>
      <c r="AA47" s="73" t="str">
        <f>IF(ENGLISH!O47="","",ENGLISH!O47*40/ENGLISH!$O$6)</f>
        <v/>
      </c>
      <c r="AB47" s="73" t="str">
        <f t="shared" si="48"/>
        <v/>
      </c>
      <c r="AC47" s="73" t="str">
        <f t="shared" si="49"/>
        <v/>
      </c>
      <c r="AD47" s="74" t="str">
        <f>IF(MATHS!E47="","",MATHS!E47)</f>
        <v/>
      </c>
      <c r="AE47" s="643" t="str">
        <f t="shared" si="50"/>
        <v/>
      </c>
      <c r="AF47" s="74" t="str">
        <f>IF(MATHS!F47="","",MATHS!F47)</f>
        <v/>
      </c>
      <c r="AG47" s="643" t="str">
        <f t="shared" si="51"/>
        <v/>
      </c>
      <c r="AH47" s="74" t="str">
        <f>IF(MATHS!G47="","",MATHS!G47)</f>
        <v/>
      </c>
      <c r="AI47" s="643" t="str">
        <f t="shared" si="52"/>
        <v/>
      </c>
      <c r="AJ47" s="75" t="str">
        <f t="shared" si="53"/>
        <v/>
      </c>
      <c r="AK47" s="75" t="str">
        <f t="shared" si="54"/>
        <v/>
      </c>
      <c r="AL47" s="75" t="str">
        <f t="shared" si="55"/>
        <v/>
      </c>
      <c r="AM47" s="75" t="str">
        <f>IF(MATHS!H47="","",MATHS!H47)</f>
        <v/>
      </c>
      <c r="AN47" s="75" t="str">
        <f>IF(MATHS!I47="","",MATHS!I47)</f>
        <v/>
      </c>
      <c r="AO47" s="75" t="str">
        <f>IF(MATHS!J47="","",MATHS!J47)</f>
        <v/>
      </c>
      <c r="AP47" s="75" t="str">
        <f t="shared" si="56"/>
        <v/>
      </c>
      <c r="AQ47" s="75" t="str">
        <f t="shared" si="57"/>
        <v/>
      </c>
      <c r="AR47" s="75" t="str">
        <f>IF(MATHS!K47="","",CEILING(MATHS!K47*$AR$6/MATHS!$K$6,1))</f>
        <v/>
      </c>
      <c r="AS47" s="76" t="str">
        <f t="shared" si="58"/>
        <v/>
      </c>
      <c r="AT47" s="76" t="str">
        <f t="shared" si="59"/>
        <v/>
      </c>
      <c r="AU47" s="76" t="str">
        <f>IF(MATHS!O47="","",MATHS!O47*$AU$6/MATHS!$O$6)</f>
        <v/>
      </c>
      <c r="AV47" s="76" t="str">
        <f t="shared" si="60"/>
        <v/>
      </c>
      <c r="AW47" s="76" t="str">
        <f t="shared" si="61"/>
        <v/>
      </c>
      <c r="AX47" s="73" t="str">
        <f>IF(PHYSICS!E48="","",PHYSICS!E48)</f>
        <v/>
      </c>
      <c r="AY47" s="644" t="str">
        <f t="shared" si="62"/>
        <v/>
      </c>
      <c r="AZ47" s="73" t="str">
        <f>IF(PHYSICS!F48="","",PHYSICS!F48)</f>
        <v/>
      </c>
      <c r="BA47" s="73" t="str">
        <f>IF(PHYSICS!G48="","",PHYSICS!G48)</f>
        <v/>
      </c>
      <c r="BB47" s="73" t="str">
        <f t="shared" si="63"/>
        <v/>
      </c>
      <c r="BC47" s="73" t="str">
        <f t="shared" si="64"/>
        <v/>
      </c>
      <c r="BD47" s="73" t="str">
        <f>IF(PHYSICS!H48="","",PHYSICS!H48)</f>
        <v/>
      </c>
      <c r="BE47" s="645" t="str">
        <f t="shared" si="65"/>
        <v/>
      </c>
      <c r="BF47" s="73" t="str">
        <f>IF(PHYSICS!I48="","",PHYSICS!I48)</f>
        <v/>
      </c>
      <c r="BG47" s="73" t="str">
        <f>IF(PHYSICS!J48="","",PHYSICS!J48)</f>
        <v/>
      </c>
      <c r="BH47" s="73" t="str">
        <f t="shared" si="66"/>
        <v/>
      </c>
      <c r="BI47" s="73" t="str">
        <f t="shared" si="67"/>
        <v/>
      </c>
      <c r="BJ47" s="73" t="str">
        <f t="shared" si="68"/>
        <v/>
      </c>
      <c r="BK47" s="73" t="str">
        <f t="shared" si="69"/>
        <v/>
      </c>
      <c r="BL47" s="73" t="str">
        <f t="shared" si="70"/>
        <v/>
      </c>
      <c r="BM47" s="73" t="str">
        <f t="shared" si="71"/>
        <v/>
      </c>
      <c r="BN47" s="73" t="str">
        <f>IF(PHYSICS!M48="","",PHYSICS!M48*$BN$6/PHYSICS!$M$7)</f>
        <v/>
      </c>
      <c r="BO47" s="73" t="str">
        <f t="shared" si="72"/>
        <v/>
      </c>
      <c r="BP47" s="73" t="str">
        <f t="shared" si="73"/>
        <v/>
      </c>
      <c r="BQ47" s="48" t="str">
        <f>IF(CHEMISTRY!E48="","",CHEMISTRY!E48)</f>
        <v/>
      </c>
      <c r="BR47" s="646" t="str">
        <f t="shared" si="74"/>
        <v/>
      </c>
      <c r="BS47" s="48" t="str">
        <f>IF(CHEMISTRY!F48="","",CHEMISTRY!F48)</f>
        <v/>
      </c>
      <c r="BT47" s="48" t="str">
        <f>IF(CHEMISTRY!G48="","",CHEMISTRY!G48)</f>
        <v/>
      </c>
      <c r="BU47" s="48" t="str">
        <f t="shared" si="75"/>
        <v/>
      </c>
      <c r="BV47" s="48" t="str">
        <f t="shared" si="76"/>
        <v/>
      </c>
      <c r="BW47" s="48" t="str">
        <f>IF(CHEMISTRY!H48="","",CHEMISTRY!H48)</f>
        <v/>
      </c>
      <c r="BX47" s="646" t="str">
        <f t="shared" si="77"/>
        <v/>
      </c>
      <c r="BY47" s="48" t="str">
        <f>IF(CHEMISTRY!I48="","",CHEMISTRY!I48)</f>
        <v/>
      </c>
      <c r="BZ47" s="48" t="str">
        <f>IF(CHEMISTRY!J48="","",CHEMISTRY!J48)</f>
        <v/>
      </c>
      <c r="CA47" s="48" t="str">
        <f t="shared" si="78"/>
        <v/>
      </c>
      <c r="CB47" s="48" t="str">
        <f t="shared" si="79"/>
        <v/>
      </c>
      <c r="CC47" s="48" t="str">
        <f t="shared" si="80"/>
        <v/>
      </c>
      <c r="CD47" s="48" t="str">
        <f t="shared" si="81"/>
        <v/>
      </c>
      <c r="CE47" s="48" t="str">
        <f t="shared" si="82"/>
        <v/>
      </c>
      <c r="CF47" s="48" t="str">
        <f t="shared" si="83"/>
        <v/>
      </c>
      <c r="CG47" s="48" t="str">
        <f>IF(CHEMISTRY!M48="","",CHEMISTRY!M48*$CG$6/CHEMISTRY!$M$7)</f>
        <v/>
      </c>
      <c r="CH47" s="48" t="str">
        <f t="shared" si="84"/>
        <v/>
      </c>
      <c r="CI47" s="48" t="str">
        <f t="shared" si="85"/>
        <v/>
      </c>
      <c r="CJ47" s="73" t="str">
        <f>IF(BIOLOGY!E48="","",BIOLOGY!E48)</f>
        <v/>
      </c>
      <c r="CK47" s="73" t="str">
        <f t="shared" si="86"/>
        <v/>
      </c>
      <c r="CL47" s="73" t="str">
        <f>IF(BIOLOGY!F48="","",BIOLOGY!F48)</f>
        <v/>
      </c>
      <c r="CM47" s="73" t="str">
        <f>IF(BIOLOGY!G48="","",BIOLOGY!G48)</f>
        <v/>
      </c>
      <c r="CN47" s="73" t="str">
        <f t="shared" si="87"/>
        <v/>
      </c>
      <c r="CO47" s="73" t="str">
        <f t="shared" si="88"/>
        <v/>
      </c>
      <c r="CP47" s="73" t="str">
        <f>IF(BIOLOGY!H48="","",BIOLOGY!H48)</f>
        <v/>
      </c>
      <c r="CQ47" s="73" t="str">
        <f t="shared" si="89"/>
        <v/>
      </c>
      <c r="CR47" s="73" t="str">
        <f>IF(BIOLOGY!I48="","",BIOLOGY!I48)</f>
        <v/>
      </c>
      <c r="CS47" s="73" t="str">
        <f>IF(BIOLOGY!J48="","",BIOLOGY!J48)</f>
        <v/>
      </c>
      <c r="CT47" s="73" t="str">
        <f t="shared" si="90"/>
        <v/>
      </c>
      <c r="CU47" s="73" t="str">
        <f t="shared" si="91"/>
        <v/>
      </c>
      <c r="CV47" s="73" t="str">
        <f t="shared" si="92"/>
        <v/>
      </c>
      <c r="CW47" s="73" t="str">
        <f t="shared" si="93"/>
        <v/>
      </c>
      <c r="CX47" s="73" t="str">
        <f t="shared" si="94"/>
        <v/>
      </c>
      <c r="CY47" s="73" t="str">
        <f t="shared" si="95"/>
        <v/>
      </c>
      <c r="CZ47" s="73" t="str">
        <f>IF(BIOLOGY!M48="","",CEILING((BIOLOGY!M48*$CZ$6/BIOLOGY!$M$7),1))</f>
        <v/>
      </c>
      <c r="DA47" s="73" t="str">
        <f t="shared" si="96"/>
        <v/>
      </c>
      <c r="DB47" s="73" t="str">
        <f t="shared" si="97"/>
        <v/>
      </c>
      <c r="DC47" s="76" t="str">
        <f>IF('PHY EDU '!E48="","",'PHY EDU '!E48)</f>
        <v/>
      </c>
      <c r="DD47" s="647" t="str">
        <f t="shared" si="98"/>
        <v/>
      </c>
      <c r="DE47" s="76" t="str">
        <f>IF('PHY EDU '!F48="","",'PHY EDU '!F48)</f>
        <v/>
      </c>
      <c r="DF47" s="76" t="str">
        <f>IF('PHY EDU '!G48="","",'PHY EDU '!G48)</f>
        <v/>
      </c>
      <c r="DG47" s="76" t="str">
        <f t="shared" si="99"/>
        <v/>
      </c>
      <c r="DH47" s="76" t="str">
        <f t="shared" si="100"/>
        <v/>
      </c>
      <c r="DI47" s="76" t="str">
        <f>IF('PHY EDU '!H48="","",'PHY EDU '!H48)</f>
        <v/>
      </c>
      <c r="DJ47" s="647" t="str">
        <f t="shared" si="101"/>
        <v/>
      </c>
      <c r="DK47" s="76" t="str">
        <f>IF('PHY EDU '!I48="","",'PHY EDU '!I48)</f>
        <v/>
      </c>
      <c r="DL47" s="76" t="str">
        <f>IF('PHY EDU '!J48="","",'PHY EDU '!J48)</f>
        <v/>
      </c>
      <c r="DM47" s="76" t="str">
        <f t="shared" si="102"/>
        <v/>
      </c>
      <c r="DN47" s="76" t="str">
        <f t="shared" si="103"/>
        <v/>
      </c>
      <c r="DO47" s="76" t="str">
        <f t="shared" si="104"/>
        <v/>
      </c>
      <c r="DP47" s="76" t="str">
        <f t="shared" si="105"/>
        <v/>
      </c>
      <c r="DQ47" s="76" t="str">
        <f t="shared" si="106"/>
        <v/>
      </c>
      <c r="DR47" s="76" t="str">
        <f t="shared" si="107"/>
        <v/>
      </c>
      <c r="DS47" s="76" t="str">
        <f>IF('PHY EDU '!M48="","",ROUNDUP('PHY EDU '!M48*$DS$6/'PHY EDU '!$M$7,0))</f>
        <v/>
      </c>
      <c r="DT47" s="76" t="str">
        <f t="shared" si="108"/>
        <v/>
      </c>
      <c r="DU47" s="76" t="str">
        <f t="shared" si="109"/>
        <v/>
      </c>
      <c r="DV47" s="72" t="str">
        <f t="shared" si="132"/>
        <v/>
      </c>
      <c r="DW47" s="72" t="str">
        <f t="shared" si="133"/>
        <v/>
      </c>
      <c r="DX47" s="72" t="str">
        <f t="shared" si="134"/>
        <v/>
      </c>
      <c r="DY47" s="72" t="str">
        <f t="shared" si="135"/>
        <v/>
      </c>
      <c r="DZ47" s="72" t="str">
        <f t="shared" si="136"/>
        <v/>
      </c>
      <c r="EA47" s="72" t="str">
        <f t="shared" si="137"/>
        <v/>
      </c>
      <c r="EB47" s="76" t="str">
        <f t="shared" si="138"/>
        <v/>
      </c>
      <c r="EC47" s="76" t="str">
        <f t="shared" si="139"/>
        <v/>
      </c>
      <c r="ED47" s="76" t="str">
        <f t="shared" si="140"/>
        <v/>
      </c>
      <c r="EE47" s="76" t="str">
        <f t="shared" si="141"/>
        <v/>
      </c>
      <c r="EF47" s="76" t="str">
        <f t="shared" si="142"/>
        <v/>
      </c>
      <c r="EG47" s="76" t="str">
        <f t="shared" si="143"/>
        <v/>
      </c>
      <c r="EH47" s="77" t="str">
        <f t="shared" si="144"/>
        <v/>
      </c>
      <c r="EI47" s="495" t="str">
        <f t="shared" si="145"/>
        <v/>
      </c>
      <c r="EJ47" s="86" t="str">
        <f t="shared" si="146"/>
        <v/>
      </c>
      <c r="EK47" s="78" t="str">
        <f t="shared" si="147"/>
        <v/>
      </c>
      <c r="EL47" s="79" t="str">
        <f t="shared" si="148"/>
        <v/>
      </c>
      <c r="EM47" s="139" t="str">
        <f t="shared" si="149"/>
        <v/>
      </c>
      <c r="EN47" s="77" t="str">
        <f t="shared" si="150"/>
        <v/>
      </c>
      <c r="EO47" s="77" t="str">
        <f>IF(EN47="","",ATTENDANCE!Q48&amp;"/"&amp;ATTENDANCE!$Q$7)</f>
        <v/>
      </c>
      <c r="EP47" s="80" t="str">
        <f t="shared" si="151"/>
        <v/>
      </c>
      <c r="EQ47" s="80" t="str">
        <f t="shared" si="152"/>
        <v/>
      </c>
      <c r="ER47" s="80" t="str">
        <f t="shared" si="153"/>
        <v/>
      </c>
      <c r="ES47" s="80" t="str">
        <f t="shared" si="154"/>
        <v/>
      </c>
      <c r="ET47" s="80" t="str">
        <f t="shared" si="155"/>
        <v/>
      </c>
      <c r="EU47" s="80" t="str">
        <f t="shared" si="156"/>
        <v/>
      </c>
      <c r="EV47" s="492" t="str">
        <f t="shared" si="157"/>
        <v/>
      </c>
      <c r="EW47" s="129" t="str">
        <f t="shared" si="158"/>
        <v/>
      </c>
      <c r="EX47" s="129" t="str">
        <f t="shared" si="159"/>
        <v/>
      </c>
      <c r="EY47" s="129" t="str">
        <f t="shared" si="160"/>
        <v/>
      </c>
      <c r="EZ47" s="129" t="str">
        <f t="shared" si="161"/>
        <v/>
      </c>
      <c r="FA47" s="129" t="str">
        <f t="shared" si="162"/>
        <v/>
      </c>
      <c r="FB47" s="129" t="str">
        <f t="shared" si="163"/>
        <v/>
      </c>
      <c r="FC47" s="80" t="str">
        <f t="shared" si="164"/>
        <v/>
      </c>
      <c r="FD47" s="80" t="str">
        <f t="shared" si="165"/>
        <v/>
      </c>
      <c r="FE47" s="80" t="str">
        <f t="shared" si="166"/>
        <v/>
      </c>
      <c r="FF47" s="488" t="str">
        <f t="shared" si="167"/>
        <v/>
      </c>
      <c r="FG47" s="80" t="str">
        <f t="shared" si="168"/>
        <v/>
      </c>
      <c r="FH47" s="80" t="str">
        <f t="shared" si="169"/>
        <v/>
      </c>
      <c r="FI47" s="496" t="str">
        <f t="shared" si="170"/>
        <v/>
      </c>
      <c r="FJ47" s="140" t="str">
        <f t="shared" si="171"/>
        <v/>
      </c>
      <c r="FK47" s="492" t="str">
        <f t="shared" si="172"/>
        <v/>
      </c>
      <c r="FL47" s="490" t="str">
        <f t="shared" si="173"/>
        <v/>
      </c>
      <c r="FM47" s="74" t="str">
        <f t="shared" si="174"/>
        <v/>
      </c>
    </row>
    <row r="48" spans="1:169" ht="16.8" x14ac:dyDescent="0.3">
      <c r="A48" s="6"/>
      <c r="B48" s="25">
        <f>DATA!B46</f>
        <v>0</v>
      </c>
      <c r="C48" s="25" t="str">
        <f>IF(DATA!C46="","",DATA!C46)</f>
        <v/>
      </c>
      <c r="D48" s="25" t="str">
        <f>IF(DATA!D46="","",DATA!D46)</f>
        <v/>
      </c>
      <c r="E48" s="738" t="str">
        <f>IF(DATA!E46="","",DATA!E46)</f>
        <v/>
      </c>
      <c r="F48" s="738" t="str">
        <f>IF(DATA!F46="","",DATA!F46)</f>
        <v/>
      </c>
      <c r="G48" s="738" t="str">
        <f>IF(DATA!G46="","",DATA!G46)</f>
        <v/>
      </c>
      <c r="H48" s="214" t="str">
        <f>IF(DATA!H46="","",DATA!H46)</f>
        <v/>
      </c>
      <c r="I48" s="214" t="str">
        <f>IF(DATA!I46="","",DATA!I46)</f>
        <v/>
      </c>
      <c r="J48" s="214" t="str">
        <f>IF(DATA!J46="","",DATA!J46)</f>
        <v/>
      </c>
      <c r="K48" s="214" t="str">
        <f>IF(DATA!K46="","",DATA!K46)</f>
        <v/>
      </c>
      <c r="L48" s="73" t="str">
        <f>IF(ENGLISH!E48="","",ENGLISH!E48)</f>
        <v/>
      </c>
      <c r="M48" s="73" t="str">
        <f t="shared" si="41"/>
        <v/>
      </c>
      <c r="N48" s="73" t="str">
        <f>IF(ENGLISH!F48="","",ENGLISH!F48)</f>
        <v/>
      </c>
      <c r="O48" s="73" t="str">
        <f t="shared" si="42"/>
        <v/>
      </c>
      <c r="P48" s="73" t="str">
        <f>IF(ENGLISH!G48="","",ENGLISH!G48)</f>
        <v/>
      </c>
      <c r="Q48" s="73" t="str">
        <f t="shared" si="43"/>
        <v/>
      </c>
      <c r="R48" s="73" t="str">
        <f>IF(ENGLISH!H48="","",ENGLISH!H48)</f>
        <v/>
      </c>
      <c r="S48" s="73" t="str">
        <f>IF(ENGLISH!I48="","",ENGLISH!I48)</f>
        <v/>
      </c>
      <c r="T48" s="73" t="str">
        <f>IF(ENGLISH!J48="","",ENGLISH!J48)</f>
        <v/>
      </c>
      <c r="U48" s="73" t="str">
        <f>IF(ENGLISH!K48="","",ENGLISH!K48)</f>
        <v/>
      </c>
      <c r="V48" s="73" t="str">
        <f t="shared" si="44"/>
        <v/>
      </c>
      <c r="W48" s="81" t="str">
        <f>IF(ENGLISH!L48="","",ENGLISH!L48)</f>
        <v/>
      </c>
      <c r="X48" s="73" t="str">
        <f t="shared" si="45"/>
        <v/>
      </c>
      <c r="Y48" s="73" t="str">
        <f t="shared" si="46"/>
        <v/>
      </c>
      <c r="Z48" s="73" t="str">
        <f t="shared" si="47"/>
        <v/>
      </c>
      <c r="AA48" s="73" t="str">
        <f>IF(ENGLISH!O48="","",ENGLISH!O48*40/ENGLISH!$O$6)</f>
        <v/>
      </c>
      <c r="AB48" s="73" t="str">
        <f t="shared" si="48"/>
        <v/>
      </c>
      <c r="AC48" s="73" t="str">
        <f t="shared" si="49"/>
        <v/>
      </c>
      <c r="AD48" s="74" t="str">
        <f>IF(MATHS!E48="","",MATHS!E48)</f>
        <v/>
      </c>
      <c r="AE48" s="643" t="str">
        <f t="shared" si="50"/>
        <v/>
      </c>
      <c r="AF48" s="74" t="str">
        <f>IF(MATHS!F48="","",MATHS!F48)</f>
        <v/>
      </c>
      <c r="AG48" s="643" t="str">
        <f t="shared" si="51"/>
        <v/>
      </c>
      <c r="AH48" s="74" t="str">
        <f>IF(MATHS!G48="","",MATHS!G48)</f>
        <v/>
      </c>
      <c r="AI48" s="643" t="str">
        <f t="shared" si="52"/>
        <v/>
      </c>
      <c r="AJ48" s="75" t="str">
        <f t="shared" si="53"/>
        <v/>
      </c>
      <c r="AK48" s="75" t="str">
        <f t="shared" si="54"/>
        <v/>
      </c>
      <c r="AL48" s="75" t="str">
        <f t="shared" si="55"/>
        <v/>
      </c>
      <c r="AM48" s="75" t="str">
        <f>IF(MATHS!H48="","",MATHS!H48)</f>
        <v/>
      </c>
      <c r="AN48" s="75" t="str">
        <f>IF(MATHS!I48="","",MATHS!I48)</f>
        <v/>
      </c>
      <c r="AO48" s="75" t="str">
        <f>IF(MATHS!J48="","",MATHS!J48)</f>
        <v/>
      </c>
      <c r="AP48" s="75" t="str">
        <f t="shared" si="56"/>
        <v/>
      </c>
      <c r="AQ48" s="75" t="str">
        <f t="shared" si="57"/>
        <v/>
      </c>
      <c r="AR48" s="75" t="str">
        <f>IF(MATHS!K48="","",CEILING(MATHS!K48*$AR$6/MATHS!$K$6,1))</f>
        <v/>
      </c>
      <c r="AS48" s="76" t="str">
        <f t="shared" si="58"/>
        <v/>
      </c>
      <c r="AT48" s="76" t="str">
        <f t="shared" si="59"/>
        <v/>
      </c>
      <c r="AU48" s="76" t="str">
        <f>IF(MATHS!O48="","",MATHS!O48*$AU$6/MATHS!$O$6)</f>
        <v/>
      </c>
      <c r="AV48" s="76" t="str">
        <f t="shared" si="60"/>
        <v/>
      </c>
      <c r="AW48" s="76" t="str">
        <f t="shared" si="61"/>
        <v/>
      </c>
      <c r="AX48" s="73" t="str">
        <f>IF(PHYSICS!E49="","",PHYSICS!E49)</f>
        <v/>
      </c>
      <c r="AY48" s="644" t="str">
        <f t="shared" si="62"/>
        <v/>
      </c>
      <c r="AZ48" s="73" t="str">
        <f>IF(PHYSICS!F49="","",PHYSICS!F49)</f>
        <v/>
      </c>
      <c r="BA48" s="73" t="str">
        <f>IF(PHYSICS!G49="","",PHYSICS!G49)</f>
        <v/>
      </c>
      <c r="BB48" s="73" t="str">
        <f t="shared" si="63"/>
        <v/>
      </c>
      <c r="BC48" s="73" t="str">
        <f t="shared" si="64"/>
        <v/>
      </c>
      <c r="BD48" s="73" t="str">
        <f>IF(PHYSICS!H49="","",PHYSICS!H49)</f>
        <v/>
      </c>
      <c r="BE48" s="645" t="str">
        <f t="shared" si="65"/>
        <v/>
      </c>
      <c r="BF48" s="73" t="str">
        <f>IF(PHYSICS!I49="","",PHYSICS!I49)</f>
        <v/>
      </c>
      <c r="BG48" s="73" t="str">
        <f>IF(PHYSICS!J49="","",PHYSICS!J49)</f>
        <v/>
      </c>
      <c r="BH48" s="73" t="str">
        <f t="shared" si="66"/>
        <v/>
      </c>
      <c r="BI48" s="73" t="str">
        <f t="shared" si="67"/>
        <v/>
      </c>
      <c r="BJ48" s="73" t="str">
        <f t="shared" si="68"/>
        <v/>
      </c>
      <c r="BK48" s="73" t="str">
        <f t="shared" si="69"/>
        <v/>
      </c>
      <c r="BL48" s="73" t="str">
        <f t="shared" si="70"/>
        <v/>
      </c>
      <c r="BM48" s="73" t="str">
        <f t="shared" si="71"/>
        <v/>
      </c>
      <c r="BN48" s="73" t="str">
        <f>IF(PHYSICS!M49="","",PHYSICS!M49*$BN$6/PHYSICS!$M$7)</f>
        <v/>
      </c>
      <c r="BO48" s="73" t="str">
        <f t="shared" si="72"/>
        <v/>
      </c>
      <c r="BP48" s="73" t="str">
        <f t="shared" si="73"/>
        <v/>
      </c>
      <c r="BQ48" s="48" t="str">
        <f>IF(CHEMISTRY!E49="","",CHEMISTRY!E49)</f>
        <v/>
      </c>
      <c r="BR48" s="646" t="str">
        <f t="shared" si="74"/>
        <v/>
      </c>
      <c r="BS48" s="48" t="str">
        <f>IF(CHEMISTRY!F49="","",CHEMISTRY!F49)</f>
        <v/>
      </c>
      <c r="BT48" s="48" t="str">
        <f>IF(CHEMISTRY!G49="","",CHEMISTRY!G49)</f>
        <v/>
      </c>
      <c r="BU48" s="48" t="str">
        <f t="shared" si="75"/>
        <v/>
      </c>
      <c r="BV48" s="48" t="str">
        <f t="shared" si="76"/>
        <v/>
      </c>
      <c r="BW48" s="48" t="str">
        <f>IF(CHEMISTRY!H49="","",CHEMISTRY!H49)</f>
        <v/>
      </c>
      <c r="BX48" s="646" t="str">
        <f t="shared" si="77"/>
        <v/>
      </c>
      <c r="BY48" s="48" t="str">
        <f>IF(CHEMISTRY!I49="","",CHEMISTRY!I49)</f>
        <v/>
      </c>
      <c r="BZ48" s="48" t="str">
        <f>IF(CHEMISTRY!J49="","",CHEMISTRY!J49)</f>
        <v/>
      </c>
      <c r="CA48" s="48" t="str">
        <f t="shared" si="78"/>
        <v/>
      </c>
      <c r="CB48" s="48" t="str">
        <f t="shared" si="79"/>
        <v/>
      </c>
      <c r="CC48" s="48" t="str">
        <f t="shared" si="80"/>
        <v/>
      </c>
      <c r="CD48" s="48" t="str">
        <f t="shared" si="81"/>
        <v/>
      </c>
      <c r="CE48" s="48" t="str">
        <f t="shared" si="82"/>
        <v/>
      </c>
      <c r="CF48" s="48" t="str">
        <f t="shared" si="83"/>
        <v/>
      </c>
      <c r="CG48" s="48" t="str">
        <f>IF(CHEMISTRY!M49="","",CHEMISTRY!M49*$CG$6/CHEMISTRY!$M$7)</f>
        <v/>
      </c>
      <c r="CH48" s="48" t="str">
        <f t="shared" si="84"/>
        <v/>
      </c>
      <c r="CI48" s="48" t="str">
        <f t="shared" si="85"/>
        <v/>
      </c>
      <c r="CJ48" s="73" t="str">
        <f>IF(BIOLOGY!E49="","",BIOLOGY!E49)</f>
        <v/>
      </c>
      <c r="CK48" s="73" t="str">
        <f t="shared" si="86"/>
        <v/>
      </c>
      <c r="CL48" s="73" t="str">
        <f>IF(BIOLOGY!F49="","",BIOLOGY!F49)</f>
        <v/>
      </c>
      <c r="CM48" s="73" t="str">
        <f>IF(BIOLOGY!G49="","",BIOLOGY!G49)</f>
        <v/>
      </c>
      <c r="CN48" s="73" t="str">
        <f t="shared" si="87"/>
        <v/>
      </c>
      <c r="CO48" s="73" t="str">
        <f t="shared" si="88"/>
        <v/>
      </c>
      <c r="CP48" s="73" t="str">
        <f>IF(BIOLOGY!H49="","",BIOLOGY!H49)</f>
        <v/>
      </c>
      <c r="CQ48" s="73" t="str">
        <f t="shared" si="89"/>
        <v/>
      </c>
      <c r="CR48" s="73" t="str">
        <f>IF(BIOLOGY!I49="","",BIOLOGY!I49)</f>
        <v/>
      </c>
      <c r="CS48" s="73" t="str">
        <f>IF(BIOLOGY!J49="","",BIOLOGY!J49)</f>
        <v/>
      </c>
      <c r="CT48" s="73" t="str">
        <f t="shared" si="90"/>
        <v/>
      </c>
      <c r="CU48" s="73" t="str">
        <f t="shared" si="91"/>
        <v/>
      </c>
      <c r="CV48" s="73" t="str">
        <f t="shared" si="92"/>
        <v/>
      </c>
      <c r="CW48" s="73" t="str">
        <f t="shared" si="93"/>
        <v/>
      </c>
      <c r="CX48" s="73" t="str">
        <f t="shared" si="94"/>
        <v/>
      </c>
      <c r="CY48" s="73" t="str">
        <f t="shared" si="95"/>
        <v/>
      </c>
      <c r="CZ48" s="73" t="str">
        <f>IF(BIOLOGY!M49="","",CEILING((BIOLOGY!M49*$CZ$6/BIOLOGY!$M$7),1))</f>
        <v/>
      </c>
      <c r="DA48" s="73" t="str">
        <f t="shared" si="96"/>
        <v/>
      </c>
      <c r="DB48" s="73" t="str">
        <f t="shared" si="97"/>
        <v/>
      </c>
      <c r="DC48" s="76" t="str">
        <f>IF('PHY EDU '!E49="","",'PHY EDU '!E49)</f>
        <v/>
      </c>
      <c r="DD48" s="647" t="str">
        <f t="shared" si="98"/>
        <v/>
      </c>
      <c r="DE48" s="76" t="str">
        <f>IF('PHY EDU '!F49="","",'PHY EDU '!F49)</f>
        <v/>
      </c>
      <c r="DF48" s="76" t="str">
        <f>IF('PHY EDU '!G49="","",'PHY EDU '!G49)</f>
        <v/>
      </c>
      <c r="DG48" s="76" t="str">
        <f t="shared" si="99"/>
        <v/>
      </c>
      <c r="DH48" s="76" t="str">
        <f t="shared" si="100"/>
        <v/>
      </c>
      <c r="DI48" s="76" t="str">
        <f>IF('PHY EDU '!H49="","",'PHY EDU '!H49)</f>
        <v/>
      </c>
      <c r="DJ48" s="647" t="str">
        <f t="shared" si="101"/>
        <v/>
      </c>
      <c r="DK48" s="76" t="str">
        <f>IF('PHY EDU '!I49="","",'PHY EDU '!I49)</f>
        <v/>
      </c>
      <c r="DL48" s="76" t="str">
        <f>IF('PHY EDU '!J49="","",'PHY EDU '!J49)</f>
        <v/>
      </c>
      <c r="DM48" s="76" t="str">
        <f t="shared" si="102"/>
        <v/>
      </c>
      <c r="DN48" s="76" t="str">
        <f t="shared" si="103"/>
        <v/>
      </c>
      <c r="DO48" s="76" t="str">
        <f t="shared" si="104"/>
        <v/>
      </c>
      <c r="DP48" s="76" t="str">
        <f t="shared" si="105"/>
        <v/>
      </c>
      <c r="DQ48" s="76" t="str">
        <f t="shared" si="106"/>
        <v/>
      </c>
      <c r="DR48" s="76" t="str">
        <f t="shared" si="107"/>
        <v/>
      </c>
      <c r="DS48" s="76" t="str">
        <f>IF('PHY EDU '!M49="","",ROUNDUP('PHY EDU '!M49*$DS$6/'PHY EDU '!$M$7,0))</f>
        <v/>
      </c>
      <c r="DT48" s="76" t="str">
        <f t="shared" si="108"/>
        <v/>
      </c>
      <c r="DU48" s="76" t="str">
        <f t="shared" si="109"/>
        <v/>
      </c>
      <c r="DV48" s="72" t="str">
        <f t="shared" si="132"/>
        <v/>
      </c>
      <c r="DW48" s="72" t="str">
        <f t="shared" si="133"/>
        <v/>
      </c>
      <c r="DX48" s="72" t="str">
        <f t="shared" si="134"/>
        <v/>
      </c>
      <c r="DY48" s="72" t="str">
        <f t="shared" si="135"/>
        <v/>
      </c>
      <c r="DZ48" s="72" t="str">
        <f t="shared" si="136"/>
        <v/>
      </c>
      <c r="EA48" s="72" t="str">
        <f t="shared" si="137"/>
        <v/>
      </c>
      <c r="EB48" s="76" t="str">
        <f t="shared" si="138"/>
        <v/>
      </c>
      <c r="EC48" s="76" t="str">
        <f t="shared" si="139"/>
        <v/>
      </c>
      <c r="ED48" s="76" t="str">
        <f t="shared" si="140"/>
        <v/>
      </c>
      <c r="EE48" s="76" t="str">
        <f t="shared" si="141"/>
        <v/>
      </c>
      <c r="EF48" s="76" t="str">
        <f t="shared" si="142"/>
        <v/>
      </c>
      <c r="EG48" s="76" t="str">
        <f t="shared" si="143"/>
        <v/>
      </c>
      <c r="EH48" s="77" t="str">
        <f t="shared" si="144"/>
        <v/>
      </c>
      <c r="EI48" s="495" t="str">
        <f t="shared" si="145"/>
        <v/>
      </c>
      <c r="EJ48" s="86" t="str">
        <f t="shared" si="146"/>
        <v/>
      </c>
      <c r="EK48" s="78" t="str">
        <f t="shared" si="147"/>
        <v/>
      </c>
      <c r="EL48" s="79" t="str">
        <f t="shared" si="148"/>
        <v/>
      </c>
      <c r="EM48" s="139" t="str">
        <f t="shared" si="149"/>
        <v/>
      </c>
      <c r="EN48" s="77" t="str">
        <f t="shared" si="150"/>
        <v/>
      </c>
      <c r="EO48" s="77" t="str">
        <f>IF(EN48="","",ATTENDANCE!Q49&amp;"/"&amp;ATTENDANCE!$Q$7)</f>
        <v/>
      </c>
      <c r="EP48" s="80" t="str">
        <f t="shared" si="151"/>
        <v/>
      </c>
      <c r="EQ48" s="80" t="str">
        <f t="shared" si="152"/>
        <v/>
      </c>
      <c r="ER48" s="80" t="str">
        <f t="shared" si="153"/>
        <v/>
      </c>
      <c r="ES48" s="80" t="str">
        <f t="shared" si="154"/>
        <v/>
      </c>
      <c r="ET48" s="80" t="str">
        <f t="shared" si="155"/>
        <v/>
      </c>
      <c r="EU48" s="80" t="str">
        <f t="shared" si="156"/>
        <v/>
      </c>
      <c r="EV48" s="492" t="str">
        <f t="shared" si="157"/>
        <v/>
      </c>
      <c r="EW48" s="129" t="str">
        <f t="shared" si="158"/>
        <v/>
      </c>
      <c r="EX48" s="129" t="str">
        <f t="shared" si="159"/>
        <v/>
      </c>
      <c r="EY48" s="129" t="str">
        <f t="shared" si="160"/>
        <v/>
      </c>
      <c r="EZ48" s="129" t="str">
        <f t="shared" si="161"/>
        <v/>
      </c>
      <c r="FA48" s="129" t="str">
        <f t="shared" si="162"/>
        <v/>
      </c>
      <c r="FB48" s="129" t="str">
        <f t="shared" si="163"/>
        <v/>
      </c>
      <c r="FC48" s="80" t="str">
        <f t="shared" si="164"/>
        <v/>
      </c>
      <c r="FD48" s="80" t="str">
        <f t="shared" si="165"/>
        <v/>
      </c>
      <c r="FE48" s="80" t="str">
        <f t="shared" si="166"/>
        <v/>
      </c>
      <c r="FF48" s="488" t="str">
        <f t="shared" si="167"/>
        <v/>
      </c>
      <c r="FG48" s="80" t="str">
        <f t="shared" si="168"/>
        <v/>
      </c>
      <c r="FH48" s="80" t="str">
        <f t="shared" si="169"/>
        <v/>
      </c>
      <c r="FI48" s="496" t="str">
        <f t="shared" si="170"/>
        <v/>
      </c>
      <c r="FJ48" s="140" t="str">
        <f t="shared" si="171"/>
        <v/>
      </c>
      <c r="FK48" s="492" t="str">
        <f t="shared" si="172"/>
        <v/>
      </c>
      <c r="FL48" s="490" t="str">
        <f t="shared" si="173"/>
        <v/>
      </c>
      <c r="FM48" s="74" t="str">
        <f t="shared" si="174"/>
        <v/>
      </c>
    </row>
    <row r="49" spans="1:170" ht="16.8" x14ac:dyDescent="0.3">
      <c r="A49" s="6"/>
      <c r="B49" s="25">
        <f>DATA!B47</f>
        <v>0</v>
      </c>
      <c r="C49" s="25" t="str">
        <f>IF(DATA!C47="","",DATA!C47)</f>
        <v/>
      </c>
      <c r="D49" s="25" t="str">
        <f>IF(DATA!D47="","",DATA!D47)</f>
        <v/>
      </c>
      <c r="E49" s="738" t="str">
        <f>IF(DATA!E47="","",DATA!E47)</f>
        <v/>
      </c>
      <c r="F49" s="738" t="str">
        <f>IF(DATA!F47="","",DATA!F47)</f>
        <v/>
      </c>
      <c r="G49" s="738" t="str">
        <f>IF(DATA!G47="","",DATA!G47)</f>
        <v/>
      </c>
      <c r="H49" s="214" t="str">
        <f>IF(DATA!H47="","",DATA!H47)</f>
        <v/>
      </c>
      <c r="I49" s="214" t="str">
        <f>IF(DATA!I47="","",DATA!I47)</f>
        <v/>
      </c>
      <c r="J49" s="214" t="str">
        <f>IF(DATA!J47="","",DATA!J47)</f>
        <v/>
      </c>
      <c r="K49" s="214" t="str">
        <f>IF(DATA!K47="","",DATA!K47)</f>
        <v/>
      </c>
      <c r="L49" s="73" t="str">
        <f>IF(ENGLISH!E49="","",ENGLISH!E49)</f>
        <v/>
      </c>
      <c r="M49" s="73" t="str">
        <f t="shared" si="41"/>
        <v/>
      </c>
      <c r="N49" s="73" t="str">
        <f>IF(ENGLISH!F49="","",ENGLISH!F49)</f>
        <v/>
      </c>
      <c r="O49" s="73" t="str">
        <f t="shared" si="42"/>
        <v/>
      </c>
      <c r="P49" s="73" t="str">
        <f>IF(ENGLISH!G49="","",ENGLISH!G49)</f>
        <v/>
      </c>
      <c r="Q49" s="73" t="str">
        <f t="shared" si="43"/>
        <v/>
      </c>
      <c r="R49" s="73" t="str">
        <f>IF(ENGLISH!H49="","",ENGLISH!H49)</f>
        <v/>
      </c>
      <c r="S49" s="73" t="str">
        <f>IF(ENGLISH!I49="","",ENGLISH!I49)</f>
        <v/>
      </c>
      <c r="T49" s="73" t="str">
        <f>IF(ENGLISH!J49="","",ENGLISH!J49)</f>
        <v/>
      </c>
      <c r="U49" s="73" t="str">
        <f>IF(ENGLISH!K49="","",ENGLISH!K49)</f>
        <v/>
      </c>
      <c r="V49" s="73" t="str">
        <f t="shared" si="44"/>
        <v/>
      </c>
      <c r="W49" s="81" t="str">
        <f>IF(ENGLISH!L49="","",ENGLISH!L49)</f>
        <v/>
      </c>
      <c r="X49" s="73" t="str">
        <f t="shared" si="45"/>
        <v/>
      </c>
      <c r="Y49" s="73" t="str">
        <f t="shared" si="46"/>
        <v/>
      </c>
      <c r="Z49" s="73" t="str">
        <f t="shared" si="47"/>
        <v/>
      </c>
      <c r="AA49" s="73" t="str">
        <f>IF(ENGLISH!O49="","",ENGLISH!O49*40/ENGLISH!$O$6)</f>
        <v/>
      </c>
      <c r="AB49" s="73" t="str">
        <f t="shared" si="48"/>
        <v/>
      </c>
      <c r="AC49" s="73" t="str">
        <f t="shared" si="49"/>
        <v/>
      </c>
      <c r="AD49" s="74" t="str">
        <f>IF(MATHS!E49="","",MATHS!E49)</f>
        <v/>
      </c>
      <c r="AE49" s="643" t="str">
        <f t="shared" si="50"/>
        <v/>
      </c>
      <c r="AF49" s="74" t="str">
        <f>IF(MATHS!F49="","",MATHS!F49)</f>
        <v/>
      </c>
      <c r="AG49" s="643" t="str">
        <f t="shared" si="51"/>
        <v/>
      </c>
      <c r="AH49" s="74" t="str">
        <f>IF(MATHS!G49="","",MATHS!G49)</f>
        <v/>
      </c>
      <c r="AI49" s="643" t="str">
        <f t="shared" si="52"/>
        <v/>
      </c>
      <c r="AJ49" s="75" t="str">
        <f t="shared" si="53"/>
        <v/>
      </c>
      <c r="AK49" s="75" t="str">
        <f t="shared" si="54"/>
        <v/>
      </c>
      <c r="AL49" s="75" t="str">
        <f t="shared" si="55"/>
        <v/>
      </c>
      <c r="AM49" s="75" t="str">
        <f>IF(MATHS!H49="","",MATHS!H49)</f>
        <v/>
      </c>
      <c r="AN49" s="75" t="str">
        <f>IF(MATHS!I49="","",MATHS!I49)</f>
        <v/>
      </c>
      <c r="AO49" s="75" t="str">
        <f>IF(MATHS!J49="","",MATHS!J49)</f>
        <v/>
      </c>
      <c r="AP49" s="75" t="str">
        <f t="shared" si="56"/>
        <v/>
      </c>
      <c r="AQ49" s="75" t="str">
        <f t="shared" si="57"/>
        <v/>
      </c>
      <c r="AR49" s="75" t="str">
        <f>IF(MATHS!K49="","",CEILING(MATHS!K49*$AR$6/MATHS!$K$6,1))</f>
        <v/>
      </c>
      <c r="AS49" s="76" t="str">
        <f t="shared" si="58"/>
        <v/>
      </c>
      <c r="AT49" s="76" t="str">
        <f t="shared" si="59"/>
        <v/>
      </c>
      <c r="AU49" s="76" t="str">
        <f>IF(MATHS!O49="","",MATHS!O49*$AU$6/MATHS!$O$6)</f>
        <v/>
      </c>
      <c r="AV49" s="76" t="str">
        <f t="shared" si="60"/>
        <v/>
      </c>
      <c r="AW49" s="76" t="str">
        <f t="shared" si="61"/>
        <v/>
      </c>
      <c r="AX49" s="73" t="str">
        <f>IF(PHYSICS!E50="","",PHYSICS!E50)</f>
        <v/>
      </c>
      <c r="AY49" s="644" t="str">
        <f t="shared" si="62"/>
        <v/>
      </c>
      <c r="AZ49" s="73" t="str">
        <f>IF(PHYSICS!F50="","",PHYSICS!F50)</f>
        <v/>
      </c>
      <c r="BA49" s="73" t="str">
        <f>IF(PHYSICS!G50="","",PHYSICS!G50)</f>
        <v/>
      </c>
      <c r="BB49" s="73" t="str">
        <f t="shared" si="63"/>
        <v/>
      </c>
      <c r="BC49" s="73" t="str">
        <f t="shared" si="64"/>
        <v/>
      </c>
      <c r="BD49" s="73" t="str">
        <f>IF(PHYSICS!H50="","",PHYSICS!H50)</f>
        <v/>
      </c>
      <c r="BE49" s="645" t="str">
        <f t="shared" si="65"/>
        <v/>
      </c>
      <c r="BF49" s="73" t="str">
        <f>IF(PHYSICS!I50="","",PHYSICS!I50)</f>
        <v/>
      </c>
      <c r="BG49" s="73" t="str">
        <f>IF(PHYSICS!J50="","",PHYSICS!J50)</f>
        <v/>
      </c>
      <c r="BH49" s="73" t="str">
        <f t="shared" si="66"/>
        <v/>
      </c>
      <c r="BI49" s="73" t="str">
        <f t="shared" si="67"/>
        <v/>
      </c>
      <c r="BJ49" s="73" t="str">
        <f t="shared" si="68"/>
        <v/>
      </c>
      <c r="BK49" s="73" t="str">
        <f t="shared" si="69"/>
        <v/>
      </c>
      <c r="BL49" s="73" t="str">
        <f t="shared" si="70"/>
        <v/>
      </c>
      <c r="BM49" s="73" t="str">
        <f t="shared" si="71"/>
        <v/>
      </c>
      <c r="BN49" s="73" t="str">
        <f>IF(PHYSICS!M50="","",PHYSICS!M50*$BN$6/PHYSICS!$M$7)</f>
        <v/>
      </c>
      <c r="BO49" s="73" t="str">
        <f t="shared" si="72"/>
        <v/>
      </c>
      <c r="BP49" s="73" t="str">
        <f t="shared" si="73"/>
        <v/>
      </c>
      <c r="BQ49" s="48" t="str">
        <f>IF(CHEMISTRY!E50="","",CHEMISTRY!E50)</f>
        <v/>
      </c>
      <c r="BR49" s="646" t="str">
        <f t="shared" si="74"/>
        <v/>
      </c>
      <c r="BS49" s="48" t="str">
        <f>IF(CHEMISTRY!F50="","",CHEMISTRY!F50)</f>
        <v/>
      </c>
      <c r="BT49" s="48" t="str">
        <f>IF(CHEMISTRY!G50="","",CHEMISTRY!G50)</f>
        <v/>
      </c>
      <c r="BU49" s="48" t="str">
        <f t="shared" si="75"/>
        <v/>
      </c>
      <c r="BV49" s="48" t="str">
        <f t="shared" si="76"/>
        <v/>
      </c>
      <c r="BW49" s="48" t="str">
        <f>IF(CHEMISTRY!H50="","",CHEMISTRY!H50)</f>
        <v/>
      </c>
      <c r="BX49" s="646" t="str">
        <f t="shared" si="77"/>
        <v/>
      </c>
      <c r="BY49" s="48" t="str">
        <f>IF(CHEMISTRY!I50="","",CHEMISTRY!I50)</f>
        <v/>
      </c>
      <c r="BZ49" s="48" t="str">
        <f>IF(CHEMISTRY!J50="","",CHEMISTRY!J50)</f>
        <v/>
      </c>
      <c r="CA49" s="48" t="str">
        <f t="shared" si="78"/>
        <v/>
      </c>
      <c r="CB49" s="48" t="str">
        <f t="shared" si="79"/>
        <v/>
      </c>
      <c r="CC49" s="48" t="str">
        <f t="shared" si="80"/>
        <v/>
      </c>
      <c r="CD49" s="48" t="str">
        <f t="shared" si="81"/>
        <v/>
      </c>
      <c r="CE49" s="48" t="str">
        <f t="shared" si="82"/>
        <v/>
      </c>
      <c r="CF49" s="48" t="str">
        <f t="shared" si="83"/>
        <v/>
      </c>
      <c r="CG49" s="48" t="str">
        <f>IF(CHEMISTRY!M50="","",CHEMISTRY!M50*$CG$6/CHEMISTRY!$M$7)</f>
        <v/>
      </c>
      <c r="CH49" s="48" t="str">
        <f t="shared" si="84"/>
        <v/>
      </c>
      <c r="CI49" s="48" t="str">
        <f t="shared" si="85"/>
        <v/>
      </c>
      <c r="CJ49" s="73" t="str">
        <f>IF(BIOLOGY!E50="","",BIOLOGY!E50)</f>
        <v/>
      </c>
      <c r="CK49" s="73" t="str">
        <f t="shared" si="86"/>
        <v/>
      </c>
      <c r="CL49" s="73" t="str">
        <f>IF(BIOLOGY!F50="","",BIOLOGY!F50)</f>
        <v/>
      </c>
      <c r="CM49" s="73" t="str">
        <f>IF(BIOLOGY!G50="","",BIOLOGY!G50)</f>
        <v/>
      </c>
      <c r="CN49" s="73" t="str">
        <f t="shared" si="87"/>
        <v/>
      </c>
      <c r="CO49" s="73" t="str">
        <f t="shared" si="88"/>
        <v/>
      </c>
      <c r="CP49" s="73" t="str">
        <f>IF(BIOLOGY!H50="","",BIOLOGY!H50)</f>
        <v/>
      </c>
      <c r="CQ49" s="73" t="str">
        <f t="shared" si="89"/>
        <v/>
      </c>
      <c r="CR49" s="73" t="str">
        <f>IF(BIOLOGY!I50="","",BIOLOGY!I50)</f>
        <v/>
      </c>
      <c r="CS49" s="73" t="str">
        <f>IF(BIOLOGY!J50="","",BIOLOGY!J50)</f>
        <v/>
      </c>
      <c r="CT49" s="73" t="str">
        <f t="shared" si="90"/>
        <v/>
      </c>
      <c r="CU49" s="73" t="str">
        <f t="shared" si="91"/>
        <v/>
      </c>
      <c r="CV49" s="73" t="str">
        <f t="shared" si="92"/>
        <v/>
      </c>
      <c r="CW49" s="73" t="str">
        <f t="shared" si="93"/>
        <v/>
      </c>
      <c r="CX49" s="73" t="str">
        <f t="shared" si="94"/>
        <v/>
      </c>
      <c r="CY49" s="73" t="str">
        <f t="shared" si="95"/>
        <v/>
      </c>
      <c r="CZ49" s="73" t="str">
        <f>IF(BIOLOGY!M50="","",CEILING((BIOLOGY!M50*$CZ$6/BIOLOGY!$M$7),1))</f>
        <v/>
      </c>
      <c r="DA49" s="73" t="str">
        <f t="shared" si="96"/>
        <v/>
      </c>
      <c r="DB49" s="73" t="str">
        <f t="shared" si="97"/>
        <v/>
      </c>
      <c r="DC49" s="76" t="str">
        <f>IF('PHY EDU '!E50="","",'PHY EDU '!E50)</f>
        <v/>
      </c>
      <c r="DD49" s="647" t="str">
        <f t="shared" si="98"/>
        <v/>
      </c>
      <c r="DE49" s="76" t="str">
        <f>IF('PHY EDU '!F50="","",'PHY EDU '!F50)</f>
        <v/>
      </c>
      <c r="DF49" s="76" t="str">
        <f>IF('PHY EDU '!G50="","",'PHY EDU '!G50)</f>
        <v/>
      </c>
      <c r="DG49" s="76" t="str">
        <f t="shared" si="99"/>
        <v/>
      </c>
      <c r="DH49" s="76" t="str">
        <f t="shared" si="100"/>
        <v/>
      </c>
      <c r="DI49" s="76" t="str">
        <f>IF('PHY EDU '!H50="","",'PHY EDU '!H50)</f>
        <v/>
      </c>
      <c r="DJ49" s="647" t="str">
        <f t="shared" si="101"/>
        <v/>
      </c>
      <c r="DK49" s="76" t="str">
        <f>IF('PHY EDU '!I50="","",'PHY EDU '!I50)</f>
        <v/>
      </c>
      <c r="DL49" s="76" t="str">
        <f>IF('PHY EDU '!J50="","",'PHY EDU '!J50)</f>
        <v/>
      </c>
      <c r="DM49" s="76" t="str">
        <f t="shared" si="102"/>
        <v/>
      </c>
      <c r="DN49" s="76" t="str">
        <f t="shared" si="103"/>
        <v/>
      </c>
      <c r="DO49" s="76" t="str">
        <f t="shared" si="104"/>
        <v/>
      </c>
      <c r="DP49" s="76" t="str">
        <f t="shared" si="105"/>
        <v/>
      </c>
      <c r="DQ49" s="76" t="str">
        <f t="shared" si="106"/>
        <v/>
      </c>
      <c r="DR49" s="76" t="str">
        <f t="shared" si="107"/>
        <v/>
      </c>
      <c r="DS49" s="76" t="str">
        <f>IF('PHY EDU '!M50="","",ROUNDUP('PHY EDU '!M50*$DS$6/'PHY EDU '!$M$7,0))</f>
        <v/>
      </c>
      <c r="DT49" s="76" t="str">
        <f t="shared" si="108"/>
        <v/>
      </c>
      <c r="DU49" s="76" t="str">
        <f t="shared" si="109"/>
        <v/>
      </c>
      <c r="DV49" s="72" t="str">
        <f t="shared" si="132"/>
        <v/>
      </c>
      <c r="DW49" s="72" t="str">
        <f t="shared" si="133"/>
        <v/>
      </c>
      <c r="DX49" s="72" t="str">
        <f t="shared" si="134"/>
        <v/>
      </c>
      <c r="DY49" s="72" t="str">
        <f t="shared" si="135"/>
        <v/>
      </c>
      <c r="DZ49" s="72" t="str">
        <f t="shared" si="136"/>
        <v/>
      </c>
      <c r="EA49" s="72" t="str">
        <f t="shared" si="137"/>
        <v/>
      </c>
      <c r="EB49" s="76" t="str">
        <f t="shared" si="138"/>
        <v/>
      </c>
      <c r="EC49" s="76" t="str">
        <f t="shared" si="139"/>
        <v/>
      </c>
      <c r="ED49" s="76" t="str">
        <f t="shared" si="140"/>
        <v/>
      </c>
      <c r="EE49" s="76" t="str">
        <f t="shared" si="141"/>
        <v/>
      </c>
      <c r="EF49" s="76" t="str">
        <f t="shared" si="142"/>
        <v/>
      </c>
      <c r="EG49" s="76" t="str">
        <f t="shared" si="143"/>
        <v/>
      </c>
      <c r="EH49" s="77" t="str">
        <f t="shared" si="144"/>
        <v/>
      </c>
      <c r="EI49" s="495" t="str">
        <f t="shared" si="145"/>
        <v/>
      </c>
      <c r="EJ49" s="86" t="str">
        <f t="shared" si="146"/>
        <v/>
      </c>
      <c r="EK49" s="78" t="str">
        <f t="shared" si="147"/>
        <v/>
      </c>
      <c r="EL49" s="79" t="str">
        <f t="shared" si="148"/>
        <v/>
      </c>
      <c r="EM49" s="139" t="str">
        <f t="shared" si="149"/>
        <v/>
      </c>
      <c r="EN49" s="77" t="str">
        <f t="shared" si="150"/>
        <v/>
      </c>
      <c r="EO49" s="77" t="str">
        <f>IF(EN49="","",ATTENDANCE!Q50&amp;"/"&amp;ATTENDANCE!$Q$7)</f>
        <v/>
      </c>
      <c r="EP49" s="80" t="str">
        <f t="shared" si="151"/>
        <v/>
      </c>
      <c r="EQ49" s="80" t="str">
        <f t="shared" si="152"/>
        <v/>
      </c>
      <c r="ER49" s="80" t="str">
        <f t="shared" si="153"/>
        <v/>
      </c>
      <c r="ES49" s="80" t="str">
        <f t="shared" si="154"/>
        <v/>
      </c>
      <c r="ET49" s="80" t="str">
        <f t="shared" si="155"/>
        <v/>
      </c>
      <c r="EU49" s="80" t="str">
        <f t="shared" si="156"/>
        <v/>
      </c>
      <c r="EV49" s="492" t="str">
        <f t="shared" si="157"/>
        <v/>
      </c>
      <c r="EW49" s="129" t="str">
        <f t="shared" si="158"/>
        <v/>
      </c>
      <c r="EX49" s="129" t="str">
        <f t="shared" si="159"/>
        <v/>
      </c>
      <c r="EY49" s="129" t="str">
        <f t="shared" si="160"/>
        <v/>
      </c>
      <c r="EZ49" s="129" t="str">
        <f t="shared" si="161"/>
        <v/>
      </c>
      <c r="FA49" s="129" t="str">
        <f t="shared" si="162"/>
        <v/>
      </c>
      <c r="FB49" s="129" t="str">
        <f t="shared" si="163"/>
        <v/>
      </c>
      <c r="FC49" s="80" t="str">
        <f t="shared" si="164"/>
        <v/>
      </c>
      <c r="FD49" s="80" t="str">
        <f t="shared" si="165"/>
        <v/>
      </c>
      <c r="FE49" s="80" t="str">
        <f t="shared" si="166"/>
        <v/>
      </c>
      <c r="FF49" s="488" t="str">
        <f t="shared" si="167"/>
        <v/>
      </c>
      <c r="FG49" s="80" t="str">
        <f t="shared" si="168"/>
        <v/>
      </c>
      <c r="FH49" s="80" t="str">
        <f t="shared" si="169"/>
        <v/>
      </c>
      <c r="FI49" s="496" t="str">
        <f t="shared" si="170"/>
        <v/>
      </c>
      <c r="FJ49" s="140" t="str">
        <f t="shared" si="171"/>
        <v/>
      </c>
      <c r="FK49" s="492" t="str">
        <f t="shared" si="172"/>
        <v/>
      </c>
      <c r="FL49" s="490" t="str">
        <f t="shared" si="173"/>
        <v/>
      </c>
      <c r="FM49" s="74" t="str">
        <f t="shared" si="174"/>
        <v/>
      </c>
    </row>
    <row r="50" spans="1:170" ht="16.8" x14ac:dyDescent="0.3">
      <c r="A50" s="6"/>
      <c r="B50" s="25">
        <f>DATA!B48</f>
        <v>0</v>
      </c>
      <c r="C50" s="25" t="str">
        <f>IF(DATA!C48="","",DATA!C48)</f>
        <v/>
      </c>
      <c r="D50" s="25" t="str">
        <f>IF(DATA!D48="","",DATA!D48)</f>
        <v/>
      </c>
      <c r="E50" s="738" t="str">
        <f>IF(DATA!E48="","",DATA!E48)</f>
        <v/>
      </c>
      <c r="F50" s="738" t="str">
        <f>IF(DATA!F48="","",DATA!F48)</f>
        <v/>
      </c>
      <c r="G50" s="738" t="str">
        <f>IF(DATA!G48="","",DATA!G48)</f>
        <v/>
      </c>
      <c r="H50" s="214" t="str">
        <f>IF(DATA!H48="","",DATA!H48)</f>
        <v/>
      </c>
      <c r="I50" s="214" t="str">
        <f>IF(DATA!I48="","",DATA!I48)</f>
        <v/>
      </c>
      <c r="J50" s="214" t="str">
        <f>IF(DATA!J48="","",DATA!J48)</f>
        <v/>
      </c>
      <c r="K50" s="214" t="str">
        <f>IF(DATA!K48="","",DATA!K48)</f>
        <v/>
      </c>
      <c r="L50" s="73" t="str">
        <f>IF(ENGLISH!E50="","",ENGLISH!E50)</f>
        <v/>
      </c>
      <c r="M50" s="73" t="str">
        <f t="shared" si="41"/>
        <v/>
      </c>
      <c r="N50" s="73" t="str">
        <f>IF(ENGLISH!F50="","",ENGLISH!F50)</f>
        <v/>
      </c>
      <c r="O50" s="73" t="str">
        <f t="shared" si="42"/>
        <v/>
      </c>
      <c r="P50" s="73" t="str">
        <f>IF(ENGLISH!G50="","",ENGLISH!G50)</f>
        <v/>
      </c>
      <c r="Q50" s="73" t="str">
        <f t="shared" si="43"/>
        <v/>
      </c>
      <c r="R50" s="73" t="str">
        <f>IF(ENGLISH!H50="","",ENGLISH!H50)</f>
        <v/>
      </c>
      <c r="S50" s="73" t="str">
        <f>IF(ENGLISH!I50="","",ENGLISH!I50)</f>
        <v/>
      </c>
      <c r="T50" s="73" t="str">
        <f>IF(ENGLISH!J50="","",ENGLISH!J50)</f>
        <v/>
      </c>
      <c r="U50" s="73" t="str">
        <f>IF(ENGLISH!K50="","",ENGLISH!K50)</f>
        <v/>
      </c>
      <c r="V50" s="73" t="str">
        <f t="shared" si="44"/>
        <v/>
      </c>
      <c r="W50" s="81" t="str">
        <f>IF(ENGLISH!L50="","",ENGLISH!L50)</f>
        <v/>
      </c>
      <c r="X50" s="73" t="str">
        <f t="shared" si="45"/>
        <v/>
      </c>
      <c r="Y50" s="73" t="str">
        <f t="shared" si="46"/>
        <v/>
      </c>
      <c r="Z50" s="73" t="str">
        <f t="shared" si="47"/>
        <v/>
      </c>
      <c r="AA50" s="73" t="str">
        <f>IF(ENGLISH!O50="","",ENGLISH!O50*40/ENGLISH!$O$6)</f>
        <v/>
      </c>
      <c r="AB50" s="73" t="str">
        <f t="shared" si="48"/>
        <v/>
      </c>
      <c r="AC50" s="73" t="str">
        <f t="shared" si="49"/>
        <v/>
      </c>
      <c r="AD50" s="74" t="str">
        <f>IF(MATHS!E50="","",MATHS!E50)</f>
        <v/>
      </c>
      <c r="AE50" s="643" t="str">
        <f t="shared" si="50"/>
        <v/>
      </c>
      <c r="AF50" s="74" t="str">
        <f>IF(MATHS!F50="","",MATHS!F50)</f>
        <v/>
      </c>
      <c r="AG50" s="643" t="str">
        <f t="shared" si="51"/>
        <v/>
      </c>
      <c r="AH50" s="74" t="str">
        <f>IF(MATHS!G50="","",MATHS!G50)</f>
        <v/>
      </c>
      <c r="AI50" s="643" t="str">
        <f t="shared" si="52"/>
        <v/>
      </c>
      <c r="AJ50" s="75" t="str">
        <f t="shared" si="53"/>
        <v/>
      </c>
      <c r="AK50" s="75" t="str">
        <f t="shared" si="54"/>
        <v/>
      </c>
      <c r="AL50" s="75" t="str">
        <f t="shared" si="55"/>
        <v/>
      </c>
      <c r="AM50" s="75" t="str">
        <f>IF(MATHS!H50="","",MATHS!H50)</f>
        <v/>
      </c>
      <c r="AN50" s="75" t="str">
        <f>IF(MATHS!I50="","",MATHS!I50)</f>
        <v/>
      </c>
      <c r="AO50" s="75" t="str">
        <f>IF(MATHS!J50="","",MATHS!J50)</f>
        <v/>
      </c>
      <c r="AP50" s="75" t="str">
        <f t="shared" si="56"/>
        <v/>
      </c>
      <c r="AQ50" s="75" t="str">
        <f t="shared" si="57"/>
        <v/>
      </c>
      <c r="AR50" s="75" t="str">
        <f>IF(MATHS!K50="","",CEILING(MATHS!K50*$AR$6/MATHS!$K$6,1))</f>
        <v/>
      </c>
      <c r="AS50" s="76" t="str">
        <f t="shared" si="58"/>
        <v/>
      </c>
      <c r="AT50" s="76" t="str">
        <f t="shared" si="59"/>
        <v/>
      </c>
      <c r="AU50" s="76" t="str">
        <f>IF(MATHS!O50="","",MATHS!O50*$AU$6/MATHS!$O$6)</f>
        <v/>
      </c>
      <c r="AV50" s="76" t="str">
        <f t="shared" si="60"/>
        <v/>
      </c>
      <c r="AW50" s="76" t="str">
        <f t="shared" si="61"/>
        <v/>
      </c>
      <c r="AX50" s="73" t="str">
        <f>IF(PHYSICS!E51="","",PHYSICS!E51)</f>
        <v/>
      </c>
      <c r="AY50" s="644" t="str">
        <f t="shared" si="62"/>
        <v/>
      </c>
      <c r="AZ50" s="73" t="str">
        <f>IF(PHYSICS!F51="","",PHYSICS!F51)</f>
        <v/>
      </c>
      <c r="BA50" s="73" t="str">
        <f>IF(PHYSICS!G51="","",PHYSICS!G51)</f>
        <v/>
      </c>
      <c r="BB50" s="73" t="str">
        <f t="shared" si="63"/>
        <v/>
      </c>
      <c r="BC50" s="73" t="str">
        <f t="shared" si="64"/>
        <v/>
      </c>
      <c r="BD50" s="73" t="str">
        <f>IF(PHYSICS!H51="","",PHYSICS!H51)</f>
        <v/>
      </c>
      <c r="BE50" s="645" t="str">
        <f t="shared" si="65"/>
        <v/>
      </c>
      <c r="BF50" s="73" t="str">
        <f>IF(PHYSICS!I51="","",PHYSICS!I51)</f>
        <v/>
      </c>
      <c r="BG50" s="73" t="str">
        <f>IF(PHYSICS!J51="","",PHYSICS!J51)</f>
        <v/>
      </c>
      <c r="BH50" s="73" t="str">
        <f t="shared" si="66"/>
        <v/>
      </c>
      <c r="BI50" s="73" t="str">
        <f t="shared" si="67"/>
        <v/>
      </c>
      <c r="BJ50" s="73" t="str">
        <f t="shared" si="68"/>
        <v/>
      </c>
      <c r="BK50" s="73" t="str">
        <f t="shared" si="69"/>
        <v/>
      </c>
      <c r="BL50" s="73" t="str">
        <f t="shared" si="70"/>
        <v/>
      </c>
      <c r="BM50" s="73" t="str">
        <f t="shared" si="71"/>
        <v/>
      </c>
      <c r="BN50" s="73" t="str">
        <f>IF(PHYSICS!M51="","",PHYSICS!M51*$BN$6/PHYSICS!$M$7)</f>
        <v/>
      </c>
      <c r="BO50" s="73" t="str">
        <f t="shared" si="72"/>
        <v/>
      </c>
      <c r="BP50" s="73" t="str">
        <f t="shared" si="73"/>
        <v/>
      </c>
      <c r="BQ50" s="48" t="str">
        <f>IF(CHEMISTRY!E51="","",CHEMISTRY!E51)</f>
        <v/>
      </c>
      <c r="BR50" s="646" t="str">
        <f t="shared" si="74"/>
        <v/>
      </c>
      <c r="BS50" s="48" t="str">
        <f>IF(CHEMISTRY!F51="","",CHEMISTRY!F51)</f>
        <v/>
      </c>
      <c r="BT50" s="48" t="str">
        <f>IF(CHEMISTRY!G51="","",CHEMISTRY!G51)</f>
        <v/>
      </c>
      <c r="BU50" s="48" t="str">
        <f t="shared" si="75"/>
        <v/>
      </c>
      <c r="BV50" s="48" t="str">
        <f t="shared" si="76"/>
        <v/>
      </c>
      <c r="BW50" s="48" t="str">
        <f>IF(CHEMISTRY!H51="","",CHEMISTRY!H51)</f>
        <v/>
      </c>
      <c r="BX50" s="646" t="str">
        <f t="shared" si="77"/>
        <v/>
      </c>
      <c r="BY50" s="48" t="str">
        <f>IF(CHEMISTRY!I51="","",CHEMISTRY!I51)</f>
        <v/>
      </c>
      <c r="BZ50" s="48" t="str">
        <f>IF(CHEMISTRY!J51="","",CHEMISTRY!J51)</f>
        <v/>
      </c>
      <c r="CA50" s="48" t="str">
        <f t="shared" si="78"/>
        <v/>
      </c>
      <c r="CB50" s="48" t="str">
        <f t="shared" si="79"/>
        <v/>
      </c>
      <c r="CC50" s="48" t="str">
        <f t="shared" si="80"/>
        <v/>
      </c>
      <c r="CD50" s="48" t="str">
        <f t="shared" si="81"/>
        <v/>
      </c>
      <c r="CE50" s="48" t="str">
        <f t="shared" si="82"/>
        <v/>
      </c>
      <c r="CF50" s="48" t="str">
        <f t="shared" si="83"/>
        <v/>
      </c>
      <c r="CG50" s="48" t="str">
        <f>IF(CHEMISTRY!M51="","",CHEMISTRY!M51*$CG$6/CHEMISTRY!$M$7)</f>
        <v/>
      </c>
      <c r="CH50" s="48" t="str">
        <f t="shared" si="84"/>
        <v/>
      </c>
      <c r="CI50" s="48" t="str">
        <f t="shared" si="85"/>
        <v/>
      </c>
      <c r="CJ50" s="73" t="str">
        <f>IF(BIOLOGY!E51="","",BIOLOGY!E51)</f>
        <v/>
      </c>
      <c r="CK50" s="73" t="str">
        <f t="shared" si="86"/>
        <v/>
      </c>
      <c r="CL50" s="73" t="str">
        <f>IF(BIOLOGY!F51="","",BIOLOGY!F51)</f>
        <v/>
      </c>
      <c r="CM50" s="73" t="str">
        <f>IF(BIOLOGY!G51="","",BIOLOGY!G51)</f>
        <v/>
      </c>
      <c r="CN50" s="73" t="str">
        <f t="shared" si="87"/>
        <v/>
      </c>
      <c r="CO50" s="73" t="str">
        <f t="shared" si="88"/>
        <v/>
      </c>
      <c r="CP50" s="73" t="str">
        <f>IF(BIOLOGY!H51="","",BIOLOGY!H51)</f>
        <v/>
      </c>
      <c r="CQ50" s="73" t="str">
        <f t="shared" si="89"/>
        <v/>
      </c>
      <c r="CR50" s="73" t="str">
        <f>IF(BIOLOGY!I51="","",BIOLOGY!I51)</f>
        <v/>
      </c>
      <c r="CS50" s="73" t="str">
        <f>IF(BIOLOGY!J51="","",BIOLOGY!J51)</f>
        <v/>
      </c>
      <c r="CT50" s="73" t="str">
        <f t="shared" si="90"/>
        <v/>
      </c>
      <c r="CU50" s="73" t="str">
        <f t="shared" si="91"/>
        <v/>
      </c>
      <c r="CV50" s="73" t="str">
        <f t="shared" si="92"/>
        <v/>
      </c>
      <c r="CW50" s="73" t="str">
        <f t="shared" si="93"/>
        <v/>
      </c>
      <c r="CX50" s="73" t="str">
        <f t="shared" si="94"/>
        <v/>
      </c>
      <c r="CY50" s="73" t="str">
        <f t="shared" si="95"/>
        <v/>
      </c>
      <c r="CZ50" s="73" t="str">
        <f>IF(BIOLOGY!M51="","",CEILING((BIOLOGY!M51*$CZ$6/BIOLOGY!$M$7),1))</f>
        <v/>
      </c>
      <c r="DA50" s="73" t="str">
        <f t="shared" si="96"/>
        <v/>
      </c>
      <c r="DB50" s="73" t="str">
        <f t="shared" si="97"/>
        <v/>
      </c>
      <c r="DC50" s="76" t="str">
        <f>IF('PHY EDU '!E51="","",'PHY EDU '!E51)</f>
        <v/>
      </c>
      <c r="DD50" s="647" t="str">
        <f t="shared" si="98"/>
        <v/>
      </c>
      <c r="DE50" s="76" t="str">
        <f>IF('PHY EDU '!F51="","",'PHY EDU '!F51)</f>
        <v/>
      </c>
      <c r="DF50" s="76" t="str">
        <f>IF('PHY EDU '!G51="","",'PHY EDU '!G51)</f>
        <v/>
      </c>
      <c r="DG50" s="76" t="str">
        <f t="shared" si="99"/>
        <v/>
      </c>
      <c r="DH50" s="76" t="str">
        <f t="shared" si="100"/>
        <v/>
      </c>
      <c r="DI50" s="76" t="str">
        <f>IF('PHY EDU '!H51="","",'PHY EDU '!H51)</f>
        <v/>
      </c>
      <c r="DJ50" s="647" t="str">
        <f t="shared" si="101"/>
        <v/>
      </c>
      <c r="DK50" s="76" t="str">
        <f>IF('PHY EDU '!I51="","",'PHY EDU '!I51)</f>
        <v/>
      </c>
      <c r="DL50" s="76" t="str">
        <f>IF('PHY EDU '!J51="","",'PHY EDU '!J51)</f>
        <v/>
      </c>
      <c r="DM50" s="76" t="str">
        <f t="shared" si="102"/>
        <v/>
      </c>
      <c r="DN50" s="76" t="str">
        <f t="shared" si="103"/>
        <v/>
      </c>
      <c r="DO50" s="76" t="str">
        <f t="shared" si="104"/>
        <v/>
      </c>
      <c r="DP50" s="76" t="str">
        <f t="shared" si="105"/>
        <v/>
      </c>
      <c r="DQ50" s="76" t="str">
        <f t="shared" si="106"/>
        <v/>
      </c>
      <c r="DR50" s="76" t="str">
        <f t="shared" si="107"/>
        <v/>
      </c>
      <c r="DS50" s="76" t="str">
        <f>IF('PHY EDU '!M51="","",ROUNDUP('PHY EDU '!M51*$DS$6/'PHY EDU '!$M$7,0))</f>
        <v/>
      </c>
      <c r="DT50" s="76" t="str">
        <f t="shared" si="108"/>
        <v/>
      </c>
      <c r="DU50" s="76" t="str">
        <f t="shared" si="109"/>
        <v/>
      </c>
      <c r="DV50" s="72" t="str">
        <f t="shared" si="132"/>
        <v/>
      </c>
      <c r="DW50" s="72" t="str">
        <f t="shared" si="133"/>
        <v/>
      </c>
      <c r="DX50" s="72" t="str">
        <f t="shared" si="134"/>
        <v/>
      </c>
      <c r="DY50" s="72" t="str">
        <f t="shared" si="135"/>
        <v/>
      </c>
      <c r="DZ50" s="72" t="str">
        <f t="shared" si="136"/>
        <v/>
      </c>
      <c r="EA50" s="72" t="str">
        <f t="shared" si="137"/>
        <v/>
      </c>
      <c r="EB50" s="76" t="str">
        <f t="shared" si="138"/>
        <v/>
      </c>
      <c r="EC50" s="76" t="str">
        <f t="shared" si="139"/>
        <v/>
      </c>
      <c r="ED50" s="76" t="str">
        <f t="shared" si="140"/>
        <v/>
      </c>
      <c r="EE50" s="76" t="str">
        <f t="shared" si="141"/>
        <v/>
      </c>
      <c r="EF50" s="76" t="str">
        <f t="shared" si="142"/>
        <v/>
      </c>
      <c r="EG50" s="76" t="str">
        <f t="shared" si="143"/>
        <v/>
      </c>
      <c r="EH50" s="77" t="str">
        <f t="shared" si="144"/>
        <v/>
      </c>
      <c r="EI50" s="495" t="str">
        <f t="shared" si="145"/>
        <v/>
      </c>
      <c r="EJ50" s="86" t="str">
        <f t="shared" si="146"/>
        <v/>
      </c>
      <c r="EK50" s="78" t="str">
        <f t="shared" si="147"/>
        <v/>
      </c>
      <c r="EL50" s="79" t="str">
        <f t="shared" si="148"/>
        <v/>
      </c>
      <c r="EM50" s="139" t="str">
        <f t="shared" si="149"/>
        <v/>
      </c>
      <c r="EN50" s="77" t="str">
        <f t="shared" si="150"/>
        <v/>
      </c>
      <c r="EO50" s="77" t="str">
        <f>IF(EN50="","",ATTENDANCE!Q51&amp;"/"&amp;ATTENDANCE!$Q$7)</f>
        <v/>
      </c>
      <c r="EP50" s="80" t="str">
        <f t="shared" si="151"/>
        <v/>
      </c>
      <c r="EQ50" s="80" t="str">
        <f t="shared" si="152"/>
        <v/>
      </c>
      <c r="ER50" s="80" t="str">
        <f t="shared" si="153"/>
        <v/>
      </c>
      <c r="ES50" s="80" t="str">
        <f t="shared" si="154"/>
        <v/>
      </c>
      <c r="ET50" s="80" t="str">
        <f t="shared" si="155"/>
        <v/>
      </c>
      <c r="EU50" s="80" t="str">
        <f t="shared" si="156"/>
        <v/>
      </c>
      <c r="EV50" s="492" t="str">
        <f t="shared" si="157"/>
        <v/>
      </c>
      <c r="EW50" s="129" t="str">
        <f t="shared" si="158"/>
        <v/>
      </c>
      <c r="EX50" s="129" t="str">
        <f t="shared" si="159"/>
        <v/>
      </c>
      <c r="EY50" s="129" t="str">
        <f t="shared" si="160"/>
        <v/>
      </c>
      <c r="EZ50" s="129" t="str">
        <f t="shared" si="161"/>
        <v/>
      </c>
      <c r="FA50" s="129" t="str">
        <f t="shared" si="162"/>
        <v/>
      </c>
      <c r="FB50" s="129" t="str">
        <f t="shared" si="163"/>
        <v/>
      </c>
      <c r="FC50" s="80" t="str">
        <f t="shared" si="164"/>
        <v/>
      </c>
      <c r="FD50" s="80" t="str">
        <f t="shared" si="165"/>
        <v/>
      </c>
      <c r="FE50" s="80" t="str">
        <f t="shared" si="166"/>
        <v/>
      </c>
      <c r="FF50" s="488" t="str">
        <f t="shared" si="167"/>
        <v/>
      </c>
      <c r="FG50" s="80" t="str">
        <f t="shared" si="168"/>
        <v/>
      </c>
      <c r="FH50" s="80" t="str">
        <f t="shared" si="169"/>
        <v/>
      </c>
      <c r="FI50" s="496" t="str">
        <f t="shared" si="170"/>
        <v/>
      </c>
      <c r="FJ50" s="140" t="str">
        <f t="shared" si="171"/>
        <v/>
      </c>
      <c r="FK50" s="492" t="str">
        <f t="shared" si="172"/>
        <v/>
      </c>
      <c r="FL50" s="490" t="str">
        <f t="shared" si="173"/>
        <v/>
      </c>
      <c r="FM50" s="74" t="str">
        <f t="shared" si="174"/>
        <v/>
      </c>
    </row>
    <row r="51" spans="1:170" s="362" customFormat="1" ht="23.4" thickBot="1" x14ac:dyDescent="0.35">
      <c r="A51" s="6"/>
      <c r="B51" s="82">
        <f>DATA!B49</f>
        <v>0</v>
      </c>
      <c r="C51" s="82" t="str">
        <f>IF(DATA!C49="","",DATA!C49)</f>
        <v/>
      </c>
      <c r="D51" s="82" t="str">
        <f>IF(DATA!D49="","",DATA!D49)</f>
        <v/>
      </c>
      <c r="E51" s="739" t="str">
        <f>IF(DATA!E49="","",DATA!E49)</f>
        <v/>
      </c>
      <c r="F51" s="739" t="str">
        <f>IF(DATA!F49="","",DATA!F49)</f>
        <v/>
      </c>
      <c r="G51" s="739" t="str">
        <f>IF(DATA!G49="","",DATA!G49)</f>
        <v/>
      </c>
      <c r="H51" s="395" t="str">
        <f>IF(DATA!H49="","",DATA!H49)</f>
        <v/>
      </c>
      <c r="I51" s="395" t="str">
        <f>IF(DATA!I49="","",DATA!I49)</f>
        <v/>
      </c>
      <c r="J51" s="395" t="str">
        <f>IF(DATA!J49="","",DATA!J49)</f>
        <v/>
      </c>
      <c r="K51" s="395" t="str">
        <f>IF(DATA!K49="","",DATA!K49)</f>
        <v/>
      </c>
      <c r="L51" s="73" t="str">
        <f>IF(ENGLISH!E51="","",ENGLISH!E51)</f>
        <v/>
      </c>
      <c r="M51" s="73" t="str">
        <f t="shared" si="41"/>
        <v/>
      </c>
      <c r="N51" s="73" t="str">
        <f>IF(ENGLISH!F51="","",ENGLISH!F51)</f>
        <v/>
      </c>
      <c r="O51" s="73" t="str">
        <f t="shared" si="42"/>
        <v/>
      </c>
      <c r="P51" s="73" t="str">
        <f>IF(ENGLISH!G51="","",ENGLISH!G51)</f>
        <v/>
      </c>
      <c r="Q51" s="73" t="str">
        <f t="shared" si="43"/>
        <v/>
      </c>
      <c r="R51" s="73" t="str">
        <f>IF(ENGLISH!H51="","",ENGLISH!H51)</f>
        <v/>
      </c>
      <c r="S51" s="73" t="str">
        <f>IF(ENGLISH!I51="","",ENGLISH!I51)</f>
        <v/>
      </c>
      <c r="T51" s="73" t="str">
        <f>IF(ENGLISH!J51="","",ENGLISH!J51)</f>
        <v/>
      </c>
      <c r="U51" s="73" t="str">
        <f>IF(ENGLISH!K51="","",ENGLISH!K51)</f>
        <v/>
      </c>
      <c r="V51" s="73" t="str">
        <f t="shared" si="44"/>
        <v/>
      </c>
      <c r="W51" s="81" t="str">
        <f>IF(ENGLISH!L51="","",ENGLISH!L51)</f>
        <v/>
      </c>
      <c r="X51" s="73" t="str">
        <f t="shared" si="45"/>
        <v/>
      </c>
      <c r="Y51" s="73" t="str">
        <f t="shared" si="46"/>
        <v/>
      </c>
      <c r="Z51" s="73" t="str">
        <f t="shared" si="47"/>
        <v/>
      </c>
      <c r="AA51" s="73" t="str">
        <f>IF(ENGLISH!O51="","",ENGLISH!O51*40/ENGLISH!$O$6)</f>
        <v/>
      </c>
      <c r="AB51" s="73" t="str">
        <f t="shared" si="48"/>
        <v/>
      </c>
      <c r="AC51" s="73" t="str">
        <f t="shared" si="49"/>
        <v/>
      </c>
      <c r="AD51" s="74" t="str">
        <f>IF(MATHS!E51="","",MATHS!E51)</f>
        <v/>
      </c>
      <c r="AE51" s="643" t="str">
        <f t="shared" si="50"/>
        <v/>
      </c>
      <c r="AF51" s="74" t="str">
        <f>IF(MATHS!F51="","",MATHS!F51)</f>
        <v/>
      </c>
      <c r="AG51" s="643" t="str">
        <f t="shared" si="51"/>
        <v/>
      </c>
      <c r="AH51" s="74" t="str">
        <f>IF(MATHS!G51="","",MATHS!G51)</f>
        <v/>
      </c>
      <c r="AI51" s="643" t="str">
        <f t="shared" si="52"/>
        <v/>
      </c>
      <c r="AJ51" s="75" t="str">
        <f t="shared" si="53"/>
        <v/>
      </c>
      <c r="AK51" s="75" t="str">
        <f t="shared" si="54"/>
        <v/>
      </c>
      <c r="AL51" s="75" t="str">
        <f t="shared" si="55"/>
        <v/>
      </c>
      <c r="AM51" s="75" t="str">
        <f>IF(MATHS!H51="","",MATHS!H51)</f>
        <v/>
      </c>
      <c r="AN51" s="75" t="str">
        <f>IF(MATHS!I51="","",MATHS!I51)</f>
        <v/>
      </c>
      <c r="AO51" s="75" t="str">
        <f>IF(MATHS!J51="","",MATHS!J51)</f>
        <v/>
      </c>
      <c r="AP51" s="75" t="str">
        <f t="shared" si="56"/>
        <v/>
      </c>
      <c r="AQ51" s="75" t="str">
        <f t="shared" si="57"/>
        <v/>
      </c>
      <c r="AR51" s="75" t="str">
        <f>IF(MATHS!K51="","",CEILING(MATHS!K51*$AR$6/MATHS!$K$6,1))</f>
        <v/>
      </c>
      <c r="AS51" s="76" t="str">
        <f t="shared" si="58"/>
        <v/>
      </c>
      <c r="AT51" s="76" t="str">
        <f t="shared" si="59"/>
        <v/>
      </c>
      <c r="AU51" s="76" t="str">
        <f>IF(MATHS!O51="","",MATHS!O51*$AU$6/MATHS!$O$6)</f>
        <v/>
      </c>
      <c r="AV51" s="76" t="str">
        <f t="shared" si="60"/>
        <v/>
      </c>
      <c r="AW51" s="76" t="str">
        <f t="shared" si="61"/>
        <v/>
      </c>
      <c r="AX51" s="73" t="str">
        <f>IF(PHYSICS!E52="","",PHYSICS!E52)</f>
        <v/>
      </c>
      <c r="AY51" s="644" t="str">
        <f t="shared" si="62"/>
        <v/>
      </c>
      <c r="AZ51" s="73" t="str">
        <f>IF(PHYSICS!F52="","",PHYSICS!F52)</f>
        <v/>
      </c>
      <c r="BA51" s="73" t="str">
        <f>IF(PHYSICS!G52="","",PHYSICS!G52)</f>
        <v/>
      </c>
      <c r="BB51" s="73" t="str">
        <f t="shared" si="63"/>
        <v/>
      </c>
      <c r="BC51" s="73" t="str">
        <f t="shared" si="64"/>
        <v/>
      </c>
      <c r="BD51" s="73" t="str">
        <f>IF(PHYSICS!H52="","",PHYSICS!H52)</f>
        <v/>
      </c>
      <c r="BE51" s="645" t="str">
        <f t="shared" si="65"/>
        <v/>
      </c>
      <c r="BF51" s="73" t="str">
        <f>IF(PHYSICS!I52="","",PHYSICS!I52)</f>
        <v/>
      </c>
      <c r="BG51" s="73" t="str">
        <f>IF(PHYSICS!J52="","",PHYSICS!J52)</f>
        <v/>
      </c>
      <c r="BH51" s="73" t="str">
        <f t="shared" si="66"/>
        <v/>
      </c>
      <c r="BI51" s="73" t="str">
        <f t="shared" si="67"/>
        <v/>
      </c>
      <c r="BJ51" s="73" t="str">
        <f t="shared" si="68"/>
        <v/>
      </c>
      <c r="BK51" s="73" t="str">
        <f t="shared" si="69"/>
        <v/>
      </c>
      <c r="BL51" s="73" t="str">
        <f t="shared" si="70"/>
        <v/>
      </c>
      <c r="BM51" s="73" t="str">
        <f t="shared" si="71"/>
        <v/>
      </c>
      <c r="BN51" s="73" t="str">
        <f>IF(PHYSICS!M52="","",PHYSICS!M52*$BN$6/PHYSICS!$M$7)</f>
        <v/>
      </c>
      <c r="BO51" s="73" t="str">
        <f t="shared" si="72"/>
        <v/>
      </c>
      <c r="BP51" s="73" t="str">
        <f t="shared" si="73"/>
        <v/>
      </c>
      <c r="BQ51" s="48" t="str">
        <f>IF(CHEMISTRY!E52="","",CHEMISTRY!E52)</f>
        <v/>
      </c>
      <c r="BR51" s="646" t="str">
        <f t="shared" si="74"/>
        <v/>
      </c>
      <c r="BS51" s="48" t="str">
        <f>IF(CHEMISTRY!F52="","",CHEMISTRY!F52)</f>
        <v/>
      </c>
      <c r="BT51" s="48" t="str">
        <f>IF(CHEMISTRY!G52="","",CHEMISTRY!G52)</f>
        <v/>
      </c>
      <c r="BU51" s="48" t="str">
        <f t="shared" si="75"/>
        <v/>
      </c>
      <c r="BV51" s="48" t="str">
        <f t="shared" si="76"/>
        <v/>
      </c>
      <c r="BW51" s="48" t="str">
        <f>IF(CHEMISTRY!H52="","",CHEMISTRY!H52)</f>
        <v/>
      </c>
      <c r="BX51" s="646" t="str">
        <f t="shared" si="77"/>
        <v/>
      </c>
      <c r="BY51" s="48" t="str">
        <f>IF(CHEMISTRY!I52="","",CHEMISTRY!I52)</f>
        <v/>
      </c>
      <c r="BZ51" s="48" t="str">
        <f>IF(CHEMISTRY!J52="","",CHEMISTRY!J52)</f>
        <v/>
      </c>
      <c r="CA51" s="48" t="str">
        <f t="shared" si="78"/>
        <v/>
      </c>
      <c r="CB51" s="48" t="str">
        <f t="shared" si="79"/>
        <v/>
      </c>
      <c r="CC51" s="48" t="str">
        <f t="shared" si="80"/>
        <v/>
      </c>
      <c r="CD51" s="48" t="str">
        <f t="shared" si="81"/>
        <v/>
      </c>
      <c r="CE51" s="48" t="str">
        <f t="shared" si="82"/>
        <v/>
      </c>
      <c r="CF51" s="48" t="str">
        <f t="shared" si="83"/>
        <v/>
      </c>
      <c r="CG51" s="48" t="str">
        <f>IF(CHEMISTRY!M52="","",CHEMISTRY!M52*$CG$6/CHEMISTRY!$M$7)</f>
        <v/>
      </c>
      <c r="CH51" s="48" t="str">
        <f t="shared" si="84"/>
        <v/>
      </c>
      <c r="CI51" s="48" t="str">
        <f t="shared" si="85"/>
        <v/>
      </c>
      <c r="CJ51" s="73" t="str">
        <f>IF(BIOLOGY!E52="","",BIOLOGY!E52)</f>
        <v/>
      </c>
      <c r="CK51" s="73" t="str">
        <f t="shared" si="86"/>
        <v/>
      </c>
      <c r="CL51" s="73" t="str">
        <f>IF(BIOLOGY!F52="","",BIOLOGY!F52)</f>
        <v/>
      </c>
      <c r="CM51" s="73" t="str">
        <f>IF(BIOLOGY!G52="","",BIOLOGY!G52)</f>
        <v/>
      </c>
      <c r="CN51" s="73" t="str">
        <f t="shared" si="87"/>
        <v/>
      </c>
      <c r="CO51" s="73" t="str">
        <f t="shared" si="88"/>
        <v/>
      </c>
      <c r="CP51" s="73" t="str">
        <f>IF(BIOLOGY!H52="","",BIOLOGY!H52)</f>
        <v/>
      </c>
      <c r="CQ51" s="73" t="str">
        <f t="shared" si="89"/>
        <v/>
      </c>
      <c r="CR51" s="73" t="str">
        <f>IF(BIOLOGY!I52="","",BIOLOGY!I52)</f>
        <v/>
      </c>
      <c r="CS51" s="73" t="str">
        <f>IF(BIOLOGY!J52="","",BIOLOGY!J52)</f>
        <v/>
      </c>
      <c r="CT51" s="73" t="str">
        <f t="shared" si="90"/>
        <v/>
      </c>
      <c r="CU51" s="73" t="str">
        <f t="shared" si="91"/>
        <v/>
      </c>
      <c r="CV51" s="73" t="str">
        <f t="shared" si="92"/>
        <v/>
      </c>
      <c r="CW51" s="73" t="str">
        <f t="shared" si="93"/>
        <v/>
      </c>
      <c r="CX51" s="73" t="str">
        <f t="shared" si="94"/>
        <v/>
      </c>
      <c r="CY51" s="73" t="str">
        <f t="shared" si="95"/>
        <v/>
      </c>
      <c r="CZ51" s="73" t="str">
        <f>IF(BIOLOGY!M52="","",CEILING((BIOLOGY!M52*$CZ$6/BIOLOGY!$M$7),1))</f>
        <v/>
      </c>
      <c r="DA51" s="73" t="str">
        <f t="shared" si="96"/>
        <v/>
      </c>
      <c r="DB51" s="73" t="str">
        <f t="shared" si="97"/>
        <v/>
      </c>
      <c r="DC51" s="76" t="str">
        <f>IF('PHY EDU '!E52="","",'PHY EDU '!E52)</f>
        <v/>
      </c>
      <c r="DD51" s="647" t="str">
        <f t="shared" si="98"/>
        <v/>
      </c>
      <c r="DE51" s="76" t="str">
        <f>IF('PHY EDU '!F52="","",'PHY EDU '!F52)</f>
        <v/>
      </c>
      <c r="DF51" s="76" t="str">
        <f>IF('PHY EDU '!G52="","",'PHY EDU '!G52)</f>
        <v/>
      </c>
      <c r="DG51" s="76" t="str">
        <f t="shared" si="99"/>
        <v/>
      </c>
      <c r="DH51" s="76" t="str">
        <f t="shared" si="100"/>
        <v/>
      </c>
      <c r="DI51" s="76" t="str">
        <f>IF('PHY EDU '!H52="","",'PHY EDU '!H52)</f>
        <v/>
      </c>
      <c r="DJ51" s="647" t="str">
        <f t="shared" si="101"/>
        <v/>
      </c>
      <c r="DK51" s="76" t="str">
        <f>IF('PHY EDU '!I52="","",'PHY EDU '!I52)</f>
        <v/>
      </c>
      <c r="DL51" s="76" t="str">
        <f>IF('PHY EDU '!J52="","",'PHY EDU '!J52)</f>
        <v/>
      </c>
      <c r="DM51" s="76" t="str">
        <f t="shared" si="102"/>
        <v/>
      </c>
      <c r="DN51" s="76" t="str">
        <f t="shared" si="103"/>
        <v/>
      </c>
      <c r="DO51" s="76" t="str">
        <f t="shared" si="104"/>
        <v/>
      </c>
      <c r="DP51" s="76" t="str">
        <f t="shared" si="105"/>
        <v/>
      </c>
      <c r="DQ51" s="76" t="str">
        <f t="shared" si="106"/>
        <v/>
      </c>
      <c r="DR51" s="76" t="str">
        <f t="shared" si="107"/>
        <v/>
      </c>
      <c r="DS51" s="76" t="str">
        <f>IF('PHY EDU '!M52="","",ROUNDUP('PHY EDU '!M52*$DS$6/'PHY EDU '!$M$7,0))</f>
        <v/>
      </c>
      <c r="DT51" s="76" t="str">
        <f t="shared" si="108"/>
        <v/>
      </c>
      <c r="DU51" s="76" t="str">
        <f t="shared" si="109"/>
        <v/>
      </c>
      <c r="DV51" s="398" t="str">
        <f t="shared" si="132"/>
        <v/>
      </c>
      <c r="DW51" s="398" t="str">
        <f t="shared" si="133"/>
        <v/>
      </c>
      <c r="DX51" s="398" t="str">
        <f t="shared" si="134"/>
        <v/>
      </c>
      <c r="DY51" s="398" t="str">
        <f t="shared" si="135"/>
        <v/>
      </c>
      <c r="DZ51" s="398" t="str">
        <f t="shared" si="136"/>
        <v/>
      </c>
      <c r="EA51" s="398" t="str">
        <f t="shared" si="137"/>
        <v/>
      </c>
      <c r="EB51" s="397" t="str">
        <f t="shared" si="138"/>
        <v/>
      </c>
      <c r="EC51" s="397" t="str">
        <f t="shared" si="139"/>
        <v/>
      </c>
      <c r="ED51" s="397" t="str">
        <f t="shared" si="140"/>
        <v/>
      </c>
      <c r="EE51" s="397" t="str">
        <f t="shared" si="141"/>
        <v/>
      </c>
      <c r="EF51" s="397" t="str">
        <f t="shared" si="142"/>
        <v/>
      </c>
      <c r="EG51" s="397" t="str">
        <f t="shared" si="143"/>
        <v/>
      </c>
      <c r="EH51" s="399" t="str">
        <f t="shared" si="144"/>
        <v/>
      </c>
      <c r="EI51" s="497" t="str">
        <f t="shared" si="145"/>
        <v/>
      </c>
      <c r="EJ51" s="400" t="str">
        <f t="shared" si="146"/>
        <v/>
      </c>
      <c r="EK51" s="401" t="str">
        <f t="shared" si="147"/>
        <v/>
      </c>
      <c r="EL51" s="402" t="str">
        <f t="shared" si="148"/>
        <v/>
      </c>
      <c r="EM51" s="403" t="str">
        <f t="shared" si="149"/>
        <v/>
      </c>
      <c r="EN51" s="399" t="str">
        <f t="shared" si="150"/>
        <v/>
      </c>
      <c r="EO51" s="399" t="str">
        <f>IF(EN51="","",ATTENDANCE!Q52&amp;"/"&amp;ATTENDANCE!$Q$7)</f>
        <v/>
      </c>
      <c r="EP51" s="404" t="str">
        <f t="shared" si="151"/>
        <v/>
      </c>
      <c r="EQ51" s="404" t="str">
        <f t="shared" si="152"/>
        <v/>
      </c>
      <c r="ER51" s="404" t="str">
        <f t="shared" si="153"/>
        <v/>
      </c>
      <c r="ES51" s="404" t="str">
        <f t="shared" si="154"/>
        <v/>
      </c>
      <c r="ET51" s="404" t="str">
        <f t="shared" si="155"/>
        <v/>
      </c>
      <c r="EU51" s="404" t="str">
        <f t="shared" si="156"/>
        <v/>
      </c>
      <c r="EV51" s="498" t="str">
        <f t="shared" si="157"/>
        <v/>
      </c>
      <c r="EW51" s="405" t="str">
        <f t="shared" si="158"/>
        <v/>
      </c>
      <c r="EX51" s="405" t="str">
        <f t="shared" si="159"/>
        <v/>
      </c>
      <c r="EY51" s="405" t="str">
        <f t="shared" si="160"/>
        <v/>
      </c>
      <c r="EZ51" s="405" t="str">
        <f t="shared" si="161"/>
        <v/>
      </c>
      <c r="FA51" s="405" t="str">
        <f t="shared" si="162"/>
        <v/>
      </c>
      <c r="FB51" s="405" t="str">
        <f t="shared" si="163"/>
        <v/>
      </c>
      <c r="FC51" s="404" t="str">
        <f t="shared" si="164"/>
        <v/>
      </c>
      <c r="FD51" s="404" t="str">
        <f t="shared" si="165"/>
        <v/>
      </c>
      <c r="FE51" s="404" t="str">
        <f t="shared" si="166"/>
        <v/>
      </c>
      <c r="FF51" s="499" t="str">
        <f t="shared" si="167"/>
        <v/>
      </c>
      <c r="FG51" s="404" t="str">
        <f t="shared" si="168"/>
        <v/>
      </c>
      <c r="FH51" s="404" t="str">
        <f t="shared" si="169"/>
        <v/>
      </c>
      <c r="FI51" s="500" t="str">
        <f t="shared" si="170"/>
        <v/>
      </c>
      <c r="FJ51" s="501" t="str">
        <f t="shared" si="171"/>
        <v/>
      </c>
      <c r="FK51" s="498" t="str">
        <f t="shared" si="172"/>
        <v/>
      </c>
      <c r="FL51" s="502" t="str">
        <f t="shared" si="173"/>
        <v/>
      </c>
      <c r="FM51" s="396" t="str">
        <f t="shared" si="174"/>
        <v/>
      </c>
      <c r="FN51" s="592"/>
    </row>
    <row r="52" spans="1:170" s="362" customFormat="1" ht="22.95" customHeight="1" x14ac:dyDescent="0.3">
      <c r="A52" s="6"/>
      <c r="B52" s="503"/>
      <c r="C52" s="106"/>
      <c r="D52" s="106"/>
      <c r="E52" s="504"/>
      <c r="F52" s="505"/>
      <c r="G52" s="505"/>
      <c r="H52" s="505"/>
      <c r="I52" s="505"/>
      <c r="J52" s="505"/>
      <c r="K52" s="505"/>
      <c r="L52" s="595"/>
      <c r="M52" s="596"/>
      <c r="N52" s="1213" t="s">
        <v>160</v>
      </c>
      <c r="O52" s="1214"/>
      <c r="P52" s="1214"/>
      <c r="Q52" s="1214"/>
      <c r="R52" s="1214"/>
      <c r="S52" s="1214"/>
      <c r="T52" s="1215"/>
      <c r="U52" s="1213" t="s">
        <v>161</v>
      </c>
      <c r="V52" s="1214"/>
      <c r="W52" s="1214"/>
      <c r="X52" s="1214"/>
      <c r="Y52" s="1214"/>
      <c r="Z52" s="1215"/>
      <c r="AA52" s="1213" t="s">
        <v>196</v>
      </c>
      <c r="AB52" s="1215"/>
      <c r="AC52" s="506">
        <f>COUNT($W$7:$W$51)</f>
        <v>3</v>
      </c>
      <c r="AD52" s="595"/>
      <c r="AE52" s="1213" t="s">
        <v>160</v>
      </c>
      <c r="AF52" s="1214"/>
      <c r="AG52" s="1214"/>
      <c r="AH52" s="1214"/>
      <c r="AI52" s="1215"/>
      <c r="AJ52" s="1213" t="s">
        <v>161</v>
      </c>
      <c r="AK52" s="1214"/>
      <c r="AL52" s="1214"/>
      <c r="AM52" s="1214"/>
      <c r="AN52" s="1215"/>
      <c r="AO52" s="597"/>
      <c r="AP52" s="1218" t="s">
        <v>42</v>
      </c>
      <c r="AQ52" s="1218"/>
      <c r="AR52" s="1218"/>
      <c r="AS52" s="1219"/>
      <c r="AT52" s="1217">
        <f>COUNT($AR$7:$AR$51)</f>
        <v>0</v>
      </c>
      <c r="AU52" s="1218"/>
      <c r="AV52" s="1219"/>
      <c r="AW52" s="506"/>
      <c r="AX52" s="595"/>
      <c r="AY52" s="1213" t="s">
        <v>160</v>
      </c>
      <c r="AZ52" s="1214"/>
      <c r="BA52" s="1214"/>
      <c r="BB52" s="1214"/>
      <c r="BC52" s="1215"/>
      <c r="BD52" s="1213" t="s">
        <v>161</v>
      </c>
      <c r="BE52" s="1214"/>
      <c r="BF52" s="1214"/>
      <c r="BG52" s="1214"/>
      <c r="BH52" s="1215"/>
      <c r="BI52" s="597"/>
      <c r="BJ52" s="1218" t="s">
        <v>42</v>
      </c>
      <c r="BK52" s="1218"/>
      <c r="BL52" s="1218"/>
      <c r="BM52" s="1219"/>
      <c r="BN52" s="1217">
        <f>COUNT(BH7:BH51)</f>
        <v>3</v>
      </c>
      <c r="BO52" s="1218"/>
      <c r="BP52" s="1219"/>
      <c r="BQ52" s="595"/>
      <c r="BR52" s="1213" t="s">
        <v>160</v>
      </c>
      <c r="BS52" s="1214"/>
      <c r="BT52" s="1214"/>
      <c r="BU52" s="1214"/>
      <c r="BV52" s="1215"/>
      <c r="BW52" s="1213" t="s">
        <v>161</v>
      </c>
      <c r="BX52" s="1214"/>
      <c r="BY52" s="1214"/>
      <c r="BZ52" s="1214"/>
      <c r="CA52" s="1215"/>
      <c r="CB52" s="597"/>
      <c r="CC52" s="1218" t="s">
        <v>42</v>
      </c>
      <c r="CD52" s="1218"/>
      <c r="CE52" s="1218"/>
      <c r="CF52" s="1219"/>
      <c r="CG52" s="1217">
        <f>COUNT(CA7:CA51)</f>
        <v>3</v>
      </c>
      <c r="CH52" s="1218"/>
      <c r="CI52" s="1219"/>
      <c r="CJ52" s="595"/>
      <c r="CK52" s="1213" t="s">
        <v>160</v>
      </c>
      <c r="CL52" s="1214"/>
      <c r="CM52" s="1214"/>
      <c r="CN52" s="1214"/>
      <c r="CO52" s="1215"/>
      <c r="CP52" s="1213" t="s">
        <v>161</v>
      </c>
      <c r="CQ52" s="1214"/>
      <c r="CR52" s="1214"/>
      <c r="CS52" s="1214"/>
      <c r="CT52" s="1215"/>
      <c r="CU52" s="597"/>
      <c r="CV52" s="1218" t="s">
        <v>42</v>
      </c>
      <c r="CW52" s="1218"/>
      <c r="CX52" s="1218"/>
      <c r="CY52" s="1219"/>
      <c r="CZ52" s="1217">
        <f>COUNT(CT7:CT51)</f>
        <v>1</v>
      </c>
      <c r="DA52" s="1218"/>
      <c r="DB52" s="1219"/>
      <c r="DC52" s="595"/>
      <c r="DD52" s="1213" t="s">
        <v>160</v>
      </c>
      <c r="DE52" s="1214"/>
      <c r="DF52" s="1214"/>
      <c r="DG52" s="1214"/>
      <c r="DH52" s="1215"/>
      <c r="DI52" s="1213" t="s">
        <v>161</v>
      </c>
      <c r="DJ52" s="1214"/>
      <c r="DK52" s="1214"/>
      <c r="DL52" s="1214"/>
      <c r="DM52" s="1215"/>
      <c r="DN52" s="597"/>
      <c r="DO52" s="1218" t="s">
        <v>42</v>
      </c>
      <c r="DP52" s="1218"/>
      <c r="DQ52" s="1218"/>
      <c r="DR52" s="1219"/>
      <c r="DS52" s="1217">
        <f>COUNT(DM7:DM51)</f>
        <v>3</v>
      </c>
      <c r="DT52" s="1218"/>
      <c r="DU52" s="1219"/>
      <c r="DV52" s="507" t="str">
        <f t="shared" ref="DV52:DV69" si="175">IF(C52="","",IF(EP52="",Y52,""))</f>
        <v/>
      </c>
      <c r="DW52" s="508" t="str">
        <f t="shared" ref="DW52:DW69" si="176">IF(C52="","",IF(EQ52="",AS52,""))</f>
        <v/>
      </c>
      <c r="DX52" s="508" t="str">
        <f t="shared" ref="DX52:DX69" si="177">IF(C52="","",IF(ER52="",BL52,""))</f>
        <v/>
      </c>
      <c r="DY52" s="508" t="str">
        <f t="shared" ref="DY52:DY69" si="178">IF(C52="","",IF(ES52="",CE52,""))</f>
        <v/>
      </c>
      <c r="DZ52" s="508" t="str">
        <f t="shared" ref="DZ52:DZ69" si="179">IF(C52="","",IF(ET52="",CX52,""))</f>
        <v/>
      </c>
      <c r="EA52" s="508" t="str">
        <f t="shared" ref="EA52:EA69" si="180">IF(C52="","",IF(EU52="",DQ52,""))</f>
        <v/>
      </c>
      <c r="EB52" s="509" t="str">
        <f t="shared" ref="EB52:EB69" si="181">IF(C52="","",IF(EP52="",Z52,""))</f>
        <v/>
      </c>
      <c r="EC52" s="509" t="str">
        <f t="shared" ref="EC52:EC69" si="182">IF(C52="","",IF(EQ52="",AT52,""))</f>
        <v/>
      </c>
      <c r="ED52" s="509" t="str">
        <f t="shared" ref="ED52:ED69" si="183">IF(C52="","",IF(ER52="",BM52,""))</f>
        <v/>
      </c>
      <c r="EE52" s="509" t="str">
        <f t="shared" ref="EE52:EE69" si="184">IF(C52="","",IF(ES52="",CF52,""))</f>
        <v/>
      </c>
      <c r="EF52" s="509" t="str">
        <f t="shared" ref="EF52:EF69" si="185">IF(C52="","",IF(ET52="",CY52,""))</f>
        <v/>
      </c>
      <c r="EG52" s="509" t="str">
        <f t="shared" ref="EG52:EG69" si="186">IF(C52="","",IF(EU52="",DR52,""))</f>
        <v/>
      </c>
      <c r="EH52" s="1158" t="str">
        <f>IF(FJ52="0","","SVGMS, "&amp;DASHBOARD!B3)</f>
        <v xml:space="preserve">SVGMS, AMET, BLOCK-AMET, RAJSAMAND                                                                </v>
      </c>
      <c r="EI52" s="1159"/>
      <c r="EJ52" s="1159"/>
      <c r="EK52" s="1159"/>
      <c r="EL52" s="1159"/>
      <c r="EM52" s="1159"/>
      <c r="EN52" s="1160"/>
      <c r="EO52" s="1249"/>
      <c r="EP52" s="510"/>
      <c r="EQ52" s="511"/>
      <c r="ER52" s="511"/>
      <c r="ES52" s="511"/>
      <c r="ET52" s="511"/>
      <c r="EU52" s="511"/>
      <c r="EV52" s="1172" t="s">
        <v>230</v>
      </c>
      <c r="EW52" s="1172"/>
      <c r="EX52" s="1172"/>
      <c r="EY52" s="1172"/>
      <c r="EZ52" s="1172"/>
      <c r="FA52" s="1172"/>
      <c r="FB52" s="1172"/>
      <c r="FC52" s="1172"/>
      <c r="FD52" s="1172"/>
      <c r="FE52" s="1172"/>
      <c r="FF52" s="1172"/>
      <c r="FG52" s="1173"/>
      <c r="FH52" s="1266" t="str">
        <f>"SCHOOL RESULT  "&amp;DASHBOARD!B4</f>
        <v>SCHOOL RESULT  SESSION    -  2025-26</v>
      </c>
      <c r="FI52" s="1267"/>
      <c r="FJ52" s="1271" t="str">
        <f>IF('SCHOOL RESULT'!I24="0","",'SCHOOL RESULT'!I24)</f>
        <v>100 %</v>
      </c>
      <c r="FK52" s="1278"/>
      <c r="FL52" s="1278"/>
      <c r="FM52" s="1273"/>
      <c r="FN52" s="363"/>
    </row>
    <row r="53" spans="1:170" s="362" customFormat="1" ht="15" customHeight="1" x14ac:dyDescent="0.3">
      <c r="A53" s="6"/>
      <c r="B53" s="512"/>
      <c r="C53" s="25"/>
      <c r="D53" s="25"/>
      <c r="E53" s="45"/>
      <c r="F53" s="123"/>
      <c r="G53" s="124" t="s">
        <v>192</v>
      </c>
      <c r="H53" s="124" t="s">
        <v>184</v>
      </c>
      <c r="I53" s="124" t="s">
        <v>183</v>
      </c>
      <c r="J53" s="124" t="s">
        <v>41</v>
      </c>
      <c r="K53" s="123"/>
      <c r="L53" s="1178"/>
      <c r="M53" s="1179"/>
      <c r="N53" s="1184" t="s">
        <v>162</v>
      </c>
      <c r="O53" s="1185"/>
      <c r="P53" s="1184" t="s">
        <v>163</v>
      </c>
      <c r="Q53" s="1185"/>
      <c r="R53" s="598" t="s">
        <v>164</v>
      </c>
      <c r="S53" s="598" t="s">
        <v>165</v>
      </c>
      <c r="T53" s="599" t="s">
        <v>41</v>
      </c>
      <c r="U53" s="598" t="s">
        <v>162</v>
      </c>
      <c r="V53" s="598" t="s">
        <v>163</v>
      </c>
      <c r="W53" s="1184" t="s">
        <v>164</v>
      </c>
      <c r="X53" s="1185"/>
      <c r="Y53" s="598" t="s">
        <v>165</v>
      </c>
      <c r="Z53" s="599" t="s">
        <v>41</v>
      </c>
      <c r="AA53" s="600" t="s">
        <v>166</v>
      </c>
      <c r="AB53" s="601" t="s">
        <v>197</v>
      </c>
      <c r="AC53" s="129">
        <f>COUNTIF(Y7:Y51,"&gt;=33")</f>
        <v>3</v>
      </c>
      <c r="AD53" s="177"/>
      <c r="AE53" s="598" t="s">
        <v>162</v>
      </c>
      <c r="AF53" s="598" t="s">
        <v>163</v>
      </c>
      <c r="AG53" s="598" t="s">
        <v>164</v>
      </c>
      <c r="AH53" s="598" t="s">
        <v>165</v>
      </c>
      <c r="AI53" s="599" t="s">
        <v>41</v>
      </c>
      <c r="AJ53" s="598" t="s">
        <v>162</v>
      </c>
      <c r="AK53" s="598" t="s">
        <v>163</v>
      </c>
      <c r="AL53" s="598" t="s">
        <v>164</v>
      </c>
      <c r="AM53" s="598" t="s">
        <v>165</v>
      </c>
      <c r="AN53" s="599" t="s">
        <v>41</v>
      </c>
      <c r="AO53" s="600" t="s">
        <v>166</v>
      </c>
      <c r="AP53" s="1235" t="s">
        <v>197</v>
      </c>
      <c r="AQ53" s="1236"/>
      <c r="AR53" s="1236"/>
      <c r="AS53" s="1237"/>
      <c r="AT53" s="1223">
        <f>COUNTIFS(AQ7:AQ51,"&gt;=6.6",AR7:AR51,"&gt;=16.5",AS7:AS51,"&gt;=33")</f>
        <v>0</v>
      </c>
      <c r="AU53" s="1224"/>
      <c r="AV53" s="1225"/>
      <c r="AW53" s="128"/>
      <c r="AX53" s="177"/>
      <c r="AY53" s="598" t="s">
        <v>162</v>
      </c>
      <c r="AZ53" s="598" t="s">
        <v>163</v>
      </c>
      <c r="BA53" s="598" t="s">
        <v>164</v>
      </c>
      <c r="BB53" s="598" t="s">
        <v>165</v>
      </c>
      <c r="BC53" s="599" t="s">
        <v>41</v>
      </c>
      <c r="BD53" s="598" t="s">
        <v>162</v>
      </c>
      <c r="BE53" s="598" t="s">
        <v>163</v>
      </c>
      <c r="BF53" s="598" t="s">
        <v>164</v>
      </c>
      <c r="BG53" s="598" t="s">
        <v>165</v>
      </c>
      <c r="BH53" s="599" t="s">
        <v>41</v>
      </c>
      <c r="BI53" s="600" t="s">
        <v>166</v>
      </c>
      <c r="BJ53" s="1235" t="s">
        <v>197</v>
      </c>
      <c r="BK53" s="1236"/>
      <c r="BL53" s="1236"/>
      <c r="BM53" s="1237"/>
      <c r="BN53" s="1223">
        <f>COUNTIFS(BL7:BL51,"&gt;=33",BJ7:BJ51,"&gt;=25",BK7:BK51,"&gt;=8")</f>
        <v>3</v>
      </c>
      <c r="BO53" s="1224"/>
      <c r="BP53" s="1225"/>
      <c r="BQ53" s="177"/>
      <c r="BR53" s="598" t="s">
        <v>162</v>
      </c>
      <c r="BS53" s="598" t="s">
        <v>163</v>
      </c>
      <c r="BT53" s="598" t="s">
        <v>164</v>
      </c>
      <c r="BU53" s="598" t="s">
        <v>165</v>
      </c>
      <c r="BV53" s="599" t="s">
        <v>41</v>
      </c>
      <c r="BW53" s="598" t="s">
        <v>162</v>
      </c>
      <c r="BX53" s="598" t="s">
        <v>163</v>
      </c>
      <c r="BY53" s="598" t="s">
        <v>164</v>
      </c>
      <c r="BZ53" s="598" t="s">
        <v>165</v>
      </c>
      <c r="CA53" s="599" t="s">
        <v>41</v>
      </c>
      <c r="CB53" s="600" t="s">
        <v>166</v>
      </c>
      <c r="CC53" s="1235" t="s">
        <v>197</v>
      </c>
      <c r="CD53" s="1236"/>
      <c r="CE53" s="1236"/>
      <c r="CF53" s="1237"/>
      <c r="CG53" s="1223">
        <f>COUNTIFS(CE7:CE51,"&gt;=33",CC7:CC51,"&gt;=25",CD7:CD51,"&gt;=8")</f>
        <v>3</v>
      </c>
      <c r="CH53" s="1224"/>
      <c r="CI53" s="1225"/>
      <c r="CJ53" s="177"/>
      <c r="CK53" s="598" t="s">
        <v>162</v>
      </c>
      <c r="CL53" s="598" t="s">
        <v>163</v>
      </c>
      <c r="CM53" s="598" t="s">
        <v>164</v>
      </c>
      <c r="CN53" s="598" t="s">
        <v>165</v>
      </c>
      <c r="CO53" s="599" t="s">
        <v>41</v>
      </c>
      <c r="CP53" s="598" t="s">
        <v>162</v>
      </c>
      <c r="CQ53" s="598" t="s">
        <v>163</v>
      </c>
      <c r="CR53" s="598" t="s">
        <v>164</v>
      </c>
      <c r="CS53" s="598" t="s">
        <v>165</v>
      </c>
      <c r="CT53" s="599" t="s">
        <v>41</v>
      </c>
      <c r="CU53" s="600" t="s">
        <v>166</v>
      </c>
      <c r="CV53" s="1235" t="s">
        <v>197</v>
      </c>
      <c r="CW53" s="1236"/>
      <c r="CX53" s="1236"/>
      <c r="CY53" s="1237"/>
      <c r="CZ53" s="1223">
        <f>COUNTIFS(CX7:CX51,"&gt;=33",CV7:CV51,"&gt;=25",CW7:CW51,"&gt;=8")</f>
        <v>1</v>
      </c>
      <c r="DA53" s="1224"/>
      <c r="DB53" s="1225"/>
      <c r="DC53" s="177"/>
      <c r="DD53" s="598" t="s">
        <v>162</v>
      </c>
      <c r="DE53" s="598" t="s">
        <v>163</v>
      </c>
      <c r="DF53" s="598" t="s">
        <v>164</v>
      </c>
      <c r="DG53" s="598" t="s">
        <v>165</v>
      </c>
      <c r="DH53" s="599" t="s">
        <v>41</v>
      </c>
      <c r="DI53" s="598" t="s">
        <v>162</v>
      </c>
      <c r="DJ53" s="598" t="s">
        <v>163</v>
      </c>
      <c r="DK53" s="598" t="s">
        <v>164</v>
      </c>
      <c r="DL53" s="598" t="s">
        <v>165</v>
      </c>
      <c r="DM53" s="599" t="s">
        <v>41</v>
      </c>
      <c r="DN53" s="600" t="s">
        <v>166</v>
      </c>
      <c r="DO53" s="1235" t="s">
        <v>197</v>
      </c>
      <c r="DP53" s="1236"/>
      <c r="DQ53" s="1236"/>
      <c r="DR53" s="1237"/>
      <c r="DS53" s="1223">
        <f>COUNTIFS(DQ7:DQ51,"&gt;=33",DO7:DO51,"&gt;=25",DP7:DP51,"&gt;=8")</f>
        <v>3</v>
      </c>
      <c r="DT53" s="1224"/>
      <c r="DU53" s="1225"/>
      <c r="DV53" s="130" t="str">
        <f t="shared" si="175"/>
        <v/>
      </c>
      <c r="DW53" s="72" t="str">
        <f t="shared" si="176"/>
        <v/>
      </c>
      <c r="DX53" s="72" t="str">
        <f t="shared" si="177"/>
        <v/>
      </c>
      <c r="DY53" s="72" t="str">
        <f t="shared" si="178"/>
        <v/>
      </c>
      <c r="DZ53" s="72" t="str">
        <f t="shared" si="179"/>
        <v/>
      </c>
      <c r="EA53" s="72" t="str">
        <f t="shared" si="180"/>
        <v/>
      </c>
      <c r="EB53" s="76" t="str">
        <f t="shared" si="181"/>
        <v/>
      </c>
      <c r="EC53" s="76" t="str">
        <f t="shared" si="182"/>
        <v/>
      </c>
      <c r="ED53" s="76" t="str">
        <f t="shared" si="183"/>
        <v/>
      </c>
      <c r="EE53" s="76" t="str">
        <f t="shared" si="184"/>
        <v/>
      </c>
      <c r="EF53" s="76" t="str">
        <f t="shared" si="185"/>
        <v/>
      </c>
      <c r="EG53" s="76" t="str">
        <f t="shared" si="186"/>
        <v/>
      </c>
      <c r="EH53" s="1161"/>
      <c r="EI53" s="1162"/>
      <c r="EJ53" s="1162"/>
      <c r="EK53" s="1162"/>
      <c r="EL53" s="1162"/>
      <c r="EM53" s="1162"/>
      <c r="EN53" s="1163"/>
      <c r="EO53" s="1250"/>
      <c r="EP53" s="494"/>
      <c r="EQ53" s="494"/>
      <c r="ER53" s="494"/>
      <c r="ES53" s="494"/>
      <c r="ET53" s="494"/>
      <c r="EU53" s="494"/>
      <c r="EV53" s="1174"/>
      <c r="EW53" s="1174"/>
      <c r="EX53" s="1174"/>
      <c r="EY53" s="1174"/>
      <c r="EZ53" s="1174"/>
      <c r="FA53" s="1174"/>
      <c r="FB53" s="1174"/>
      <c r="FC53" s="1174"/>
      <c r="FD53" s="1174"/>
      <c r="FE53" s="1174"/>
      <c r="FF53" s="1174"/>
      <c r="FG53" s="1175"/>
      <c r="FH53" s="1268"/>
      <c r="FI53" s="1269"/>
      <c r="FJ53" s="1272"/>
      <c r="FK53" s="1270"/>
      <c r="FL53" s="1270"/>
      <c r="FM53" s="1274"/>
      <c r="FN53" s="363"/>
    </row>
    <row r="54" spans="1:170" s="362" customFormat="1" ht="15" customHeight="1" x14ac:dyDescent="0.3">
      <c r="A54" s="6"/>
      <c r="B54" s="512"/>
      <c r="C54" s="25"/>
      <c r="D54" s="25"/>
      <c r="E54" s="45"/>
      <c r="F54" s="123"/>
      <c r="G54" s="125" t="s">
        <v>162</v>
      </c>
      <c r="H54" s="125">
        <f>COUNTIFS($I$7:$I$50,"BOY",$J$7:$J$50,"GEN")</f>
        <v>1</v>
      </c>
      <c r="I54" s="125">
        <f>COUNTIFS($I$7:$I$50,"GIRL",$J$7:$J$50,"GEN")</f>
        <v>0</v>
      </c>
      <c r="J54" s="125">
        <f t="shared" ref="J54:J59" si="187">SUM(H54:I54)</f>
        <v>1</v>
      </c>
      <c r="K54" s="123"/>
      <c r="L54" s="1178" t="s">
        <v>47</v>
      </c>
      <c r="M54" s="1179"/>
      <c r="N54" s="1184">
        <f>COUNTIFS($I$7:$I$51,"BOY",$J$7:$J$51,"GEN",Z7:Z51,"E")</f>
        <v>0</v>
      </c>
      <c r="O54" s="1185"/>
      <c r="P54" s="1184">
        <f>COUNTIFS($I$7:$I$51,"BOY",$J$7:$J$51,"OBC",Z7:Z51,"E")</f>
        <v>0</v>
      </c>
      <c r="Q54" s="1185"/>
      <c r="R54" s="598">
        <f>COUNTIFS($I$7:$I$51,"BOY",$J$7:$J$51,"SC",Z7:Z51,"E")</f>
        <v>0</v>
      </c>
      <c r="S54" s="598">
        <f>COUNTIFS($I$7:$I$51,"BOY",$J$7:$J$51,"ST",Z7:Z51,"E")</f>
        <v>0</v>
      </c>
      <c r="T54" s="599">
        <f>SUM(N54:S54)</f>
        <v>0</v>
      </c>
      <c r="U54" s="598">
        <f>COUNTIFS($I$7:$I$51,"GIRL",$J$7:$J$51,"GEN",Z7:Z51,"E")</f>
        <v>0</v>
      </c>
      <c r="V54" s="598">
        <f>COUNTIFS($I$7:$I$51,"GIRL",$J$7:$J$51,"OBC",Z7:Z51,"E")</f>
        <v>0</v>
      </c>
      <c r="W54" s="1184">
        <f>COUNTIFS($I$7:$I$51,"GIRL",$J$7:$J$51,"SC",Z7:Z51,"E")</f>
        <v>0</v>
      </c>
      <c r="X54" s="1185"/>
      <c r="Y54" s="598">
        <f>COUNTIFS($I$7:$I$51,"GIRL",$J$7:$J$51,"ST",Z7:Z51,"E")</f>
        <v>0</v>
      </c>
      <c r="Z54" s="599">
        <f>SUM(U54:Y54)</f>
        <v>0</v>
      </c>
      <c r="AA54" s="602">
        <f t="shared" ref="AA54:AA62" si="188">SUM(T54,Z54)</f>
        <v>0</v>
      </c>
      <c r="AB54" s="601" t="s">
        <v>56</v>
      </c>
      <c r="AC54" s="129">
        <f>COUNTIF(Y7:Y51,"&lt;33")</f>
        <v>0</v>
      </c>
      <c r="AD54" s="603" t="s">
        <v>47</v>
      </c>
      <c r="AE54" s="598">
        <f>COUNTIFS($I$7:$I$51,"BOY",$J$7:$J$51,"GEN",AT7:AT51,"E")</f>
        <v>0</v>
      </c>
      <c r="AF54" s="598">
        <f>COUNTIFS($I$7:$I$51,"BOY",$J$7:$J$51,"OBC",AT7:AT51,"E")</f>
        <v>0</v>
      </c>
      <c r="AG54" s="598">
        <f>COUNTIFS($I$7:$I$51,"BOY",$J$7:$J$51,"SC",AT7:AT51,"E")</f>
        <v>0</v>
      </c>
      <c r="AH54" s="598">
        <f>COUNTIFS($I$7:$I$51,"BOY",$J$7:$J$51,"ST",AT7:AT51,"E")</f>
        <v>0</v>
      </c>
      <c r="AI54" s="599">
        <f>SUM(AE54:AH54)</f>
        <v>0</v>
      </c>
      <c r="AJ54" s="598">
        <f>COUNTIFS($I$7:$I$51,"GIRL",$J$7:$J$51,"GEN",AT7:AT51,"E")</f>
        <v>0</v>
      </c>
      <c r="AK54" s="598">
        <f>COUNTIFS($I$7:$I$51,"GIRL",$J$7:$J$51,"OBC",AT7:AT51,"E")</f>
        <v>0</v>
      </c>
      <c r="AL54" s="598">
        <f>COUNTIFS($I$7:$I$51,"GIRL",$J$7:$J$51,"SC",AT7:AT51,"E")</f>
        <v>0</v>
      </c>
      <c r="AM54" s="598">
        <f>COUNTIFS($I$7:$I$51,"GIRL",$J$7:$J$51,"ST",AT7:AT51,"E")</f>
        <v>0</v>
      </c>
      <c r="AN54" s="599">
        <f>SUM(AJ54:AM54)</f>
        <v>0</v>
      </c>
      <c r="AO54" s="602">
        <f>SUM(AI54,AN54)</f>
        <v>0</v>
      </c>
      <c r="AP54" s="1235" t="s">
        <v>56</v>
      </c>
      <c r="AQ54" s="1236"/>
      <c r="AR54" s="1236"/>
      <c r="AS54" s="1237"/>
      <c r="AT54" s="1223">
        <f>IF(AT52="","",AT52-AT53)</f>
        <v>0</v>
      </c>
      <c r="AU54" s="1224"/>
      <c r="AV54" s="1225"/>
      <c r="AW54" s="128"/>
      <c r="AX54" s="603" t="s">
        <v>47</v>
      </c>
      <c r="AY54" s="598">
        <f>COUNTIFS($I$7:$I$51,"BOY",$J$7:$J$51,"GEN",BN7:BN51,"E")</f>
        <v>0</v>
      </c>
      <c r="AZ54" s="598">
        <f>COUNTIFS($I$7:$I$51,"BOY",$J$7:$J$51,"OBC",BM7:BM51,"E")</f>
        <v>0</v>
      </c>
      <c r="BA54" s="598">
        <f>COUNTIFS($I$7:$I$51,"BOY",$J$7:$J$51,"SC",BM7:BM51,"E")</f>
        <v>0</v>
      </c>
      <c r="BB54" s="598">
        <f>COUNTIFS($I$7:$I$51,"BOY",$J$7:$J$51,"ST",BM7:BM51,"E")</f>
        <v>0</v>
      </c>
      <c r="BC54" s="599">
        <f>SUM(AY54:BB54)</f>
        <v>0</v>
      </c>
      <c r="BD54" s="598">
        <f>COUNTIFS($I$7:$I$51,"GIRL",$J$7:$J$51,"GEN",BM7:BM51,"E")</f>
        <v>0</v>
      </c>
      <c r="BE54" s="598">
        <f>COUNTIFS($I$7:$I$51,"GIRL",$J$7:$J$51,"OBC",BM7:BM51,"E")</f>
        <v>0</v>
      </c>
      <c r="BF54" s="598">
        <f>COUNTIFS($I$7:$I$51,"GIRL",$J$7:$J$51,"SC",BM7:BM51,"E")</f>
        <v>0</v>
      </c>
      <c r="BG54" s="598">
        <f>COUNTIFS($I$7:$I$51,"GIRL",$J$7:$J$51,"ST",BM7:BM51,"E")</f>
        <v>0</v>
      </c>
      <c r="BH54" s="599">
        <f>SUM(BD54:BG54)</f>
        <v>0</v>
      </c>
      <c r="BI54" s="602">
        <f>SUM(BC54,BH54)</f>
        <v>0</v>
      </c>
      <c r="BJ54" s="1235" t="s">
        <v>56</v>
      </c>
      <c r="BK54" s="1236"/>
      <c r="BL54" s="1236"/>
      <c r="BM54" s="1237"/>
      <c r="BN54" s="1223">
        <f>IF(BN52="","",BN52-BN53)</f>
        <v>0</v>
      </c>
      <c r="BO54" s="1224"/>
      <c r="BP54" s="1225"/>
      <c r="BQ54" s="603" t="s">
        <v>47</v>
      </c>
      <c r="BR54" s="598">
        <f>COUNTIFS($I$7:$I$51,"BOY",$J$7:$J$51,"GEN",CG7:CG51,"E")</f>
        <v>0</v>
      </c>
      <c r="BS54" s="598">
        <f>COUNTIFS($I$7:$I$51,"BOY",$J$7:$J$51,"OBC",CF7:CF51,"E")</f>
        <v>0</v>
      </c>
      <c r="BT54" s="598">
        <f>COUNTIFS($I$7:$I$51,"BOY",$J$7:$J$51,"SC",CF7:CF51,"E")</f>
        <v>0</v>
      </c>
      <c r="BU54" s="598">
        <f>COUNTIFS($I$7:$I$51,"BOY",$J$7:$J$51,"ST",CF7:CF51,"E")</f>
        <v>0</v>
      </c>
      <c r="BV54" s="599">
        <f>SUM(BR54:BU54)</f>
        <v>0</v>
      </c>
      <c r="BW54" s="598">
        <f>COUNTIFS($I$7:$I$51,"GIRL",$J$7:$J$51,"GEN",CF7:CF51,"E")</f>
        <v>0</v>
      </c>
      <c r="BX54" s="598">
        <f>COUNTIFS($I$7:$I$51,"GIRL",$J$7:$J$51,"OBC",CF7:CF51,"E")</f>
        <v>0</v>
      </c>
      <c r="BY54" s="598">
        <f>COUNTIFS($I$7:$I$51,"GIRL",$J$7:$J$51,"SC",CF7:CF51,"E")</f>
        <v>0</v>
      </c>
      <c r="BZ54" s="598">
        <f>COUNTIFS($I$7:$I$51,"GIRL",$J$7:$J$51,"ST",CF7:CF51,"E")</f>
        <v>0</v>
      </c>
      <c r="CA54" s="599">
        <f>SUM(BW54:BZ54)</f>
        <v>0</v>
      </c>
      <c r="CB54" s="602">
        <f>SUM(BV54,CA54)</f>
        <v>0</v>
      </c>
      <c r="CC54" s="1235" t="s">
        <v>56</v>
      </c>
      <c r="CD54" s="1236"/>
      <c r="CE54" s="1236"/>
      <c r="CF54" s="1237"/>
      <c r="CG54" s="1223">
        <f>IF(CG52="","",CG52-CG53)</f>
        <v>0</v>
      </c>
      <c r="CH54" s="1224"/>
      <c r="CI54" s="1225"/>
      <c r="CJ54" s="603" t="s">
        <v>47</v>
      </c>
      <c r="CK54" s="598">
        <f>COUNTIFS($I$7:$I$51,"BOY",$J$7:$J$51,"GEN",CZ7:CZ51,"E")</f>
        <v>0</v>
      </c>
      <c r="CL54" s="598">
        <f>COUNTIFS($I$7:$I$51,"BOY",$J$7:$J$51,"OBC",CY7:CY51,"E")</f>
        <v>0</v>
      </c>
      <c r="CM54" s="598">
        <f>COUNTIFS($I$7:$I$51,"BOY",$J$7:$J$51,"SC",CY7:CY51,"E")</f>
        <v>0</v>
      </c>
      <c r="CN54" s="598">
        <f>COUNTIFS($I$7:$I$51,"BOY",$J$7:$J$51,"ST",CY7:CY51,"E")</f>
        <v>0</v>
      </c>
      <c r="CO54" s="599">
        <f>SUM(CK54:CN54)</f>
        <v>0</v>
      </c>
      <c r="CP54" s="598">
        <f>COUNTIFS($I$7:$I$51,"GIRL",$J$7:$J$51,"GEN",CY7:CY51,"E")</f>
        <v>0</v>
      </c>
      <c r="CQ54" s="598">
        <f>COUNTIFS($I$7:$I$51,"GIRL",$J$7:$J$51,"OBC",CY7:CY51,"E")</f>
        <v>0</v>
      </c>
      <c r="CR54" s="598">
        <f>COUNTIFS($I$7:$I$51,"GIRL",$J$7:$J$51,"SC",CY7:CY51,"E")</f>
        <v>0</v>
      </c>
      <c r="CS54" s="598">
        <f>COUNTIFS($I$7:$I$51,"GIRL",$J$7:$J$51,"ST",CY7:CY51,"E")</f>
        <v>0</v>
      </c>
      <c r="CT54" s="599">
        <f>SUM(CP54:CS54)</f>
        <v>0</v>
      </c>
      <c r="CU54" s="602">
        <f>SUM(CO54,CT54)</f>
        <v>0</v>
      </c>
      <c r="CV54" s="1235" t="s">
        <v>56</v>
      </c>
      <c r="CW54" s="1236"/>
      <c r="CX54" s="1236"/>
      <c r="CY54" s="1237"/>
      <c r="CZ54" s="1223">
        <f>IF(CZ52="","",CZ52-CZ53)</f>
        <v>0</v>
      </c>
      <c r="DA54" s="1224"/>
      <c r="DB54" s="1225"/>
      <c r="DC54" s="603" t="s">
        <v>47</v>
      </c>
      <c r="DD54" s="598">
        <f>COUNTIFS($I$7:$I$51,"BOY",$J$7:$J$51,"GEN",DS7:DS51,"E")</f>
        <v>0</v>
      </c>
      <c r="DE54" s="598">
        <f>COUNTIFS($I$7:$I$51,"BOY",$J$7:$J$51,"OBC",DR7:DR51,"E")</f>
        <v>0</v>
      </c>
      <c r="DF54" s="598">
        <f>COUNTIFS($I$7:$I$51,"BOY",$J$7:$J$51,"SC",DR7:DR51,"E")</f>
        <v>0</v>
      </c>
      <c r="DG54" s="598">
        <f>COUNTIFS($I$7:$I$51,"BOY",$J$7:$J$51,"ST",DR7:DR51,"E")</f>
        <v>0</v>
      </c>
      <c r="DH54" s="599">
        <f>SUM(DD54:DG54)</f>
        <v>0</v>
      </c>
      <c r="DI54" s="598">
        <f>COUNTIFS($I$7:$I$51,"GIRL",$J$7:$J$51,"GEN",DR7:DR51,"E")</f>
        <v>0</v>
      </c>
      <c r="DJ54" s="598">
        <f>COUNTIFS($I$7:$I$51,"GIRL",$J$7:$J$51,"OBC",DR7:DR51,"E")</f>
        <v>0</v>
      </c>
      <c r="DK54" s="598">
        <f>COUNTIFS($I$7:$I$51,"GIRL",$J$7:$J$51,"SC",DR7:DR51,"E")</f>
        <v>0</v>
      </c>
      <c r="DL54" s="598">
        <f>COUNTIFS($I$7:$I$51,"GIRL",$J$7:$J$51,"ST",DR7:DR51,"E")</f>
        <v>0</v>
      </c>
      <c r="DM54" s="599">
        <f>SUM(DI54:DL54)</f>
        <v>0</v>
      </c>
      <c r="DN54" s="602">
        <f>SUM(DH54,DM54)</f>
        <v>0</v>
      </c>
      <c r="DO54" s="1235" t="s">
        <v>56</v>
      </c>
      <c r="DP54" s="1236"/>
      <c r="DQ54" s="1236"/>
      <c r="DR54" s="1237"/>
      <c r="DS54" s="1223">
        <f>IF(DS52="","",DS52-DS53)</f>
        <v>0</v>
      </c>
      <c r="DT54" s="1224"/>
      <c r="DU54" s="1225"/>
      <c r="DV54" s="130" t="str">
        <f t="shared" si="175"/>
        <v/>
      </c>
      <c r="DW54" s="72" t="str">
        <f t="shared" si="176"/>
        <v/>
      </c>
      <c r="DX54" s="72" t="str">
        <f t="shared" si="177"/>
        <v/>
      </c>
      <c r="DY54" s="72" t="str">
        <f t="shared" si="178"/>
        <v/>
      </c>
      <c r="DZ54" s="72" t="str">
        <f t="shared" si="179"/>
        <v/>
      </c>
      <c r="EA54" s="72" t="str">
        <f t="shared" si="180"/>
        <v/>
      </c>
      <c r="EB54" s="76" t="str">
        <f t="shared" si="181"/>
        <v/>
      </c>
      <c r="EC54" s="76" t="str">
        <f t="shared" si="182"/>
        <v/>
      </c>
      <c r="ED54" s="76" t="str">
        <f t="shared" si="183"/>
        <v/>
      </c>
      <c r="EE54" s="76" t="str">
        <f t="shared" si="184"/>
        <v/>
      </c>
      <c r="EF54" s="76" t="str">
        <f t="shared" si="185"/>
        <v/>
      </c>
      <c r="EG54" s="76" t="str">
        <f t="shared" si="186"/>
        <v/>
      </c>
      <c r="EH54" s="1161"/>
      <c r="EI54" s="1162"/>
      <c r="EJ54" s="1162"/>
      <c r="EK54" s="1162"/>
      <c r="EL54" s="1162"/>
      <c r="EM54" s="1162"/>
      <c r="EN54" s="1163"/>
      <c r="EO54" s="1250"/>
      <c r="EP54" s="494"/>
      <c r="EQ54" s="494"/>
      <c r="ER54" s="494"/>
      <c r="ES54" s="494"/>
      <c r="ET54" s="494"/>
      <c r="EU54" s="494"/>
      <c r="EV54" s="1174"/>
      <c r="EW54" s="1174"/>
      <c r="EX54" s="1174"/>
      <c r="EY54" s="1174"/>
      <c r="EZ54" s="1174"/>
      <c r="FA54" s="1174"/>
      <c r="FB54" s="1174"/>
      <c r="FC54" s="1174"/>
      <c r="FD54" s="1174"/>
      <c r="FE54" s="1174"/>
      <c r="FF54" s="1174"/>
      <c r="FG54" s="1175"/>
      <c r="FH54" s="1270" t="str">
        <f>IF(DASHBOARD!C12="","",DASHBOARD!C12&amp;" -"&amp;DASHBOARD!B12)</f>
        <v>SUREKHA -ENGLISH</v>
      </c>
      <c r="FI54" s="1270"/>
      <c r="FJ54" s="1270" t="str">
        <f>'RESULT TEACHER WISE'!C11</f>
        <v>100 %</v>
      </c>
      <c r="FK54" s="1270"/>
      <c r="FL54" s="1270"/>
      <c r="FM54" s="1274"/>
      <c r="FN54" s="363"/>
    </row>
    <row r="55" spans="1:170" s="362" customFormat="1" ht="15" customHeight="1" x14ac:dyDescent="0.3">
      <c r="A55" s="6"/>
      <c r="B55" s="512"/>
      <c r="C55" s="25"/>
      <c r="D55" s="25"/>
      <c r="E55" s="45"/>
      <c r="F55" s="123"/>
      <c r="G55" s="125" t="s">
        <v>163</v>
      </c>
      <c r="H55" s="125">
        <f>COUNTIFS($I$7:$I$50,"BOY",$J$7:$J$50,"OBC")</f>
        <v>0</v>
      </c>
      <c r="I55" s="125">
        <f>COUNTIFS($I$7:$I$50,"GIRL",$J$7:$J$50,"OBC")</f>
        <v>1</v>
      </c>
      <c r="J55" s="125">
        <f t="shared" si="187"/>
        <v>1</v>
      </c>
      <c r="K55" s="123"/>
      <c r="L55" s="1178" t="s">
        <v>48</v>
      </c>
      <c r="M55" s="1179"/>
      <c r="N55" s="1184">
        <f>COUNTIFS($I$7:$I$51,"BOY",$J$7:$J$51,"GEN",Z7:Z51,"D")</f>
        <v>0</v>
      </c>
      <c r="O55" s="1185"/>
      <c r="P55" s="1184">
        <f>COUNTIFS($I$7:$I$51,"BOY",$J$7:$J$51,"OBC",Z7:Z51,"D")</f>
        <v>0</v>
      </c>
      <c r="Q55" s="1185"/>
      <c r="R55" s="598">
        <f>COUNTIFS($I$7:$I$51,"BOY",$J$7:$J$51,"SC",Z7:Z51,"D")</f>
        <v>0</v>
      </c>
      <c r="S55" s="598">
        <f>COUNTIFS($I$7:$I$51,"BOY",$J$7:$J$51,"ST",Z7:Z51,"D")</f>
        <v>0</v>
      </c>
      <c r="T55" s="599">
        <f t="shared" ref="T55:T62" si="189">SUM(N55:S55)</f>
        <v>0</v>
      </c>
      <c r="U55" s="598">
        <f>COUNTIFS($I$7:$I$51,"GIRL",$J$7:$J$51,"GEN",Z7:Z51,"D")</f>
        <v>0</v>
      </c>
      <c r="V55" s="598">
        <f>COUNTIFS($I$7:$I$51,"GIRL",$J$7:$J$51,"OBC",Z7:Z51,"D")</f>
        <v>0</v>
      </c>
      <c r="W55" s="1184">
        <f>COUNTIFS($I$7:$I$51,"GIRL",$J$7:$J$51,"SC",Z7:Z51,"D")</f>
        <v>0</v>
      </c>
      <c r="X55" s="1185"/>
      <c r="Y55" s="598">
        <f>COUNTIFS($I$7:$I$51,"GIRL",$J$7:$J$51,"ST",Z7:Z51,"D")</f>
        <v>0</v>
      </c>
      <c r="Z55" s="599">
        <f t="shared" ref="Z55:Z62" si="190">SUM(U55:Y55)</f>
        <v>0</v>
      </c>
      <c r="AA55" s="602">
        <f t="shared" si="188"/>
        <v>0</v>
      </c>
      <c r="AB55" s="601" t="s">
        <v>198</v>
      </c>
      <c r="AC55" s="129" t="str">
        <f>IF(AC52&gt;0,ROUNDUP((AC53/AC52)*100,2)&amp;" %","N/A")</f>
        <v>100 %</v>
      </c>
      <c r="AD55" s="603" t="s">
        <v>48</v>
      </c>
      <c r="AE55" s="598">
        <f>COUNTIFS($I$7:$I$51,"BOY",$J$7:$J$51,"GEN",AT7:AT51,"D")</f>
        <v>0</v>
      </c>
      <c r="AF55" s="598">
        <f>COUNTIFS($I$7:$I$51,"BOY",$J$7:$J$51,"OBC",AT7:AT51,"D")</f>
        <v>0</v>
      </c>
      <c r="AG55" s="598">
        <f>COUNTIFS($I$7:$I$51,"BOY",$J$7:$J$51,"SC",AT7:AT51,"D")</f>
        <v>0</v>
      </c>
      <c r="AH55" s="598">
        <f>COUNTIFS($I$7:$I$51,"BOY",$J$7:$J$51,"ST",AT7:AT51,"D")</f>
        <v>0</v>
      </c>
      <c r="AI55" s="599">
        <f t="shared" ref="AI55:AI62" si="191">SUM(AE55:AH55)</f>
        <v>0</v>
      </c>
      <c r="AJ55" s="598">
        <f>COUNTIFS($I$7:$I$51,"GIRL",$J$7:$J$51,"GEN",AT7:AT51,"D")</f>
        <v>0</v>
      </c>
      <c r="AK55" s="598">
        <f>COUNTIFS($I$7:$I$51,"GIRL",$J$7:$J$51,"OBC",AT7:AT51,"D")</f>
        <v>0</v>
      </c>
      <c r="AL55" s="598">
        <f>COUNTIFS($I$7:$I$51,"GIRL",$J$7:$J$51,"SC",AT7:AT51,"D")</f>
        <v>0</v>
      </c>
      <c r="AM55" s="598">
        <f>COUNTIFS($I$7:$I$51,"GIRL",$J$7:$J$51,"ST",AT7:AT51,"D")</f>
        <v>0</v>
      </c>
      <c r="AN55" s="599">
        <f t="shared" ref="AN55:AN62" si="192">SUM(AJ55:AM55)</f>
        <v>0</v>
      </c>
      <c r="AO55" s="602">
        <f t="shared" ref="AO55:AO62" si="193">SUM(AI55,AN55)</f>
        <v>0</v>
      </c>
      <c r="AP55" s="1235" t="s">
        <v>198</v>
      </c>
      <c r="AQ55" s="1236"/>
      <c r="AR55" s="1236"/>
      <c r="AS55" s="1237"/>
      <c r="AT55" s="1223" t="str">
        <f t="shared" ref="AT55:AV55" si="194">IF(AT52&gt;0,ROUNDUP((AT53/AT52)*100,2)&amp;" %","N/A")</f>
        <v>N/A</v>
      </c>
      <c r="AU55" s="1224" t="str">
        <f t="shared" si="194"/>
        <v>N/A</v>
      </c>
      <c r="AV55" s="1225" t="str">
        <f t="shared" si="194"/>
        <v>N/A</v>
      </c>
      <c r="AW55" s="128"/>
      <c r="AX55" s="603" t="s">
        <v>48</v>
      </c>
      <c r="AY55" s="598">
        <f>COUNTIFS($I$7:$I$51,"BOY",$J$7:$J$51,"GEN",BM7:BM51,"D")</f>
        <v>0</v>
      </c>
      <c r="AZ55" s="598">
        <f>COUNTIFS($I$7:$I$51,"BOY",$J$7:$J$51,"OBC",BM7:BM51,"D")</f>
        <v>0</v>
      </c>
      <c r="BA55" s="598">
        <f>COUNTIFS($I$7:$I$51,"BOY",$J$7:$J$51,"SC",BM7:BM51,"D")</f>
        <v>0</v>
      </c>
      <c r="BB55" s="598">
        <f>COUNTIFS($I$7:$I$51,"BOY",$J$7:$J$51,"ST",BM7:BM51,"D")</f>
        <v>0</v>
      </c>
      <c r="BC55" s="599">
        <f t="shared" ref="BC55:BC62" si="195">SUM(AY55:BB55)</f>
        <v>0</v>
      </c>
      <c r="BD55" s="598">
        <f>COUNTIFS($I$7:$I$51,"GIRL",$J$7:$J$51,"GEN",BM7:BM51,"D")</f>
        <v>0</v>
      </c>
      <c r="BE55" s="598">
        <f>COUNTIFS($I$7:$I$51,"GIRL",$J$7:$J$51,"OBC",BM7:BM51,"D")</f>
        <v>0</v>
      </c>
      <c r="BF55" s="598">
        <f>COUNTIFS($I$7:$I$51,"GIRL",$J$7:$J$51,"SC",BM7:BM51,"D")</f>
        <v>0</v>
      </c>
      <c r="BG55" s="598">
        <f>COUNTIFS($I$7:$I$51,"GIRL",$J$7:$J$51,"ST",BM7:BM51,"D")</f>
        <v>0</v>
      </c>
      <c r="BH55" s="599">
        <f t="shared" ref="BH55:BH62" si="196">SUM(BD55:BG55)</f>
        <v>0</v>
      </c>
      <c r="BI55" s="602">
        <f t="shared" ref="BI55:BI62" si="197">SUM(BC55,BH55)</f>
        <v>0</v>
      </c>
      <c r="BJ55" s="1235" t="s">
        <v>198</v>
      </c>
      <c r="BK55" s="1236"/>
      <c r="BL55" s="1236"/>
      <c r="BM55" s="1237"/>
      <c r="BN55" s="1223" t="str">
        <f t="shared" ref="BN55:BP55" si="198">IF(BN52&gt;0,ROUNDUP((BN53/BN52)*100,2)&amp;" %","N/A")</f>
        <v>100 %</v>
      </c>
      <c r="BO55" s="1224" t="str">
        <f t="shared" si="198"/>
        <v>N/A</v>
      </c>
      <c r="BP55" s="1225" t="str">
        <f t="shared" si="198"/>
        <v>N/A</v>
      </c>
      <c r="BQ55" s="603" t="s">
        <v>48</v>
      </c>
      <c r="BR55" s="598">
        <f>COUNTIFS($I$7:$I$51,"BOY",$J$7:$J$51,"GEN",CF7:CF51,"D")</f>
        <v>0</v>
      </c>
      <c r="BS55" s="598">
        <f>COUNTIFS($I$7:$I$51,"BOY",$J$7:$J$51,"OBC",CF7:CF51,"D")</f>
        <v>0</v>
      </c>
      <c r="BT55" s="598">
        <f>COUNTIFS($I$7:$I$51,"BOY",$J$7:$J$51,"SC",CF7:CF51,"D")</f>
        <v>0</v>
      </c>
      <c r="BU55" s="598">
        <f>COUNTIFS($I$7:$I$51,"BOY",$J$7:$J$51,"ST",CF7:CF51,"D")</f>
        <v>0</v>
      </c>
      <c r="BV55" s="599">
        <f t="shared" ref="BV55:BV62" si="199">SUM(BR55:BU55)</f>
        <v>0</v>
      </c>
      <c r="BW55" s="598">
        <f>COUNTIFS($I$7:$I$51,"GIRL",$J$7:$J$51,"GEN",CF7:CF51,"D")</f>
        <v>0</v>
      </c>
      <c r="BX55" s="598">
        <f>COUNTIFS($I$7:$I$51,"GIRL",$J$7:$J$51,"OBC",CF7:CF51,"D")</f>
        <v>0</v>
      </c>
      <c r="BY55" s="598">
        <f>COUNTIFS($I$7:$I$51,"GIRL",$J$7:$J$51,"SC",CF7:CF51,"D")</f>
        <v>0</v>
      </c>
      <c r="BZ55" s="598">
        <f>COUNTIFS($I$7:$I$51,"GIRL",$J$7:$J$51,"ST",CF7:CF51,"D")</f>
        <v>0</v>
      </c>
      <c r="CA55" s="599">
        <f t="shared" ref="CA55:CA62" si="200">SUM(BW55:BZ55)</f>
        <v>0</v>
      </c>
      <c r="CB55" s="602">
        <f t="shared" ref="CB55:CB62" si="201">SUM(BV55,CA55)</f>
        <v>0</v>
      </c>
      <c r="CC55" s="1235" t="s">
        <v>198</v>
      </c>
      <c r="CD55" s="1236"/>
      <c r="CE55" s="1236"/>
      <c r="CF55" s="1237"/>
      <c r="CG55" s="1223" t="str">
        <f t="shared" ref="CG55:CI55" si="202">IF(CG52&gt;0,ROUNDUP((CG53/CG52)*100,2)&amp;" %","N/A")</f>
        <v>100 %</v>
      </c>
      <c r="CH55" s="1224" t="str">
        <f t="shared" si="202"/>
        <v>N/A</v>
      </c>
      <c r="CI55" s="1225" t="str">
        <f t="shared" si="202"/>
        <v>N/A</v>
      </c>
      <c r="CJ55" s="603" t="s">
        <v>48</v>
      </c>
      <c r="CK55" s="598">
        <f>COUNTIFS($I$7:$I$51,"BOY",$J$7:$J$51,"GEN",CY7:CY51,"D")</f>
        <v>0</v>
      </c>
      <c r="CL55" s="598">
        <f>COUNTIFS($I$7:$I$51,"BOY",$J$7:$J$51,"OBC",CY7:CY51,"D")</f>
        <v>0</v>
      </c>
      <c r="CM55" s="598">
        <f>COUNTIFS($I$7:$I$51,"BOY",$J$7:$J$51,"SC",CY7:CY51,"D")</f>
        <v>0</v>
      </c>
      <c r="CN55" s="598">
        <f>COUNTIFS($I$7:$I$51,"BOY",$J$7:$J$51,"ST",CY7:CY51,"D")</f>
        <v>0</v>
      </c>
      <c r="CO55" s="599">
        <f t="shared" ref="CO55:CO62" si="203">SUM(CK55:CN55)</f>
        <v>0</v>
      </c>
      <c r="CP55" s="598">
        <f>COUNTIFS($I$7:$I$51,"GIRL",$J$7:$J$51,"GEN",CY7:CY51,"D")</f>
        <v>0</v>
      </c>
      <c r="CQ55" s="598">
        <f>COUNTIFS($I$7:$I$51,"GIRL",$J$7:$J$51,"OBC",CY7:CY51,"D")</f>
        <v>0</v>
      </c>
      <c r="CR55" s="598">
        <f>COUNTIFS($I$7:$I$51,"GIRL",$J$7:$J$51,"SC",CY7:CY51,"D")</f>
        <v>0</v>
      </c>
      <c r="CS55" s="598">
        <f>COUNTIFS($I$7:$I$51,"GIRL",$J$7:$J$51,"ST",CY7:CY51,"D")</f>
        <v>0</v>
      </c>
      <c r="CT55" s="599">
        <f t="shared" ref="CT55:CT62" si="204">SUM(CP55:CS55)</f>
        <v>0</v>
      </c>
      <c r="CU55" s="602">
        <f t="shared" ref="CU55:CU62" si="205">SUM(CO55,CT55)</f>
        <v>0</v>
      </c>
      <c r="CV55" s="1235" t="s">
        <v>198</v>
      </c>
      <c r="CW55" s="1236"/>
      <c r="CX55" s="1236"/>
      <c r="CY55" s="1237"/>
      <c r="CZ55" s="1223" t="str">
        <f t="shared" ref="CZ55:DB55" si="206">IF(CZ52&gt;0,ROUNDUP((CZ53/CZ52)*100,2)&amp;" %","N/A")</f>
        <v>100 %</v>
      </c>
      <c r="DA55" s="1224" t="str">
        <f t="shared" si="206"/>
        <v>N/A</v>
      </c>
      <c r="DB55" s="1225" t="str">
        <f t="shared" si="206"/>
        <v>N/A</v>
      </c>
      <c r="DC55" s="603" t="s">
        <v>48</v>
      </c>
      <c r="DD55" s="598">
        <f>COUNTIFS($I$7:$I$51,"BOY",$J$7:$J$51,"GEN",DR7:DR51,"D")</f>
        <v>0</v>
      </c>
      <c r="DE55" s="598">
        <f>COUNTIFS($I$7:$I$51,"BOY",$J$7:$J$51,"OBC",DR7:DR51,"D")</f>
        <v>0</v>
      </c>
      <c r="DF55" s="598">
        <f>COUNTIFS($I$7:$I$51,"BOY",$J$7:$J$51,"SC",DR7:DR51,"D")</f>
        <v>0</v>
      </c>
      <c r="DG55" s="598">
        <f>COUNTIFS($I$7:$I$51,"BOY",$J$7:$J$51,"ST",DR7:DR51,"D")</f>
        <v>0</v>
      </c>
      <c r="DH55" s="599">
        <f t="shared" ref="DH55:DH62" si="207">SUM(DD55:DG55)</f>
        <v>0</v>
      </c>
      <c r="DI55" s="598">
        <f>COUNTIFS($I$7:$I$51,"GIRL",$J$7:$J$51,"GEN",DR7:DR51,"D")</f>
        <v>0</v>
      </c>
      <c r="DJ55" s="598">
        <f>COUNTIFS($I$7:$I$51,"GIRL",$J$7:$J$51,"OBC",DR7:DR51,"D")</f>
        <v>0</v>
      </c>
      <c r="DK55" s="598">
        <f>COUNTIFS($I$7:$I$51,"GIRL",$J$7:$J$51,"SC",DR7:DR51,"D")</f>
        <v>0</v>
      </c>
      <c r="DL55" s="598">
        <f>COUNTIFS($I$7:$I$51,"GIRL",$J$7:$J$51,"ST",DR7:DR51,"D")</f>
        <v>0</v>
      </c>
      <c r="DM55" s="599">
        <f t="shared" ref="DM55:DM62" si="208">SUM(DI55:DL55)</f>
        <v>0</v>
      </c>
      <c r="DN55" s="602">
        <f t="shared" ref="DN55:DN62" si="209">SUM(DH55,DM55)</f>
        <v>0</v>
      </c>
      <c r="DO55" s="1235" t="s">
        <v>198</v>
      </c>
      <c r="DP55" s="1236"/>
      <c r="DQ55" s="1236"/>
      <c r="DR55" s="1237"/>
      <c r="DS55" s="1223" t="str">
        <f t="shared" ref="DS55:DU55" si="210">IF(DS52&gt;0,ROUNDUP((DS53/DS52)*100,2)&amp;" %","N/A")</f>
        <v>100 %</v>
      </c>
      <c r="DT55" s="1224" t="str">
        <f t="shared" si="210"/>
        <v>N/A</v>
      </c>
      <c r="DU55" s="1225" t="str">
        <f t="shared" si="210"/>
        <v>N/A</v>
      </c>
      <c r="DV55" s="130" t="str">
        <f t="shared" si="175"/>
        <v/>
      </c>
      <c r="DW55" s="72" t="str">
        <f t="shared" si="176"/>
        <v/>
      </c>
      <c r="DX55" s="72" t="str">
        <f t="shared" si="177"/>
        <v/>
      </c>
      <c r="DY55" s="72" t="str">
        <f t="shared" si="178"/>
        <v/>
      </c>
      <c r="DZ55" s="72" t="str">
        <f t="shared" si="179"/>
        <v/>
      </c>
      <c r="EA55" s="72" t="str">
        <f t="shared" si="180"/>
        <v/>
      </c>
      <c r="EB55" s="76" t="str">
        <f t="shared" si="181"/>
        <v/>
      </c>
      <c r="EC55" s="76" t="str">
        <f t="shared" si="182"/>
        <v/>
      </c>
      <c r="ED55" s="76" t="str">
        <f t="shared" si="183"/>
        <v/>
      </c>
      <c r="EE55" s="76" t="str">
        <f t="shared" si="184"/>
        <v/>
      </c>
      <c r="EF55" s="76" t="str">
        <f t="shared" si="185"/>
        <v/>
      </c>
      <c r="EG55" s="76" t="str">
        <f t="shared" si="186"/>
        <v/>
      </c>
      <c r="EH55" s="1161"/>
      <c r="EI55" s="1162"/>
      <c r="EJ55" s="1162"/>
      <c r="EK55" s="1162"/>
      <c r="EL55" s="1162"/>
      <c r="EM55" s="1162"/>
      <c r="EN55" s="1163"/>
      <c r="EO55" s="1250"/>
      <c r="EP55" s="494"/>
      <c r="EQ55" s="494"/>
      <c r="ER55" s="494"/>
      <c r="ES55" s="494"/>
      <c r="ET55" s="494"/>
      <c r="EU55" s="494"/>
      <c r="EV55" s="1174"/>
      <c r="EW55" s="1174"/>
      <c r="EX55" s="1174"/>
      <c r="EY55" s="1174"/>
      <c r="EZ55" s="1174"/>
      <c r="FA55" s="1174"/>
      <c r="FB55" s="1174"/>
      <c r="FC55" s="1174"/>
      <c r="FD55" s="1174"/>
      <c r="FE55" s="1174"/>
      <c r="FF55" s="1174"/>
      <c r="FG55" s="1175"/>
      <c r="FH55" s="1270"/>
      <c r="FI55" s="1270"/>
      <c r="FJ55" s="1270"/>
      <c r="FK55" s="1270"/>
      <c r="FL55" s="1270"/>
      <c r="FM55" s="1274"/>
      <c r="FN55" s="363"/>
    </row>
    <row r="56" spans="1:170" s="362" customFormat="1" ht="15" customHeight="1" x14ac:dyDescent="0.3">
      <c r="A56" s="6"/>
      <c r="B56" s="512"/>
      <c r="C56" s="25"/>
      <c r="D56" s="25"/>
      <c r="E56" s="45"/>
      <c r="F56" s="123"/>
      <c r="G56" s="125" t="s">
        <v>164</v>
      </c>
      <c r="H56" s="125">
        <f>COUNTIFS($I$7:$I$50,"BOY",$J$7:$J$50,"SC")</f>
        <v>0</v>
      </c>
      <c r="I56" s="125">
        <f>COUNTIFS($I$7:$I$50,"GIRL",$J$7:$J$50,"SC")</f>
        <v>1</v>
      </c>
      <c r="J56" s="125">
        <f t="shared" si="187"/>
        <v>1</v>
      </c>
      <c r="K56" s="123"/>
      <c r="L56" s="1178" t="s">
        <v>187</v>
      </c>
      <c r="M56" s="1179"/>
      <c r="N56" s="1184">
        <f>COUNTIFS($I$7:$I$51,"BOY",$J$7:$J$51,"GEN",Z7:Z51,"C2")</f>
        <v>0</v>
      </c>
      <c r="O56" s="1185"/>
      <c r="P56" s="1184">
        <f>COUNTIFS($I$7:$I$51,"BOY",$J$7:$J$51,"OBC",Z7:Z51,"C2")</f>
        <v>0</v>
      </c>
      <c r="Q56" s="1185"/>
      <c r="R56" s="598">
        <f>COUNTIFS($I$7:$I$51,"BOY",$J$7:$J$51,"SC",Z7:Z51,"C2")</f>
        <v>0</v>
      </c>
      <c r="S56" s="598">
        <f>COUNTIFS($I$7:$I$51,"BOY",$J$7:$J$51,"ST",Z7:Z51,"C2")</f>
        <v>0</v>
      </c>
      <c r="T56" s="599">
        <f t="shared" si="189"/>
        <v>0</v>
      </c>
      <c r="U56" s="598">
        <f>COUNTIFS($I$7:$I$51,"GIRL",$J$7:$J$51,"GEN",Z7:Z51,"C2")</f>
        <v>0</v>
      </c>
      <c r="V56" s="598">
        <f>COUNTIFS($I$7:$I$51,"GIRL",$J$7:$J$51,"OBC",Z7:Z51,"C2")</f>
        <v>0</v>
      </c>
      <c r="W56" s="1184">
        <f>COUNTIFS($I$7:$I$51,"GIRL",$J$7:$J$51,"SC",Z7:Z51,"C2")</f>
        <v>1</v>
      </c>
      <c r="X56" s="1185"/>
      <c r="Y56" s="598">
        <f>COUNTIFS($I$7:$I$51,"GIRL",$J$7:$J$51,"ST",Z7:Z51,"C2")</f>
        <v>0</v>
      </c>
      <c r="Z56" s="599">
        <f t="shared" si="190"/>
        <v>1</v>
      </c>
      <c r="AA56" s="602">
        <f t="shared" si="188"/>
        <v>1</v>
      </c>
      <c r="AB56" s="1238" t="str">
        <f>IF(L2="","",L2)</f>
        <v>ENGLISH</v>
      </c>
      <c r="AC56" s="1240"/>
      <c r="AD56" s="603" t="s">
        <v>187</v>
      </c>
      <c r="AE56" s="598">
        <f>COUNTIFS($I$7:$I$51,"BOY",$J$7:$J$51,"GEN",AT7:AT51,"C2")</f>
        <v>0</v>
      </c>
      <c r="AF56" s="598">
        <f>COUNTIFS($I$7:$I$51,"BOY",$J$7:$J$51,"OBC",AT7:AT51,"C2")</f>
        <v>0</v>
      </c>
      <c r="AG56" s="598">
        <f>COUNTIFS($I$7:$I$51,"BOY",$J$7:$J$51,"SC",AT7:AT51,"C2")</f>
        <v>0</v>
      </c>
      <c r="AH56" s="598">
        <f>COUNTIFS($I$7:$I$51,"BOY",$J$7:$J$51,"ST",AT7:AT51,"C2")</f>
        <v>0</v>
      </c>
      <c r="AI56" s="599">
        <f t="shared" si="191"/>
        <v>0</v>
      </c>
      <c r="AJ56" s="598">
        <f>COUNTIFS($I$7:$I$51,"GIRL",$J$7:$J$51,"GEN",AT7:AT51,"C2")</f>
        <v>0</v>
      </c>
      <c r="AK56" s="598">
        <f>COUNTIFS($I$7:$I$51,"GIRL",$J$7:$J$51,"OBC",AT7:AT51,"C2")</f>
        <v>0</v>
      </c>
      <c r="AL56" s="598">
        <f>COUNTIFS($I$7:$I$51,"GIRL",$J$7:$J$51,"SC",AT7:AT51,"C2")</f>
        <v>0</v>
      </c>
      <c r="AM56" s="598">
        <f>COUNTIFS($I$7:$I$51,"GIRL",$J$7:$J$51,"ST",AT7:AT51,"C2")</f>
        <v>0</v>
      </c>
      <c r="AN56" s="599">
        <f t="shared" si="192"/>
        <v>0</v>
      </c>
      <c r="AO56" s="602">
        <f t="shared" si="193"/>
        <v>0</v>
      </c>
      <c r="AP56" s="1238" t="str">
        <f>IF(AD2="","",AD2)</f>
        <v>MATHS</v>
      </c>
      <c r="AQ56" s="1239"/>
      <c r="AR56" s="1239"/>
      <c r="AS56" s="1239"/>
      <c r="AT56" s="1239"/>
      <c r="AU56" s="1239"/>
      <c r="AV56" s="1240"/>
      <c r="AW56" s="128"/>
      <c r="AX56" s="603" t="s">
        <v>187</v>
      </c>
      <c r="AY56" s="598">
        <f>COUNTIFS($I$7:$I$51,"BOY",$J$7:$J$51,"GEN",BM7:BM51,"C2")</f>
        <v>0</v>
      </c>
      <c r="AZ56" s="598">
        <f>COUNTIFS($I$7:$I$51,"BOY",$J$7:$J$51,"OBC",BM7:BM51,"C2")</f>
        <v>0</v>
      </c>
      <c r="BA56" s="598">
        <f>COUNTIFS($I$7:$I$51,"BOY",$J$7:$J$51,"SC",BM7:BM51,"C2")</f>
        <v>0</v>
      </c>
      <c r="BB56" s="598">
        <f>COUNTIFS($I$7:$I$51,"BOY",$J$7:$J$51,"ST",BM7:BM51,"C2")</f>
        <v>0</v>
      </c>
      <c r="BC56" s="599">
        <f t="shared" si="195"/>
        <v>0</v>
      </c>
      <c r="BD56" s="598">
        <f>COUNTIFS($I$7:$I$51,"GIRL",$J$7:$J$51,"GEN",BM7:BM51,"C2")</f>
        <v>0</v>
      </c>
      <c r="BE56" s="598">
        <f>COUNTIFS($I$7:$I$51,"GIRL",$J$7:$J$51,"OBC",BM7:BM51,"C2")</f>
        <v>0</v>
      </c>
      <c r="BF56" s="598">
        <f>COUNTIFS($I$7:$I$51,"GIRL",$J$7:$J$51,"SC",BM7:BM51,"C2")</f>
        <v>0</v>
      </c>
      <c r="BG56" s="598">
        <f>COUNTIFS($I$7:$I$51,"GIRL",$J$7:$J$51,"ST",BM7:BM51,"C2")</f>
        <v>0</v>
      </c>
      <c r="BH56" s="599">
        <f t="shared" si="196"/>
        <v>0</v>
      </c>
      <c r="BI56" s="602">
        <f t="shared" si="197"/>
        <v>0</v>
      </c>
      <c r="BJ56" s="1238" t="str">
        <f>IF(AX2="","",AX2)</f>
        <v xml:space="preserve">PHYSICS </v>
      </c>
      <c r="BK56" s="1239"/>
      <c r="BL56" s="1239"/>
      <c r="BM56" s="1239"/>
      <c r="BN56" s="1239"/>
      <c r="BO56" s="1239"/>
      <c r="BP56" s="1240"/>
      <c r="BQ56" s="603" t="s">
        <v>187</v>
      </c>
      <c r="BR56" s="598">
        <f>COUNTIFS($I$7:$I$51,"BOY",$J$7:$J$51,"GEN",CF7:CF51,"C2")</f>
        <v>0</v>
      </c>
      <c r="BS56" s="598">
        <f>COUNTIFS($I$7:$I$51,"BOY",$J$7:$J$51,"OBC",CF7:CF51,"C2")</f>
        <v>0</v>
      </c>
      <c r="BT56" s="598">
        <f>COUNTIFS($I$7:$I$51,"BOY",$J$7:$J$51,"SC",CF7:CF51,"C2")</f>
        <v>0</v>
      </c>
      <c r="BU56" s="598">
        <f>COUNTIFS($I$7:$I$51,"BOY",$J$7:$J$51,"ST",CF7:CF51,"C2")</f>
        <v>0</v>
      </c>
      <c r="BV56" s="599">
        <f t="shared" si="199"/>
        <v>0</v>
      </c>
      <c r="BW56" s="598">
        <f>COUNTIFS($I$7:$I$51,"GIRL",$J$7:$J$51,"GEN",CF7:CF51,"C2")</f>
        <v>0</v>
      </c>
      <c r="BX56" s="598">
        <f>COUNTIFS($I$7:$I$51,"GIRL",$J$7:$J$51,"OBC",CF7:CF51,"C2")</f>
        <v>0</v>
      </c>
      <c r="BY56" s="598">
        <f>COUNTIFS($I$7:$I$51,"GIRL",$J$7:$J$51,"SC",CF7:CF51,"C2")</f>
        <v>0</v>
      </c>
      <c r="BZ56" s="598">
        <f>COUNTIFS($I$7:$I$51,"GIRL",$J$7:$J$51,"ST",CF7:CF51,"C2")</f>
        <v>0</v>
      </c>
      <c r="CA56" s="599">
        <f t="shared" si="200"/>
        <v>0</v>
      </c>
      <c r="CB56" s="602">
        <f t="shared" si="201"/>
        <v>0</v>
      </c>
      <c r="CC56" s="1238" t="str">
        <f>IF(BQ2="","",BQ2)</f>
        <v>CHEMISTRY</v>
      </c>
      <c r="CD56" s="1239"/>
      <c r="CE56" s="1239"/>
      <c r="CF56" s="1239"/>
      <c r="CG56" s="1239"/>
      <c r="CH56" s="1239"/>
      <c r="CI56" s="1240"/>
      <c r="CJ56" s="603" t="s">
        <v>187</v>
      </c>
      <c r="CK56" s="598">
        <f>COUNTIFS($I$7:$I$51,"BOY",$J$7:$J$51,"GEN",CY7:CY51,"C2")</f>
        <v>0</v>
      </c>
      <c r="CL56" s="598">
        <f>COUNTIFS($I$7:$I$51,"BOY",$J$7:$J$51,"OBC",CY7:CY51,"C2")</f>
        <v>0</v>
      </c>
      <c r="CM56" s="598">
        <f>COUNTIFS($I$7:$I$51,"BOY",$J$7:$J$51,"SC",CY7:CY51,"C2")</f>
        <v>0</v>
      </c>
      <c r="CN56" s="598">
        <f>COUNTIFS($I$7:$I$51,"BOY",$J$7:$J$51,"ST",CY7:CY51,"C2")</f>
        <v>0</v>
      </c>
      <c r="CO56" s="599">
        <f t="shared" si="203"/>
        <v>0</v>
      </c>
      <c r="CP56" s="598">
        <f>COUNTIFS($I$7:$I$51,"GIRL",$J$7:$J$51,"GEN",CY7:CY51,"C2")</f>
        <v>0</v>
      </c>
      <c r="CQ56" s="598">
        <f>COUNTIFS($I$7:$I$51,"GIRL",$J$7:$J$51,"OBC",CY7:CY51,"C2")</f>
        <v>0</v>
      </c>
      <c r="CR56" s="598">
        <f>COUNTIFS($I$7:$I$51,"GIRL",$J$7:$J$51,"SC",CY7:CY51,"C2")</f>
        <v>0</v>
      </c>
      <c r="CS56" s="598">
        <f>COUNTIFS($I$7:$I$51,"GIRL",$J$7:$J$51,"ST",CY7:CY51,"C2")</f>
        <v>0</v>
      </c>
      <c r="CT56" s="599">
        <f t="shared" si="204"/>
        <v>0</v>
      </c>
      <c r="CU56" s="602">
        <f t="shared" si="205"/>
        <v>0</v>
      </c>
      <c r="CV56" s="1238" t="str">
        <f>IF(CJ2="","",CJ2)</f>
        <v xml:space="preserve">BIOLOGY </v>
      </c>
      <c r="CW56" s="1239"/>
      <c r="CX56" s="1239"/>
      <c r="CY56" s="1239"/>
      <c r="CZ56" s="1239"/>
      <c r="DA56" s="1239"/>
      <c r="DB56" s="1240"/>
      <c r="DC56" s="603" t="s">
        <v>187</v>
      </c>
      <c r="DD56" s="598">
        <f>COUNTIFS($I$7:$I$51,"BOY",$J$7:$J$51,"GEN",DR7:DR51,"C2")</f>
        <v>0</v>
      </c>
      <c r="DE56" s="598">
        <f>COUNTIFS($I$7:$I$51,"BOY",$J$7:$J$51,"OBC",DR7:DR51,"C2")</f>
        <v>0</v>
      </c>
      <c r="DF56" s="598">
        <f>COUNTIFS($I$7:$I$51,"BOY",$J$7:$J$51,"SC",DR7:DR51,"C2")</f>
        <v>0</v>
      </c>
      <c r="DG56" s="598">
        <f>COUNTIFS($I$7:$I$51,"BOY",$J$7:$J$51,"ST",DR7:DR51,"C2")</f>
        <v>0</v>
      </c>
      <c r="DH56" s="599">
        <f t="shared" si="207"/>
        <v>0</v>
      </c>
      <c r="DI56" s="598">
        <f>COUNTIFS($I$7:$I$51,"GIRL",$J$7:$J$51,"GEN",DR7:DR51,"C2")</f>
        <v>0</v>
      </c>
      <c r="DJ56" s="598">
        <f>COUNTIFS($I$7:$I$51,"GIRL",$J$7:$J$51,"OBC",DR7:DR51,"C2")</f>
        <v>0</v>
      </c>
      <c r="DK56" s="598">
        <f>COUNTIFS($I$7:$I$51,"GIRL",$J$7:$J$51,"SC",DR7:DR51,"C2")</f>
        <v>0</v>
      </c>
      <c r="DL56" s="598">
        <f>COUNTIFS($I$7:$I$51,"GIRL",$J$7:$J$51,"ST",DR7:DR51,"C2")</f>
        <v>0</v>
      </c>
      <c r="DM56" s="599">
        <f t="shared" si="208"/>
        <v>0</v>
      </c>
      <c r="DN56" s="602">
        <f t="shared" si="209"/>
        <v>0</v>
      </c>
      <c r="DO56" s="1238" t="str">
        <f>IF(DC2="","",DC2)</f>
        <v xml:space="preserve">PHYSICAL EDUCATION </v>
      </c>
      <c r="DP56" s="1239"/>
      <c r="DQ56" s="1239"/>
      <c r="DR56" s="1239"/>
      <c r="DS56" s="1239"/>
      <c r="DT56" s="1239"/>
      <c r="DU56" s="1240"/>
      <c r="DV56" s="130" t="str">
        <f t="shared" si="175"/>
        <v/>
      </c>
      <c r="DW56" s="72" t="str">
        <f t="shared" si="176"/>
        <v/>
      </c>
      <c r="DX56" s="72" t="str">
        <f t="shared" si="177"/>
        <v/>
      </c>
      <c r="DY56" s="72" t="str">
        <f t="shared" si="178"/>
        <v/>
      </c>
      <c r="DZ56" s="72" t="str">
        <f t="shared" si="179"/>
        <v/>
      </c>
      <c r="EA56" s="72" t="str">
        <f t="shared" si="180"/>
        <v/>
      </c>
      <c r="EB56" s="76" t="str">
        <f t="shared" si="181"/>
        <v/>
      </c>
      <c r="EC56" s="76" t="str">
        <f t="shared" si="182"/>
        <v/>
      </c>
      <c r="ED56" s="76" t="str">
        <f t="shared" si="183"/>
        <v/>
      </c>
      <c r="EE56" s="76" t="str">
        <f t="shared" si="184"/>
        <v/>
      </c>
      <c r="EF56" s="76" t="str">
        <f t="shared" si="185"/>
        <v/>
      </c>
      <c r="EG56" s="76" t="str">
        <f t="shared" si="186"/>
        <v/>
      </c>
      <c r="EH56" s="1161"/>
      <c r="EI56" s="1162"/>
      <c r="EJ56" s="1162"/>
      <c r="EK56" s="1162"/>
      <c r="EL56" s="1162"/>
      <c r="EM56" s="1162"/>
      <c r="EN56" s="1163"/>
      <c r="EO56" s="1250"/>
      <c r="EP56" s="494"/>
      <c r="EQ56" s="494"/>
      <c r="ER56" s="494"/>
      <c r="ES56" s="494"/>
      <c r="ET56" s="494"/>
      <c r="EU56" s="494"/>
      <c r="EV56" s="1174"/>
      <c r="EW56" s="1174"/>
      <c r="EX56" s="1174"/>
      <c r="EY56" s="1174"/>
      <c r="EZ56" s="1174"/>
      <c r="FA56" s="1174"/>
      <c r="FB56" s="1174"/>
      <c r="FC56" s="1174"/>
      <c r="FD56" s="1174"/>
      <c r="FE56" s="1174"/>
      <c r="FF56" s="1174"/>
      <c r="FG56" s="1175"/>
      <c r="FH56" s="1270" t="str">
        <f>IF(DASHBOARD!C13="","",DASHBOARD!C13&amp;" -"&amp;DASHBOARD!B13)</f>
        <v>NILESH KUMAR KHATIK -MATHS</v>
      </c>
      <c r="FI56" s="1270"/>
      <c r="FJ56" s="1270" t="str">
        <f>'RESULT TEACHER WISE'!D11</f>
        <v>N/A</v>
      </c>
      <c r="FK56" s="1270"/>
      <c r="FL56" s="1270"/>
      <c r="FM56" s="1274"/>
      <c r="FN56" s="363"/>
    </row>
    <row r="57" spans="1:170" s="362" customFormat="1" ht="15" customHeight="1" x14ac:dyDescent="0.3">
      <c r="A57" s="6"/>
      <c r="B57" s="512"/>
      <c r="C57" s="25"/>
      <c r="D57" s="25"/>
      <c r="E57" s="45"/>
      <c r="F57" s="123"/>
      <c r="G57" s="125" t="s">
        <v>165</v>
      </c>
      <c r="H57" s="125">
        <f>COUNTIFS($I$7:$I$50,"BOY",$J$7:$J$50,"ST")</f>
        <v>0</v>
      </c>
      <c r="I57" s="125">
        <f>COUNTIFS($I$7:$I$50,"GIRL",$J$7:$J$50,"ST")</f>
        <v>0</v>
      </c>
      <c r="J57" s="125">
        <f t="shared" si="187"/>
        <v>0</v>
      </c>
      <c r="K57" s="123"/>
      <c r="L57" s="1178" t="s">
        <v>49</v>
      </c>
      <c r="M57" s="1179"/>
      <c r="N57" s="1184">
        <f>COUNTIFS($I$7:$I$51,"BOY",$J$7:$J$51,"GEN",Z7:Z51,"C1")</f>
        <v>0</v>
      </c>
      <c r="O57" s="1185"/>
      <c r="P57" s="1184">
        <f>COUNTIFS($I$7:$I$51,"BOY",$J$7:$J$51,"OBC",Z7:Z51,"C1")</f>
        <v>0</v>
      </c>
      <c r="Q57" s="1185"/>
      <c r="R57" s="598">
        <f>COUNTIFS($I$7:$I$51,"BOY",$J$7:$J$51,"SC",Z7:Z51,"C1")</f>
        <v>0</v>
      </c>
      <c r="S57" s="598">
        <f>COUNTIFS($I$7:$I$51,"BOY",$J$7:$J$51,"ST",Z7:Z51,"C1")</f>
        <v>0</v>
      </c>
      <c r="T57" s="599">
        <f t="shared" si="189"/>
        <v>0</v>
      </c>
      <c r="U57" s="598">
        <f>COUNTIFS($I$7:$I$51,"GIRL",$J$7:$J$51,"GEN",Z7:Z51,"C1")</f>
        <v>0</v>
      </c>
      <c r="V57" s="598">
        <f>COUNTIFS($I$7:$I$51,"GIRL",$J$7:$J$51,"OBC",Z7:Z51,"C1")</f>
        <v>0</v>
      </c>
      <c r="W57" s="1184">
        <f>COUNTIFS($I$7:$I$51,"GIRL",$J$7:$J$51,"SC",Z7:Z51,"C1")</f>
        <v>0</v>
      </c>
      <c r="X57" s="1185"/>
      <c r="Y57" s="598">
        <f>COUNTIFS($I$7:$I$51,"GIRL",$J$7:$J$51,"ST",Z7:Z51,"C1")</f>
        <v>0</v>
      </c>
      <c r="Z57" s="599">
        <f t="shared" si="190"/>
        <v>0</v>
      </c>
      <c r="AA57" s="602">
        <f t="shared" si="188"/>
        <v>0</v>
      </c>
      <c r="AB57" s="604" t="s">
        <v>47</v>
      </c>
      <c r="AC57" s="129">
        <f>COUNTIFS(Z7:Z51,"E")  + COUNTIF(Z7:Z51,"~*")</f>
        <v>1</v>
      </c>
      <c r="AD57" s="603" t="s">
        <v>49</v>
      </c>
      <c r="AE57" s="598">
        <f>COUNTIFS($I$7:$I$51,"BOY",$J$7:$J$51,"GEN",AT7:AT51,"C1")</f>
        <v>0</v>
      </c>
      <c r="AF57" s="598">
        <f>COUNTIFS($I$7:$I$51,"BOY",$J$7:$J$51,"OBC",AT7:AT51,"C1")</f>
        <v>0</v>
      </c>
      <c r="AG57" s="598">
        <f>COUNTIFS($I$7:$I$51,"BOY",$J$7:$J$51,"SC",AT7:AT51,"C1")</f>
        <v>0</v>
      </c>
      <c r="AH57" s="598">
        <f>COUNTIFS($I$7:$I$51,"BOY",$J$7:$J$51,"ST",AT7:AT51,"C1")</f>
        <v>0</v>
      </c>
      <c r="AI57" s="599">
        <f t="shared" si="191"/>
        <v>0</v>
      </c>
      <c r="AJ57" s="598">
        <f>COUNTIFS($I$7:$I$51,"GIRL",$J$7:$J$51,"GEN",AT7:AT51,"C1")</f>
        <v>0</v>
      </c>
      <c r="AK57" s="598">
        <f>COUNTIFS($I$7:$I$51,"GIRL",$J$7:$J$51,"OBC",AT7:AT51,"C1")</f>
        <v>0</v>
      </c>
      <c r="AL57" s="598">
        <f>COUNTIFS($I$7:$I$51,"GIRL",$J$7:$J$51,"SC",AT7:AT51,"C1")</f>
        <v>0</v>
      </c>
      <c r="AM57" s="598">
        <f>COUNTIFS($I$7:$I$51,"GIRL",$J$7:$J$51,"ST",AT7:AT51,"C1")</f>
        <v>0</v>
      </c>
      <c r="AN57" s="599">
        <f t="shared" si="192"/>
        <v>0</v>
      </c>
      <c r="AO57" s="602">
        <f t="shared" si="193"/>
        <v>0</v>
      </c>
      <c r="AP57" s="1220" t="s">
        <v>47</v>
      </c>
      <c r="AQ57" s="1221"/>
      <c r="AR57" s="1221"/>
      <c r="AS57" s="1222"/>
      <c r="AT57" s="1223">
        <f>COUNTIFS($AT$7:$AT$51,"E")  + COUNTIF($AT$7:$AT$51,"~*")</f>
        <v>0</v>
      </c>
      <c r="AU57" s="1224"/>
      <c r="AV57" s="1225"/>
      <c r="AW57" s="128"/>
      <c r="AX57" s="603" t="s">
        <v>49</v>
      </c>
      <c r="AY57" s="598">
        <f>COUNTIFS($I$7:$I$51,"BOY",$J$7:$J$51,"GEN",BM7:BM51,"C1")</f>
        <v>0</v>
      </c>
      <c r="AZ57" s="598">
        <f>COUNTIFS($I$7:$I$51,"BOY",$J$7:$J$51,"OBC",BM7:BM51,"C1")</f>
        <v>0</v>
      </c>
      <c r="BA57" s="598">
        <f>COUNTIFS($I$7:$I$51,"BOY",$J$7:$J$51,"SC",BM7:BM51,"C1")</f>
        <v>0</v>
      </c>
      <c r="BB57" s="598">
        <f>COUNTIFS($I$7:$I$51,"BOY",$J$7:$J$51,"ST",BM7:BM51,"C1")</f>
        <v>0</v>
      </c>
      <c r="BC57" s="599">
        <f t="shared" si="195"/>
        <v>0</v>
      </c>
      <c r="BD57" s="598">
        <f>COUNTIFS($I$7:$I$51,"GIRL",$J$7:$J$51,"GEN",BM7:BM51,"C1")</f>
        <v>0</v>
      </c>
      <c r="BE57" s="598">
        <f>COUNTIFS($I$7:$I$51,"GIRL",$J$7:$J$51,"OBC",BM7:BM51,"C1")</f>
        <v>0</v>
      </c>
      <c r="BF57" s="598">
        <f>COUNTIFS($I$7:$I$51,"GIRL",$J$7:$J$51,"SC",BM7:BM51,"C1")</f>
        <v>0</v>
      </c>
      <c r="BG57" s="598">
        <f>COUNTIFS($I$7:$I$51,"GIRL",$J$7:$J$51,"ST",BM7:BM51,"C1")</f>
        <v>0</v>
      </c>
      <c r="BH57" s="599">
        <f t="shared" si="196"/>
        <v>0</v>
      </c>
      <c r="BI57" s="602">
        <f t="shared" si="197"/>
        <v>0</v>
      </c>
      <c r="BJ57" s="1220" t="s">
        <v>47</v>
      </c>
      <c r="BK57" s="1221"/>
      <c r="BL57" s="1221"/>
      <c r="BM57" s="1222"/>
      <c r="BN57" s="1223">
        <f>COUNTIFS(BM7:BM51,"E")  + COUNTIF(BM7:BM51,"~*")</f>
        <v>0</v>
      </c>
      <c r="BO57" s="1224"/>
      <c r="BP57" s="1225"/>
      <c r="BQ57" s="603" t="s">
        <v>49</v>
      </c>
      <c r="BR57" s="598">
        <f>COUNTIFS($I$7:$I$51,"BOY",$J$7:$J$51,"GEN",CF7:CF51,"C1")</f>
        <v>0</v>
      </c>
      <c r="BS57" s="598">
        <f>COUNTIFS($I$7:$I$51,"BOY",$J$7:$J$51,"OBC",CF7:CF51,"C1")</f>
        <v>0</v>
      </c>
      <c r="BT57" s="598">
        <f>COUNTIFS($I$7:$I$51,"BOY",$J$7:$J$51,"SC",CF7:CF51,"C1")</f>
        <v>0</v>
      </c>
      <c r="BU57" s="598">
        <f>COUNTIFS($I$7:$I$51,"BOY",$J$7:$J$51,"ST",CF7:CF51,"C1")</f>
        <v>0</v>
      </c>
      <c r="BV57" s="599">
        <f t="shared" si="199"/>
        <v>0</v>
      </c>
      <c r="BW57" s="598">
        <f>COUNTIFS($I$7:$I$51,"GIRL",$J$7:$J$51,"GEN",CF7:CF51,"C1")</f>
        <v>0</v>
      </c>
      <c r="BX57" s="598">
        <f>COUNTIFS($I$7:$I$51,"GIRL",$J$7:$J$51,"OBC",CF7:CF51,"C1")</f>
        <v>0</v>
      </c>
      <c r="BY57" s="598">
        <f>COUNTIFS($I$7:$I$51,"GIRL",$J$7:$J$51,"SC",CF7:CF51,"C1")</f>
        <v>0</v>
      </c>
      <c r="BZ57" s="598">
        <f>COUNTIFS($I$7:$I$51,"GIRL",$J$7:$J$51,"ST",CF7:CF51,"C1")</f>
        <v>0</v>
      </c>
      <c r="CA57" s="599">
        <f t="shared" si="200"/>
        <v>0</v>
      </c>
      <c r="CB57" s="602">
        <f t="shared" si="201"/>
        <v>0</v>
      </c>
      <c r="CC57" s="1220" t="s">
        <v>47</v>
      </c>
      <c r="CD57" s="1221"/>
      <c r="CE57" s="1221"/>
      <c r="CF57" s="1222"/>
      <c r="CG57" s="1223">
        <f>COUNTIF(CF7:CF51,"E") + COUNTIF(CF7:CF51,"~*")</f>
        <v>0</v>
      </c>
      <c r="CH57" s="1224"/>
      <c r="CI57" s="1225"/>
      <c r="CJ57" s="603" t="s">
        <v>49</v>
      </c>
      <c r="CK57" s="598">
        <f>COUNTIFS($I$7:$I$51,"BOY",$J$7:$J$51,"GEN",CY7:CY51,"C1")</f>
        <v>0</v>
      </c>
      <c r="CL57" s="598">
        <f>COUNTIFS($I$7:$I$51,"BOY",$J$7:$J$51,"OBC",CY7:CY51,"C1")</f>
        <v>0</v>
      </c>
      <c r="CM57" s="598">
        <f>COUNTIFS($I$7:$I$51,"BOY",$J$7:$J$51,"SC",CY7:CY51,"C1")</f>
        <v>0</v>
      </c>
      <c r="CN57" s="598">
        <f>COUNTIFS($I$7:$I$51,"BOY",$J$7:$J$51,"ST",CY7:CY51,"C1")</f>
        <v>0</v>
      </c>
      <c r="CO57" s="599">
        <f t="shared" si="203"/>
        <v>0</v>
      </c>
      <c r="CP57" s="598">
        <f>COUNTIFS($I$7:$I$51,"GIRL",$J$7:$J$51,"GEN",CY7:CY51,"C1")</f>
        <v>0</v>
      </c>
      <c r="CQ57" s="598">
        <f>COUNTIFS($I$7:$I$51,"GIRL",$J$7:$J$51,"OBC",CY7:CY51,"C1")</f>
        <v>0</v>
      </c>
      <c r="CR57" s="598">
        <f>COUNTIFS($I$7:$I$51,"GIRL",$J$7:$J$51,"SC",CY7:CY51,"C1")</f>
        <v>0</v>
      </c>
      <c r="CS57" s="598">
        <f>COUNTIFS($I$7:$I$51,"GIRL",$J$7:$J$51,"ST",CY7:CY51,"C1")</f>
        <v>0</v>
      </c>
      <c r="CT57" s="599">
        <f t="shared" si="204"/>
        <v>0</v>
      </c>
      <c r="CU57" s="602">
        <f t="shared" si="205"/>
        <v>0</v>
      </c>
      <c r="CV57" s="1220" t="s">
        <v>47</v>
      </c>
      <c r="CW57" s="1221"/>
      <c r="CX57" s="1221"/>
      <c r="CY57" s="1222"/>
      <c r="CZ57" s="1223">
        <f>COUNTIFS(CY7:CY51,"E") + COUNTIF(CY7:CY51,"~*")</f>
        <v>1</v>
      </c>
      <c r="DA57" s="1224"/>
      <c r="DB57" s="1225"/>
      <c r="DC57" s="603" t="s">
        <v>49</v>
      </c>
      <c r="DD57" s="598">
        <f>COUNTIFS($I$7:$I$51,"BOY",$J$7:$J$51,"GEN",DR7:DR51,"C1")</f>
        <v>0</v>
      </c>
      <c r="DE57" s="598">
        <f>COUNTIFS($I$7:$I$51,"BOY",$J$7:$J$51,"OBC",DR7:DR51,"C1")</f>
        <v>0</v>
      </c>
      <c r="DF57" s="598">
        <f>COUNTIFS($I$7:$I$51,"BOY",$J$7:$J$51,"SC",DR7:DR51,"C1")</f>
        <v>0</v>
      </c>
      <c r="DG57" s="598">
        <f>COUNTIFS($I$7:$I$51,"BOY",$J$7:$J$51,"ST",DR7:DR51,"C1")</f>
        <v>0</v>
      </c>
      <c r="DH57" s="599">
        <f t="shared" si="207"/>
        <v>0</v>
      </c>
      <c r="DI57" s="598">
        <f>COUNTIFS($I$7:$I$51,"GIRL",$J$7:$J$51,"GEN",DR7:DR51,"C1")</f>
        <v>0</v>
      </c>
      <c r="DJ57" s="598">
        <f>COUNTIFS($I$7:$I$51,"GIRL",$J$7:$J$51,"OBC",DR7:DR51,"C1")</f>
        <v>0</v>
      </c>
      <c r="DK57" s="598">
        <f>COUNTIFS($I$7:$I$51,"GIRL",$J$7:$J$51,"SC",DR7:DR51,"C1")</f>
        <v>1</v>
      </c>
      <c r="DL57" s="598">
        <f>COUNTIFS($I$7:$I$51,"GIRL",$J$7:$J$51,"ST",DR7:DR51,"C1")</f>
        <v>0</v>
      </c>
      <c r="DM57" s="599">
        <f t="shared" si="208"/>
        <v>1</v>
      </c>
      <c r="DN57" s="602">
        <f t="shared" si="209"/>
        <v>1</v>
      </c>
      <c r="DO57" s="1220" t="s">
        <v>47</v>
      </c>
      <c r="DP57" s="1221"/>
      <c r="DQ57" s="1221"/>
      <c r="DR57" s="1222"/>
      <c r="DS57" s="1223">
        <f>COUNTIFS(DR7:DR51,"E") + COUNTIF(DR7:DR51,"~*")</f>
        <v>0</v>
      </c>
      <c r="DT57" s="1224"/>
      <c r="DU57" s="1225"/>
      <c r="DV57" s="130" t="str">
        <f t="shared" si="175"/>
        <v/>
      </c>
      <c r="DW57" s="72" t="str">
        <f t="shared" si="176"/>
        <v/>
      </c>
      <c r="DX57" s="72" t="str">
        <f t="shared" si="177"/>
        <v/>
      </c>
      <c r="DY57" s="72" t="str">
        <f t="shared" si="178"/>
        <v/>
      </c>
      <c r="DZ57" s="72" t="str">
        <f t="shared" si="179"/>
        <v/>
      </c>
      <c r="EA57" s="72" t="str">
        <f t="shared" si="180"/>
        <v/>
      </c>
      <c r="EB57" s="76" t="str">
        <f t="shared" si="181"/>
        <v/>
      </c>
      <c r="EC57" s="76" t="str">
        <f t="shared" si="182"/>
        <v/>
      </c>
      <c r="ED57" s="76" t="str">
        <f t="shared" si="183"/>
        <v/>
      </c>
      <c r="EE57" s="76" t="str">
        <f t="shared" si="184"/>
        <v/>
      </c>
      <c r="EF57" s="76" t="str">
        <f t="shared" si="185"/>
        <v/>
      </c>
      <c r="EG57" s="76" t="str">
        <f t="shared" si="186"/>
        <v/>
      </c>
      <c r="EH57" s="1161"/>
      <c r="EI57" s="1162"/>
      <c r="EJ57" s="1162"/>
      <c r="EK57" s="1162"/>
      <c r="EL57" s="1162"/>
      <c r="EM57" s="1162"/>
      <c r="EN57" s="1163"/>
      <c r="EO57" s="1250"/>
      <c r="EP57" s="494"/>
      <c r="EQ57" s="494"/>
      <c r="ER57" s="494"/>
      <c r="ES57" s="494"/>
      <c r="ET57" s="494"/>
      <c r="EU57" s="494"/>
      <c r="EV57" s="1174"/>
      <c r="EW57" s="1174"/>
      <c r="EX57" s="1174"/>
      <c r="EY57" s="1174"/>
      <c r="EZ57" s="1174"/>
      <c r="FA57" s="1174"/>
      <c r="FB57" s="1174"/>
      <c r="FC57" s="1174"/>
      <c r="FD57" s="1174"/>
      <c r="FE57" s="1174"/>
      <c r="FF57" s="1174"/>
      <c r="FG57" s="1175"/>
      <c r="FH57" s="1270"/>
      <c r="FI57" s="1270"/>
      <c r="FJ57" s="1270"/>
      <c r="FK57" s="1270"/>
      <c r="FL57" s="1270"/>
      <c r="FM57" s="1274"/>
      <c r="FN57" s="363"/>
    </row>
    <row r="58" spans="1:170" s="362" customFormat="1" ht="15" customHeight="1" x14ac:dyDescent="0.3">
      <c r="A58" s="6"/>
      <c r="B58" s="512"/>
      <c r="C58" s="25"/>
      <c r="D58" s="25"/>
      <c r="E58" s="45"/>
      <c r="F58" s="123"/>
      <c r="G58" s="126" t="s">
        <v>195</v>
      </c>
      <c r="H58" s="126">
        <f>SUM(H54:H57)</f>
        <v>1</v>
      </c>
      <c r="I58" s="126">
        <f>SUM(I54:I57)</f>
        <v>2</v>
      </c>
      <c r="J58" s="126">
        <f t="shared" si="187"/>
        <v>3</v>
      </c>
      <c r="K58" s="123"/>
      <c r="L58" s="1178" t="s">
        <v>50</v>
      </c>
      <c r="M58" s="1179"/>
      <c r="N58" s="1184">
        <f>COUNTIFS($I$7:$I$51,"BOY",$J$7:$J$51,"GEN",Z7:Z51,"B2")</f>
        <v>0</v>
      </c>
      <c r="O58" s="1185"/>
      <c r="P58" s="1184">
        <f>COUNTIFS($I$7:$I$51,"BOY",$J$7:$J$51,"OBC",Z7:Z51,"B2")</f>
        <v>0</v>
      </c>
      <c r="Q58" s="1185"/>
      <c r="R58" s="598">
        <f>COUNTIFS($I$7:$I$51,"BOY",$J$7:$J$51,"SC",Z7:Z51,"B2")</f>
        <v>0</v>
      </c>
      <c r="S58" s="598">
        <f>COUNTIFS($I$7:$I$51,"BOY",$J$7:$J$51,"ST",Z7:Z51,"B2")</f>
        <v>0</v>
      </c>
      <c r="T58" s="599">
        <f t="shared" si="189"/>
        <v>0</v>
      </c>
      <c r="U58" s="598">
        <f>COUNTIFS($I$7:$I$51,"GIRL",$J$7:$J$51,"GEN",Z7:Z51,"B2")</f>
        <v>0</v>
      </c>
      <c r="V58" s="598">
        <f>COUNTIFS($I$7:$I$51,"GIRL",$J$7:$J$51,"OBC",Z7:Z51,"B2")</f>
        <v>0</v>
      </c>
      <c r="W58" s="1184">
        <f>COUNTIFS($I$7:$I$51,"GIRL",$J$7:$J$51,"SC",Z7:Z51,"B2")</f>
        <v>0</v>
      </c>
      <c r="X58" s="1185"/>
      <c r="Y58" s="598">
        <f>COUNTIFS($I$7:$I$51,"GIRL",$J$7:$J$51,"ST",Z7:Z51,"B2")</f>
        <v>0</v>
      </c>
      <c r="Z58" s="599">
        <f t="shared" si="190"/>
        <v>0</v>
      </c>
      <c r="AA58" s="602">
        <f t="shared" si="188"/>
        <v>0</v>
      </c>
      <c r="AB58" s="604" t="s">
        <v>48</v>
      </c>
      <c r="AC58" s="129">
        <f>COUNTIFS(Z7:Z51,"D")</f>
        <v>0</v>
      </c>
      <c r="AD58" s="603" t="s">
        <v>50</v>
      </c>
      <c r="AE58" s="598">
        <f>COUNTIFS($I$7:$I$51,"BOY",$J$7:$J$51,"GEN",AT7:AT51,"B2")</f>
        <v>0</v>
      </c>
      <c r="AF58" s="598">
        <f>COUNTIFS($I$7:$I$51,"BOY",$J$7:$J$51,"OBC",AT7:AT51,"B2")</f>
        <v>0</v>
      </c>
      <c r="AG58" s="598">
        <f>COUNTIFS($I$7:$I$51,"BOY",$J$7:$J$51,"SC",AT7:AT51,"B2")</f>
        <v>0</v>
      </c>
      <c r="AH58" s="598">
        <f>COUNTIFS($I$7:$I$51,"BOY",$J$7:$J$51,"ST",AT7:AT51,"B2")</f>
        <v>0</v>
      </c>
      <c r="AI58" s="599">
        <f t="shared" si="191"/>
        <v>0</v>
      </c>
      <c r="AJ58" s="598">
        <f>COUNTIFS($I$7:$I$51,"GIRL",$J$7:$J$51,"GEN",AT7:AT51,"B2")</f>
        <v>0</v>
      </c>
      <c r="AK58" s="598">
        <f>COUNTIFS($I$7:$I$51,"GIRL",$J$7:$J$51,"OBC",AT7:AT51,"B2")</f>
        <v>0</v>
      </c>
      <c r="AL58" s="598">
        <f>COUNTIFS($I$7:$I$51,"GIRL",$J$7:$J$51,"SC",AT7:AT51,"B2")</f>
        <v>0</v>
      </c>
      <c r="AM58" s="598">
        <f>COUNTIFS($I$7:$I$51,"GIRL",$J$7:$J$51,"ST",AT7:AT51,"B2")</f>
        <v>0</v>
      </c>
      <c r="AN58" s="599">
        <f t="shared" si="192"/>
        <v>0</v>
      </c>
      <c r="AO58" s="602">
        <f t="shared" si="193"/>
        <v>0</v>
      </c>
      <c r="AP58" s="1220" t="s">
        <v>48</v>
      </c>
      <c r="AQ58" s="1221"/>
      <c r="AR58" s="1221"/>
      <c r="AS58" s="1222"/>
      <c r="AT58" s="1223">
        <f>COUNTIFS($AT$7:$AT$51,"D")</f>
        <v>0</v>
      </c>
      <c r="AU58" s="1224"/>
      <c r="AV58" s="1225"/>
      <c r="AW58" s="128"/>
      <c r="AX58" s="603" t="s">
        <v>50</v>
      </c>
      <c r="AY58" s="598">
        <f>COUNTIFS($I$7:$I$51,"BOY",$J$7:$J$51,"GEN",BM7:BM51,"B2")</f>
        <v>0</v>
      </c>
      <c r="AZ58" s="598">
        <f>COUNTIFS($I$7:$I$51,"BOY",$J$7:$J$51,"OBC",BM7:BM51,"B2")</f>
        <v>0</v>
      </c>
      <c r="BA58" s="598">
        <f>COUNTIFS($I$7:$I$51,"BOY",$J$7:$J$51,"SC",BM7:BM51,"B2")</f>
        <v>0</v>
      </c>
      <c r="BB58" s="598">
        <f>COUNTIFS($I$7:$I$51,"BOY",$J$7:$J$51,"ST",BM7:BM51,"B2")</f>
        <v>0</v>
      </c>
      <c r="BC58" s="599">
        <f t="shared" si="195"/>
        <v>0</v>
      </c>
      <c r="BD58" s="598">
        <f>COUNTIFS($I$7:$I$51,"GIRL",$J$7:$J$51,"GEN",BM7:BM51,"B2")</f>
        <v>0</v>
      </c>
      <c r="BE58" s="598">
        <f>COUNTIFS($I$7:$I$51,"GIRL",$J$7:$J$51,"OBC",BM7:BM51,"B2")</f>
        <v>0</v>
      </c>
      <c r="BF58" s="598">
        <f>COUNTIFS($I$7:$I$51,"GIRL",$J$7:$J$51,"SC",BM7:BM51,"B2")</f>
        <v>0</v>
      </c>
      <c r="BG58" s="598">
        <f>COUNTIFS($I$7:$I$51,"GIRL",$J$7:$J$51,"ST",BM7:BM51,"B2")</f>
        <v>0</v>
      </c>
      <c r="BH58" s="599">
        <f t="shared" si="196"/>
        <v>0</v>
      </c>
      <c r="BI58" s="602">
        <f t="shared" si="197"/>
        <v>0</v>
      </c>
      <c r="BJ58" s="1220" t="s">
        <v>48</v>
      </c>
      <c r="BK58" s="1221"/>
      <c r="BL58" s="1221"/>
      <c r="BM58" s="1222"/>
      <c r="BN58" s="1223">
        <f>COUNTIFS(BM7:BM51,"D",BL7:BL51,"&gt;=33",BJ7:BJ51,"&gt;=25",BK7:BK51,"&gt;=8")</f>
        <v>0</v>
      </c>
      <c r="BO58" s="1224"/>
      <c r="BP58" s="1225"/>
      <c r="BQ58" s="603" t="s">
        <v>50</v>
      </c>
      <c r="BR58" s="598">
        <f>COUNTIFS($I$7:$I$51,"BOY",$J$7:$J$51,"GEN",CF7:CF51,"B2")</f>
        <v>0</v>
      </c>
      <c r="BS58" s="598">
        <f>COUNTIFS($I$7:$I$51,"BOY",$J$7:$J$51,"OBC",CF7:CF51,"B2")</f>
        <v>0</v>
      </c>
      <c r="BT58" s="598">
        <f>COUNTIFS($I$7:$I$51,"BOY",$J$7:$J$51,"SC",CF7:CF51,"B2")</f>
        <v>0</v>
      </c>
      <c r="BU58" s="598">
        <f>COUNTIFS($I$7:$I$51,"BOY",$J$7:$J$51,"ST",CF7:CF51,"B2")</f>
        <v>0</v>
      </c>
      <c r="BV58" s="599">
        <f t="shared" si="199"/>
        <v>0</v>
      </c>
      <c r="BW58" s="598">
        <f>COUNTIFS($I$7:$I$51,"GIRL",$J$7:$J$51,"GEN",CF7:CF51,"B2")</f>
        <v>0</v>
      </c>
      <c r="BX58" s="598">
        <f>COUNTIFS($I$7:$I$51,"GIRL",$J$7:$J$51,"OBC",CF7:CF51,"B2")</f>
        <v>0</v>
      </c>
      <c r="BY58" s="598">
        <f>COUNTIFS($I$7:$I$51,"GIRL",$J$7:$J$51,"SC",CF7:CF51,"B2")</f>
        <v>1</v>
      </c>
      <c r="BZ58" s="598">
        <f>COUNTIFS($I$7:$I$51,"GIRL",$J$7:$J$51,"ST",CF7:CF51,"B2")</f>
        <v>0</v>
      </c>
      <c r="CA58" s="599">
        <f t="shared" si="200"/>
        <v>1</v>
      </c>
      <c r="CB58" s="602">
        <f t="shared" si="201"/>
        <v>1</v>
      </c>
      <c r="CC58" s="1220" t="s">
        <v>48</v>
      </c>
      <c r="CD58" s="1221"/>
      <c r="CE58" s="1221"/>
      <c r="CF58" s="1222"/>
      <c r="CG58" s="1223">
        <f>COUNTIFS(CF7:CF51,"D",CE7:CE51,"&gt;=33",CC7:CC51,"&gt;=25",CD7:CD51,"&gt;=8")</f>
        <v>0</v>
      </c>
      <c r="CH58" s="1224"/>
      <c r="CI58" s="1225"/>
      <c r="CJ58" s="603" t="s">
        <v>50</v>
      </c>
      <c r="CK58" s="598">
        <f>COUNTIFS($I$7:$I$51,"BOY",$J$7:$J$51,"GEN",CY7:CY51,"B2")</f>
        <v>0</v>
      </c>
      <c r="CL58" s="598">
        <f>COUNTIFS($I$7:$I$51,"BOY",$J$7:$J$51,"OBC",CY7:CY51,"B2")</f>
        <v>0</v>
      </c>
      <c r="CM58" s="598">
        <f>COUNTIFS($I$7:$I$51,"BOY",$J$7:$J$51,"SC",CY7:CY51,"B2")</f>
        <v>0</v>
      </c>
      <c r="CN58" s="598">
        <f>COUNTIFS($I$7:$I$51,"BOY",$J$7:$J$51,"ST",CY7:CY51,"B2")</f>
        <v>0</v>
      </c>
      <c r="CO58" s="599">
        <f t="shared" si="203"/>
        <v>0</v>
      </c>
      <c r="CP58" s="598">
        <f>COUNTIFS($I$7:$I$51,"GIRL",$J$7:$J$51,"GEN",CY7:CY51,"B2")</f>
        <v>0</v>
      </c>
      <c r="CQ58" s="598">
        <f>COUNTIFS($I$7:$I$51,"GIRL",$J$7:$J$51,"OBC",CY7:CY51,"B2")</f>
        <v>0</v>
      </c>
      <c r="CR58" s="598">
        <f>COUNTIFS($I$7:$I$51,"GIRL",$J$7:$J$51,"SC",CY7:CY51,"B2")</f>
        <v>0</v>
      </c>
      <c r="CS58" s="598">
        <f>COUNTIFS($I$7:$I$51,"GIRL",$J$7:$J$51,"ST",CY7:CY51,"B2")</f>
        <v>0</v>
      </c>
      <c r="CT58" s="599">
        <f t="shared" si="204"/>
        <v>0</v>
      </c>
      <c r="CU58" s="602">
        <f t="shared" si="205"/>
        <v>0</v>
      </c>
      <c r="CV58" s="1220" t="s">
        <v>48</v>
      </c>
      <c r="CW58" s="1221"/>
      <c r="CX58" s="1221"/>
      <c r="CY58" s="1222"/>
      <c r="CZ58" s="1223">
        <f>COUNTIFS(CY7:CY51,"D",CX7:CX51,"&gt;=33",CV7:CV51,"&gt;=25",CW7:CW51,"&gt;=8")</f>
        <v>0</v>
      </c>
      <c r="DA58" s="1224"/>
      <c r="DB58" s="1225"/>
      <c r="DC58" s="603" t="s">
        <v>50</v>
      </c>
      <c r="DD58" s="598">
        <f>COUNTIFS($I$7:$I$51,"BOY",$J$7:$J$51,"GEN",DR7:DR51,"B2")</f>
        <v>0</v>
      </c>
      <c r="DE58" s="598">
        <f>COUNTIFS($I$7:$I$51,"BOY",$J$7:$J$51,"OBC",DR7:DR51,"B2")</f>
        <v>0</v>
      </c>
      <c r="DF58" s="598">
        <f>COUNTIFS($I$7:$I$51,"BOY",$J$7:$J$51,"SC",DR7:DR51,"B2")</f>
        <v>0</v>
      </c>
      <c r="DG58" s="598">
        <f>COUNTIFS($I$7:$I$51,"BOY",$J$7:$J$51,"ST",DR7:DR51,"B2")</f>
        <v>0</v>
      </c>
      <c r="DH58" s="599">
        <f t="shared" si="207"/>
        <v>0</v>
      </c>
      <c r="DI58" s="598">
        <f>COUNTIFS($I$7:$I$51,"GIRL",$J$7:$J$51,"GEN",DR7:DR51,"B2")</f>
        <v>0</v>
      </c>
      <c r="DJ58" s="598">
        <f>COUNTIFS($I$7:$I$51,"GIRL",$J$7:$J$51,"OBC",DR7:DR51,"B2")</f>
        <v>0</v>
      </c>
      <c r="DK58" s="598">
        <f>COUNTIFS($I$7:$I$51,"GIRL",$J$7:$J$51,"SC",DR7:DR51,"B2")</f>
        <v>0</v>
      </c>
      <c r="DL58" s="598">
        <f>COUNTIFS($I$7:$I$51,"GIRL",$J$7:$J$51,"ST",DR7:DR51,"B2")</f>
        <v>0</v>
      </c>
      <c r="DM58" s="599">
        <f t="shared" si="208"/>
        <v>0</v>
      </c>
      <c r="DN58" s="602">
        <f t="shared" si="209"/>
        <v>0</v>
      </c>
      <c r="DO58" s="1220" t="s">
        <v>48</v>
      </c>
      <c r="DP58" s="1221"/>
      <c r="DQ58" s="1221"/>
      <c r="DR58" s="1222"/>
      <c r="DS58" s="1223">
        <f>COUNTIFS(DR7:DR51,"D",DQ7:DQ51,"&gt;=33",DO7:DO51,"&gt;=25",DP7:DP51,"&gt;=8")</f>
        <v>0</v>
      </c>
      <c r="DT58" s="1224"/>
      <c r="DU58" s="1225"/>
      <c r="DV58" s="130" t="str">
        <f t="shared" si="175"/>
        <v/>
      </c>
      <c r="DW58" s="72" t="str">
        <f t="shared" si="176"/>
        <v/>
      </c>
      <c r="DX58" s="72" t="str">
        <f t="shared" si="177"/>
        <v/>
      </c>
      <c r="DY58" s="72" t="str">
        <f t="shared" si="178"/>
        <v/>
      </c>
      <c r="DZ58" s="72" t="str">
        <f t="shared" si="179"/>
        <v/>
      </c>
      <c r="EA58" s="72" t="str">
        <f t="shared" si="180"/>
        <v/>
      </c>
      <c r="EB58" s="76" t="str">
        <f t="shared" si="181"/>
        <v/>
      </c>
      <c r="EC58" s="76" t="str">
        <f t="shared" si="182"/>
        <v/>
      </c>
      <c r="ED58" s="76" t="str">
        <f t="shared" si="183"/>
        <v/>
      </c>
      <c r="EE58" s="76" t="str">
        <f t="shared" si="184"/>
        <v/>
      </c>
      <c r="EF58" s="76" t="str">
        <f t="shared" si="185"/>
        <v/>
      </c>
      <c r="EG58" s="76" t="str">
        <f t="shared" si="186"/>
        <v/>
      </c>
      <c r="EH58" s="1161"/>
      <c r="EI58" s="1162"/>
      <c r="EJ58" s="1162"/>
      <c r="EK58" s="1162"/>
      <c r="EL58" s="1162"/>
      <c r="EM58" s="1162"/>
      <c r="EN58" s="1163"/>
      <c r="EO58" s="1250"/>
      <c r="EP58" s="494"/>
      <c r="EQ58" s="494"/>
      <c r="ER58" s="494"/>
      <c r="ES58" s="494"/>
      <c r="ET58" s="494"/>
      <c r="EU58" s="494"/>
      <c r="EV58" s="1174"/>
      <c r="EW58" s="1174"/>
      <c r="EX58" s="1174"/>
      <c r="EY58" s="1174"/>
      <c r="EZ58" s="1174"/>
      <c r="FA58" s="1174"/>
      <c r="FB58" s="1174"/>
      <c r="FC58" s="1174"/>
      <c r="FD58" s="1174"/>
      <c r="FE58" s="1174"/>
      <c r="FF58" s="1174"/>
      <c r="FG58" s="1175"/>
      <c r="FH58" s="1270" t="str">
        <f>IF(DASHBOARD!E12="","",DASHBOARD!E12&amp;" -"&amp;DASHBOARD!D12)</f>
        <v xml:space="preserve">KAMLESH KUMAR -PHYSICS </v>
      </c>
      <c r="FI58" s="1270"/>
      <c r="FJ58" s="1270" t="str">
        <f>'RESULT TEACHER WISE'!E11</f>
        <v>100 %</v>
      </c>
      <c r="FK58" s="1270"/>
      <c r="FL58" s="1270"/>
      <c r="FM58" s="1274"/>
      <c r="FN58" s="363"/>
    </row>
    <row r="59" spans="1:170" s="362" customFormat="1" ht="16.5" customHeight="1" x14ac:dyDescent="0.3">
      <c r="A59" s="6"/>
      <c r="B59" s="512"/>
      <c r="C59" s="25"/>
      <c r="D59" s="25"/>
      <c r="E59" s="45"/>
      <c r="F59" s="123"/>
      <c r="G59" s="127" t="s">
        <v>185</v>
      </c>
      <c r="H59" s="127">
        <f>COUNTIFS($C$7:$C$50,"TC",$I$7:$I$50,"BOY")</f>
        <v>0</v>
      </c>
      <c r="I59" s="127">
        <f>COUNTIFS($C$7:$C$50,"TC",$I$7:$I$50,"GIRL")</f>
        <v>0</v>
      </c>
      <c r="J59" s="127">
        <f t="shared" si="187"/>
        <v>0</v>
      </c>
      <c r="K59" s="123"/>
      <c r="L59" s="1178" t="s">
        <v>51</v>
      </c>
      <c r="M59" s="1179"/>
      <c r="N59" s="1184">
        <f>COUNTIFS($I$7:$I$51,"BOY",$J$7:$J$51,"GEN",Z7:Z51,"B1")</f>
        <v>0</v>
      </c>
      <c r="O59" s="1185"/>
      <c r="P59" s="1184">
        <f>COUNTIFS($I$7:$I$51,"BOY",$J$7:$J$51,"OBC",Z7:Z51,"B1")</f>
        <v>0</v>
      </c>
      <c r="Q59" s="1185"/>
      <c r="R59" s="598">
        <f>COUNTIFS($I$7:$I$51,"BOY",$J$7:$J$51,"SC",Z7:Z51,"B1")</f>
        <v>0</v>
      </c>
      <c r="S59" s="598">
        <f>COUNTIFS($I$7:$I$51,"BOY",$J$7:$J$51,"ST",Z7:Z51,"B1")</f>
        <v>0</v>
      </c>
      <c r="T59" s="599">
        <f t="shared" si="189"/>
        <v>0</v>
      </c>
      <c r="U59" s="598">
        <f>COUNTIFS($I$7:$I$51,"GIRL",$J$7:$J$51,"GEN",Z7:Z51,"B1")</f>
        <v>0</v>
      </c>
      <c r="V59" s="598">
        <f>COUNTIFS($I$7:$I$51,"GIRL",$J$7:$J$51,"OBC",Z7:Z51,"B1")</f>
        <v>0</v>
      </c>
      <c r="W59" s="1184">
        <f>COUNTIFS($I$7:$I$51,"GIRL",$J$7:$J$51,"SC",Z7:Z51,"B1")</f>
        <v>0</v>
      </c>
      <c r="X59" s="1185"/>
      <c r="Y59" s="598">
        <f>COUNTIFS($I$7:$I$51,"GIRL",$J$7:$J$51,"ST",Z7:Z51,"B1")</f>
        <v>0</v>
      </c>
      <c r="Z59" s="599">
        <f t="shared" si="190"/>
        <v>0</v>
      </c>
      <c r="AA59" s="602">
        <f t="shared" si="188"/>
        <v>0</v>
      </c>
      <c r="AB59" s="604" t="s">
        <v>187</v>
      </c>
      <c r="AC59" s="129">
        <f>COUNTIFS(Z7:Z51,"C2")</f>
        <v>1</v>
      </c>
      <c r="AD59" s="603" t="s">
        <v>51</v>
      </c>
      <c r="AE59" s="598">
        <f>COUNTIFS($I$7:$I$51,"BOY",$J$7:$J$51,"GEN",AT7:AT51,"B1")</f>
        <v>0</v>
      </c>
      <c r="AF59" s="598">
        <f>COUNTIFS($I$7:$I$51,"BOY",$J$7:$J$51,"OBC",AT7:AT51,"B1")</f>
        <v>0</v>
      </c>
      <c r="AG59" s="598">
        <f>COUNTIFS($I$7:$I$51,"BOY",$J$7:$J$51,"SC",AT7:AT51,"B1")</f>
        <v>0</v>
      </c>
      <c r="AH59" s="598">
        <f>COUNTIFS($I$7:$I$51,"BOY",$J$7:$J$51,"ST",AT7:AT51,"B1")</f>
        <v>0</v>
      </c>
      <c r="AI59" s="599">
        <f t="shared" si="191"/>
        <v>0</v>
      </c>
      <c r="AJ59" s="598">
        <f>COUNTIFS($I$7:$I$51,"GIRL",$J$7:$J$51,"GEN",AT7:AT51,"B1")</f>
        <v>0</v>
      </c>
      <c r="AK59" s="598">
        <f>COUNTIFS($I$7:$I$51,"GIRL",$J$7:$J$51,"OBC",AT7:AT51,"B1")</f>
        <v>0</v>
      </c>
      <c r="AL59" s="598">
        <f>COUNTIFS($I$7:$I$51,"GIRL",$J$7:$J$51,"SC",AT7:AT51,"B1")</f>
        <v>0</v>
      </c>
      <c r="AM59" s="598">
        <f>COUNTIFS($I$7:$I$51,"GIRL",$J$7:$J$51,"ST",AT7:AT51,"B1")</f>
        <v>0</v>
      </c>
      <c r="AN59" s="599">
        <f t="shared" si="192"/>
        <v>0</v>
      </c>
      <c r="AO59" s="602">
        <f t="shared" si="193"/>
        <v>0</v>
      </c>
      <c r="AP59" s="1220" t="s">
        <v>187</v>
      </c>
      <c r="AQ59" s="1221"/>
      <c r="AR59" s="1221"/>
      <c r="AS59" s="1222"/>
      <c r="AT59" s="1223">
        <f>COUNTIFS($AT$7:$AT$51,"C2")</f>
        <v>0</v>
      </c>
      <c r="AU59" s="1224"/>
      <c r="AV59" s="1225"/>
      <c r="AW59" s="128"/>
      <c r="AX59" s="603" t="s">
        <v>51</v>
      </c>
      <c r="AY59" s="598">
        <f>COUNTIFS($I$7:$I$51,"BOY",$J$7:$J$51,"GEN",BM7:BM51,"B1")</f>
        <v>1</v>
      </c>
      <c r="AZ59" s="598">
        <f>COUNTIFS($I$7:$I$51,"BOY",$J$7:$J$51,"OBC",BM7:BM51,"B1")</f>
        <v>0</v>
      </c>
      <c r="BA59" s="598">
        <f>COUNTIFS($I$7:$I$51,"BOY",$J$7:$J$51,"SC",BM7:BM51,"B1")</f>
        <v>0</v>
      </c>
      <c r="BB59" s="598">
        <f>COUNTIFS($I$7:$I$51,"BOY",$J$7:$J$51,"ST",BM7:BM51,"B1")</f>
        <v>0</v>
      </c>
      <c r="BC59" s="599">
        <f t="shared" si="195"/>
        <v>1</v>
      </c>
      <c r="BD59" s="598">
        <f>COUNTIFS($I$7:$I$51,"GIRL",$J$7:$J$51,"GEN",BM7:BM51,"B1")</f>
        <v>0</v>
      </c>
      <c r="BE59" s="598">
        <f>COUNTIFS($I$7:$I$51,"GIRL",$J$7:$J$51,"OBC",BM7:BM51,"B1")</f>
        <v>1</v>
      </c>
      <c r="BF59" s="598">
        <f>COUNTIFS($I$7:$I$51,"GIRL",$J$7:$J$51,"SC",BM7:BM51,"B1")</f>
        <v>1</v>
      </c>
      <c r="BG59" s="598">
        <f>COUNTIFS($I$7:$I$51,"GIRL",$J$7:$J$51,"ST",BM7:BM51,"B1")</f>
        <v>0</v>
      </c>
      <c r="BH59" s="599">
        <f t="shared" si="196"/>
        <v>2</v>
      </c>
      <c r="BI59" s="602">
        <f t="shared" si="197"/>
        <v>3</v>
      </c>
      <c r="BJ59" s="1220" t="s">
        <v>187</v>
      </c>
      <c r="BK59" s="1221"/>
      <c r="BL59" s="1221"/>
      <c r="BM59" s="1222"/>
      <c r="BN59" s="1223">
        <f>COUNTIFS(BM7:BM51,"C2",BL7:BL51,"&gt;=33",BJ7:BJ51,"&gt;=25",BK7:BK51,"&gt;=8")</f>
        <v>0</v>
      </c>
      <c r="BO59" s="1224"/>
      <c r="BP59" s="1225"/>
      <c r="BQ59" s="603" t="s">
        <v>51</v>
      </c>
      <c r="BR59" s="598">
        <f>COUNTIFS($I$7:$I$51,"BOY",$J$7:$J$51,"GEN",CF7:CF51,"B1")</f>
        <v>1</v>
      </c>
      <c r="BS59" s="598">
        <f>COUNTIFS($I$7:$I$51,"BOY",$J$7:$J$51,"OBC",CF7:CF51,"B1")</f>
        <v>0</v>
      </c>
      <c r="BT59" s="598">
        <f>COUNTIFS($I$7:$I$51,"BOY",$J$7:$J$51,"SC",CF7:CF51,"B1")</f>
        <v>0</v>
      </c>
      <c r="BU59" s="598">
        <f>COUNTIFS($I$7:$I$51,"BOY",$J$7:$J$51,"ST",CF7:CF51,"B1")</f>
        <v>0</v>
      </c>
      <c r="BV59" s="599">
        <f t="shared" si="199"/>
        <v>1</v>
      </c>
      <c r="BW59" s="598">
        <f>COUNTIFS($I$7:$I$51,"GIRL",$J$7:$J$51,"GEN",CF7:CF51,"B1")</f>
        <v>0</v>
      </c>
      <c r="BX59" s="598">
        <f>COUNTIFS($I$7:$I$51,"GIRL",$J$7:$J$51,"OBC",CF7:CF51,"B1")</f>
        <v>1</v>
      </c>
      <c r="BY59" s="598">
        <f>COUNTIFS($I$7:$I$51,"GIRL",$J$7:$J$51,"SC",CF7:CF51,"B1")</f>
        <v>0</v>
      </c>
      <c r="BZ59" s="598">
        <f>COUNTIFS($I$7:$I$51,"GIRL",$J$7:$J$51,"ST",CF7:CF51,"B1")</f>
        <v>0</v>
      </c>
      <c r="CA59" s="599">
        <f t="shared" si="200"/>
        <v>1</v>
      </c>
      <c r="CB59" s="602">
        <f t="shared" si="201"/>
        <v>2</v>
      </c>
      <c r="CC59" s="1220" t="s">
        <v>187</v>
      </c>
      <c r="CD59" s="1221"/>
      <c r="CE59" s="1221"/>
      <c r="CF59" s="1222"/>
      <c r="CG59" s="1223">
        <f>COUNTIFS(CF7:CF51,"C2",CE7:CE51,"&gt;=33",CC7:CC51,"&gt;=25",CD7:CD51,"&gt;=8")</f>
        <v>0</v>
      </c>
      <c r="CH59" s="1224"/>
      <c r="CI59" s="1225"/>
      <c r="CJ59" s="603" t="s">
        <v>51</v>
      </c>
      <c r="CK59" s="598">
        <f>COUNTIFS($I$7:$I$51,"BOY",$J$7:$J$51,"GEN",CY7:CY51,"B1")</f>
        <v>0</v>
      </c>
      <c r="CL59" s="598">
        <f>COUNTIFS($I$7:$I$51,"BOY",$J$7:$J$51,"OBC",CY7:CY51,"B1")</f>
        <v>0</v>
      </c>
      <c r="CM59" s="598">
        <f>COUNTIFS($I$7:$I$51,"BOY",$J$7:$J$51,"SC",CY7:CY51,"B1")</f>
        <v>0</v>
      </c>
      <c r="CN59" s="598">
        <f>COUNTIFS($I$7:$I$51,"BOY",$J$7:$J$51,"ST",CY7:CY51,"B1")</f>
        <v>0</v>
      </c>
      <c r="CO59" s="599">
        <f t="shared" si="203"/>
        <v>0</v>
      </c>
      <c r="CP59" s="598">
        <f>COUNTIFS($I$7:$I$51,"GIRL",$J$7:$J$51,"GEN",CY7:CY51,"B1")</f>
        <v>0</v>
      </c>
      <c r="CQ59" s="598">
        <f>COUNTIFS($I$7:$I$51,"GIRL",$J$7:$J$51,"OBC",CY7:CY51,"B1")</f>
        <v>0</v>
      </c>
      <c r="CR59" s="598">
        <f>COUNTIFS($I$7:$I$51,"GIRL",$J$7:$J$51,"SC",CY7:CY51,"B1")</f>
        <v>0</v>
      </c>
      <c r="CS59" s="598">
        <f>COUNTIFS($I$7:$I$51,"GIRL",$J$7:$J$51,"ST",CY7:CY51,"B1")</f>
        <v>0</v>
      </c>
      <c r="CT59" s="599">
        <f t="shared" si="204"/>
        <v>0</v>
      </c>
      <c r="CU59" s="602">
        <f t="shared" si="205"/>
        <v>0</v>
      </c>
      <c r="CV59" s="1220" t="s">
        <v>187</v>
      </c>
      <c r="CW59" s="1221"/>
      <c r="CX59" s="1221"/>
      <c r="CY59" s="1222"/>
      <c r="CZ59" s="1223">
        <f>COUNTIFS(CY7:CY51,"C2",CX7:CX51,"&gt;=33",CV7:CV51,"&gt;=25",CW7:CW51,"&gt;=8")</f>
        <v>0</v>
      </c>
      <c r="DA59" s="1224"/>
      <c r="DB59" s="1225"/>
      <c r="DC59" s="603" t="s">
        <v>51</v>
      </c>
      <c r="DD59" s="598">
        <f>COUNTIFS($I$7:$I$51,"BOY",$J$7:$J$51,"GEN",DR7:DR51,"B1")</f>
        <v>0</v>
      </c>
      <c r="DE59" s="598">
        <f>COUNTIFS($I$7:$I$51,"BOY",$J$7:$J$51,"OBC",DR7:DR51,"B1")</f>
        <v>0</v>
      </c>
      <c r="DF59" s="598">
        <f>COUNTIFS($I$7:$I$51,"BOY",$J$7:$J$51,"SC",DR7:DR51,"B1")</f>
        <v>0</v>
      </c>
      <c r="DG59" s="598">
        <f>COUNTIFS($I$7:$I$51,"BOY",$J$7:$J$51,"ST",DR7:DR51,"B1")</f>
        <v>0</v>
      </c>
      <c r="DH59" s="599">
        <f t="shared" si="207"/>
        <v>0</v>
      </c>
      <c r="DI59" s="598">
        <f>COUNTIFS($I$7:$I$51,"GIRL",$J$7:$J$51,"GEN",DR7:DR51,"B1")</f>
        <v>0</v>
      </c>
      <c r="DJ59" s="598">
        <f>COUNTIFS($I$7:$I$51,"GIRL",$J$7:$J$51,"OBC",DR7:DR51,"B1")</f>
        <v>0</v>
      </c>
      <c r="DK59" s="598">
        <f>COUNTIFS($I$7:$I$51,"GIRL",$J$7:$J$51,"SC",DR7:DR51,"B1")</f>
        <v>0</v>
      </c>
      <c r="DL59" s="598">
        <f>COUNTIFS($I$7:$I$51,"GIRL",$J$7:$J$51,"ST",DR7:DR51,"B1")</f>
        <v>0</v>
      </c>
      <c r="DM59" s="599">
        <f t="shared" si="208"/>
        <v>0</v>
      </c>
      <c r="DN59" s="602">
        <f t="shared" si="209"/>
        <v>0</v>
      </c>
      <c r="DO59" s="1220" t="s">
        <v>187</v>
      </c>
      <c r="DP59" s="1221"/>
      <c r="DQ59" s="1221"/>
      <c r="DR59" s="1222"/>
      <c r="DS59" s="1223">
        <f>COUNTIFS(DR7:DR51,"C2",DQ7:DQ51,"&gt;=33",DO7:DO51,"&gt;=25",DP7:DP51,"&gt;=8")</f>
        <v>0</v>
      </c>
      <c r="DT59" s="1224"/>
      <c r="DU59" s="1225"/>
      <c r="DV59" s="130" t="str">
        <f t="shared" si="175"/>
        <v/>
      </c>
      <c r="DW59" s="72" t="str">
        <f t="shared" si="176"/>
        <v/>
      </c>
      <c r="DX59" s="72" t="str">
        <f t="shared" si="177"/>
        <v/>
      </c>
      <c r="DY59" s="72" t="str">
        <f t="shared" si="178"/>
        <v/>
      </c>
      <c r="DZ59" s="72" t="str">
        <f t="shared" si="179"/>
        <v/>
      </c>
      <c r="EA59" s="72" t="str">
        <f t="shared" si="180"/>
        <v/>
      </c>
      <c r="EB59" s="76" t="str">
        <f t="shared" si="181"/>
        <v/>
      </c>
      <c r="EC59" s="76" t="str">
        <f t="shared" si="182"/>
        <v/>
      </c>
      <c r="ED59" s="76" t="str">
        <f t="shared" si="183"/>
        <v/>
      </c>
      <c r="EE59" s="76" t="str">
        <f t="shared" si="184"/>
        <v/>
      </c>
      <c r="EF59" s="76" t="str">
        <f t="shared" si="185"/>
        <v/>
      </c>
      <c r="EG59" s="76" t="str">
        <f t="shared" si="186"/>
        <v/>
      </c>
      <c r="EH59" s="1161"/>
      <c r="EI59" s="1162"/>
      <c r="EJ59" s="1162"/>
      <c r="EK59" s="1162"/>
      <c r="EL59" s="1162"/>
      <c r="EM59" s="1162"/>
      <c r="EN59" s="1163"/>
      <c r="EO59" s="1250"/>
      <c r="EP59" s="494"/>
      <c r="EQ59" s="494"/>
      <c r="ER59" s="494"/>
      <c r="ES59" s="494"/>
      <c r="ET59" s="494"/>
      <c r="EU59" s="494"/>
      <c r="EV59" s="1174"/>
      <c r="EW59" s="1174"/>
      <c r="EX59" s="1174"/>
      <c r="EY59" s="1174"/>
      <c r="EZ59" s="1174"/>
      <c r="FA59" s="1174"/>
      <c r="FB59" s="1174"/>
      <c r="FC59" s="1174"/>
      <c r="FD59" s="1174"/>
      <c r="FE59" s="1174"/>
      <c r="FF59" s="1174"/>
      <c r="FG59" s="1175"/>
      <c r="FH59" s="1270"/>
      <c r="FI59" s="1270"/>
      <c r="FJ59" s="1270"/>
      <c r="FK59" s="1270"/>
      <c r="FL59" s="1270"/>
      <c r="FM59" s="1274"/>
      <c r="FN59" s="363"/>
    </row>
    <row r="60" spans="1:170" s="362" customFormat="1" ht="15" customHeight="1" x14ac:dyDescent="0.3">
      <c r="A60" s="6"/>
      <c r="B60" s="512"/>
      <c r="C60" s="25"/>
      <c r="D60" s="25"/>
      <c r="E60" s="45"/>
      <c r="F60" s="123"/>
      <c r="G60" s="127" t="s">
        <v>194</v>
      </c>
      <c r="H60" s="127">
        <f>COUNTIFS($C$7:$C$50,"NSO",$I$7:$I$50,"BOY")</f>
        <v>0</v>
      </c>
      <c r="I60" s="127">
        <f>COUNTIFS($C$7:$C$50,"NSO",$I$7:$I$50,"GIRL")</f>
        <v>0</v>
      </c>
      <c r="J60" s="127">
        <f>SUM(H70:I70)</f>
        <v>0</v>
      </c>
      <c r="K60" s="123"/>
      <c r="L60" s="1178" t="s">
        <v>188</v>
      </c>
      <c r="M60" s="1179"/>
      <c r="N60" s="1184">
        <f>COUNTIFS($I$7:$I$51,"BOY",$J$7:$J$51,"GEN",Z7:Z51,"A2")</f>
        <v>0</v>
      </c>
      <c r="O60" s="1185"/>
      <c r="P60" s="1184">
        <f>COUNTIFS($I$7:$I$51,"BOY",$J$7:$J$51,"OBC",Z7:Z51,"A2")</f>
        <v>0</v>
      </c>
      <c r="Q60" s="1185"/>
      <c r="R60" s="598">
        <f>COUNTIFS($I$7:$I$51,"BOY",$J$7:$J$51,"SC",Z7:Z51,"A2")</f>
        <v>0</v>
      </c>
      <c r="S60" s="598">
        <f>COUNTIFS($I$7:$I$51,"BOY",$J$7:$J$51,"ST",Z7:Z51,"A2")</f>
        <v>0</v>
      </c>
      <c r="T60" s="599">
        <f t="shared" si="189"/>
        <v>0</v>
      </c>
      <c r="U60" s="598">
        <f>COUNTIFS($I$7:$I$51,"GIRL",$J$7:$J$51,"GEN",Z7:Z51,"A2")</f>
        <v>0</v>
      </c>
      <c r="V60" s="598">
        <f>COUNTIFS($I$7:$I$51,"GIRL",$J$7:$J$51,"OBC",Z7:Z51,"A2")</f>
        <v>1</v>
      </c>
      <c r="W60" s="1184">
        <f>COUNTIFS($I$7:$I$51,"GIRL",$J$7:$J$51,"SC",Z7:Z51,"A2")</f>
        <v>0</v>
      </c>
      <c r="X60" s="1185"/>
      <c r="Y60" s="598">
        <f>COUNTIFS($I$7:$I$51,"GIRL",$J$7:$J$51,"ST",Z7:Z51,"A2")</f>
        <v>0</v>
      </c>
      <c r="Z60" s="599">
        <f t="shared" si="190"/>
        <v>1</v>
      </c>
      <c r="AA60" s="602">
        <f t="shared" si="188"/>
        <v>1</v>
      </c>
      <c r="AB60" s="604" t="s">
        <v>49</v>
      </c>
      <c r="AC60" s="129">
        <f>COUNTIFS(Z7:Z51,"C1")</f>
        <v>0</v>
      </c>
      <c r="AD60" s="603" t="s">
        <v>188</v>
      </c>
      <c r="AE60" s="598">
        <f>COUNTIFS($I$7:$I$51,"BOY",$J$7:$J$51,"GEN",AT7:AT51,"A2")</f>
        <v>0</v>
      </c>
      <c r="AF60" s="598">
        <f>COUNTIFS($I$7:$I$51,"BOY",$J$7:$J$51,"OBC",AT7:AT51,"A2")</f>
        <v>0</v>
      </c>
      <c r="AG60" s="598">
        <f>COUNTIFS($I$7:$I$51,"BOY",$J$7:$J$51,"SC",AT7:AT51,"A2")</f>
        <v>0</v>
      </c>
      <c r="AH60" s="598">
        <f>COUNTIFS($I$7:$I$51,"BOY",$J$7:$J$51,"ST",AT7:AT51,"A2")</f>
        <v>0</v>
      </c>
      <c r="AI60" s="599">
        <f t="shared" si="191"/>
        <v>0</v>
      </c>
      <c r="AJ60" s="598">
        <f>COUNTIFS($I$7:$I$51,"GIRL",$J$7:$J$51,"GEN",AT7:AT51,"A2")</f>
        <v>0</v>
      </c>
      <c r="AK60" s="598">
        <f>COUNTIFS($I$7:$I$51,"GIRL",$J$7:$J$51,"OBC",AT7:AT51,"A2")</f>
        <v>0</v>
      </c>
      <c r="AL60" s="598">
        <f>COUNTIFS($I$7:$I$51,"GIRL",$J$7:$J$51,"SC",AT7:AT51,"A2")</f>
        <v>0</v>
      </c>
      <c r="AM60" s="598">
        <f>COUNTIFS($I$7:$I$51,"GIRL",$J$7:$J$51,"ST",AT7:AT51,"A2")</f>
        <v>0</v>
      </c>
      <c r="AN60" s="599">
        <f t="shared" si="192"/>
        <v>0</v>
      </c>
      <c r="AO60" s="602">
        <f t="shared" si="193"/>
        <v>0</v>
      </c>
      <c r="AP60" s="1220" t="s">
        <v>49</v>
      </c>
      <c r="AQ60" s="1221"/>
      <c r="AR60" s="1221"/>
      <c r="AS60" s="1222"/>
      <c r="AT60" s="1223">
        <f>COUNTIFS($AT$7:$AT$51,"C1")</f>
        <v>0</v>
      </c>
      <c r="AU60" s="1224"/>
      <c r="AV60" s="1225"/>
      <c r="AW60" s="128"/>
      <c r="AX60" s="603" t="s">
        <v>188</v>
      </c>
      <c r="AY60" s="598">
        <f>COUNTIFS($I$7:$I$51,"BOY",$J$7:$J$51,"GEN",BM7:BM51,"A2")</f>
        <v>0</v>
      </c>
      <c r="AZ60" s="598">
        <f>COUNTIFS($I$7:$I$51,"BOY",$J$7:$J$51,"OBC",BM7:BM51,"A2")</f>
        <v>0</v>
      </c>
      <c r="BA60" s="598">
        <f>COUNTIFS($I$7:$I$51,"BOY",$J$7:$J$51,"SC",BM7:BM51,"A2")</f>
        <v>0</v>
      </c>
      <c r="BB60" s="598">
        <f>COUNTIFS($I$7:$I$51,"BOY",$J$7:$J$51,"ST",BM7:BM51,"A2")</f>
        <v>0</v>
      </c>
      <c r="BC60" s="599">
        <f t="shared" si="195"/>
        <v>0</v>
      </c>
      <c r="BD60" s="598">
        <f>COUNTIFS($I$7:$I$51,"GIRL",$J$7:$J$51,"GEN",BM7:BM51,"A2")</f>
        <v>0</v>
      </c>
      <c r="BE60" s="598">
        <f>COUNTIFS($I$7:$I$51,"GIRL",$J$7:$J$51,"OBC",BM7:BM51,"A2")</f>
        <v>0</v>
      </c>
      <c r="BF60" s="598">
        <f>COUNTIFS($I$7:$I$51,"GIRL",$J$7:$J$51,"SC",BM7:BM51,"A2")</f>
        <v>0</v>
      </c>
      <c r="BG60" s="598">
        <f>COUNTIFS($I$7:$I$51,"GIRL",$J$7:$J$51,"ST",BM7:BM51,"A2")</f>
        <v>0</v>
      </c>
      <c r="BH60" s="599">
        <f t="shared" si="196"/>
        <v>0</v>
      </c>
      <c r="BI60" s="602">
        <f t="shared" si="197"/>
        <v>0</v>
      </c>
      <c r="BJ60" s="1220" t="s">
        <v>49</v>
      </c>
      <c r="BK60" s="1221"/>
      <c r="BL60" s="1221"/>
      <c r="BM60" s="1222"/>
      <c r="BN60" s="1223">
        <f>COUNTIFS(BM7:BM51,"C1",BL7:BL51,"&gt;=33",BJ7:BJ51,"&gt;=25",BK7:BK51,"&gt;=8")</f>
        <v>0</v>
      </c>
      <c r="BO60" s="1224"/>
      <c r="BP60" s="1225"/>
      <c r="BQ60" s="603" t="s">
        <v>188</v>
      </c>
      <c r="BR60" s="598">
        <f>COUNTIFS($I$7:$I$51,"BOY",$J$7:$J$51,"GEN",CF7:CF51,"A2")</f>
        <v>0</v>
      </c>
      <c r="BS60" s="598">
        <f>COUNTIFS($I$7:$I$51,"BOY",$J$7:$J$51,"OBC",CF7:CF51,"A2")</f>
        <v>0</v>
      </c>
      <c r="BT60" s="598">
        <f>COUNTIFS($I$7:$I$51,"BOY",$J$7:$J$51,"SC",CF7:CF51,"A2")</f>
        <v>0</v>
      </c>
      <c r="BU60" s="598">
        <f>COUNTIFS($I$7:$I$51,"BOY",$J$7:$J$51,"ST",CF7:CF51,"A2")</f>
        <v>0</v>
      </c>
      <c r="BV60" s="599">
        <f t="shared" si="199"/>
        <v>0</v>
      </c>
      <c r="BW60" s="598">
        <f>COUNTIFS($I$7:$I$51,"GIRL",$J$7:$J$51,"GEN",CF7:CF51,"A2")</f>
        <v>0</v>
      </c>
      <c r="BX60" s="598">
        <f>COUNTIFS($I$7:$I$51,"GIRL",$J$7:$J$51,"OBC",CF7:CF51,"A2")</f>
        <v>0</v>
      </c>
      <c r="BY60" s="598">
        <f>COUNTIFS($I$7:$I$51,"GIRL",$J$7:$J$51,"SC",CF7:CF51,"A2")</f>
        <v>0</v>
      </c>
      <c r="BZ60" s="598">
        <f>COUNTIFS($I$7:$I$51,"GIRL",$J$7:$J$51,"ST",CF7:CF51,"A2")</f>
        <v>0</v>
      </c>
      <c r="CA60" s="599">
        <f t="shared" si="200"/>
        <v>0</v>
      </c>
      <c r="CB60" s="602">
        <f t="shared" si="201"/>
        <v>0</v>
      </c>
      <c r="CC60" s="1220" t="s">
        <v>49</v>
      </c>
      <c r="CD60" s="1221"/>
      <c r="CE60" s="1221"/>
      <c r="CF60" s="1222"/>
      <c r="CG60" s="1223">
        <f>COUNTIFS(CF7:CF51,"C1",CE7:CE51,"&gt;=33",CC7:CC51,"&gt;=25",CD7:CD51,"&gt;=8")</f>
        <v>0</v>
      </c>
      <c r="CH60" s="1224"/>
      <c r="CI60" s="1225"/>
      <c r="CJ60" s="603" t="s">
        <v>188</v>
      </c>
      <c r="CK60" s="598">
        <f>COUNTIFS($I$7:$I$51,"BOY",$J$7:$J$51,"GEN",CY7:CY51,"A2")</f>
        <v>0</v>
      </c>
      <c r="CL60" s="598">
        <f>COUNTIFS($I$7:$I$51,"BOY",$J$7:$J$51,"OBC",CY7:CY51,"A2")</f>
        <v>0</v>
      </c>
      <c r="CM60" s="598">
        <f>COUNTIFS($I$7:$I$51,"BOY",$J$7:$J$51,"SC",CY7:CY51,"A2")</f>
        <v>0</v>
      </c>
      <c r="CN60" s="598">
        <f>COUNTIFS($I$7:$I$51,"BOY",$J$7:$J$51,"ST",CY7:CY51,"A2")</f>
        <v>0</v>
      </c>
      <c r="CO60" s="599">
        <f t="shared" si="203"/>
        <v>0</v>
      </c>
      <c r="CP60" s="598">
        <f>COUNTIFS($I$7:$I$51,"GIRL",$J$7:$J$51,"GEN",CY7:CY51,"A2")</f>
        <v>0</v>
      </c>
      <c r="CQ60" s="598">
        <f>COUNTIFS($I$7:$I$51,"GIRL",$J$7:$J$51,"OBC",CY7:CY51,"A2")</f>
        <v>0</v>
      </c>
      <c r="CR60" s="598">
        <f>COUNTIFS($I$7:$I$51,"GIRL",$J$7:$J$51,"SC",CY7:CY51,"A2")</f>
        <v>0</v>
      </c>
      <c r="CS60" s="598">
        <f>COUNTIFS($I$7:$I$51,"GIRL",$J$7:$J$51,"ST",CY7:CY51,"A2")</f>
        <v>0</v>
      </c>
      <c r="CT60" s="599">
        <f t="shared" si="204"/>
        <v>0</v>
      </c>
      <c r="CU60" s="602">
        <f t="shared" si="205"/>
        <v>0</v>
      </c>
      <c r="CV60" s="1220" t="s">
        <v>49</v>
      </c>
      <c r="CW60" s="1221"/>
      <c r="CX60" s="1221"/>
      <c r="CY60" s="1222"/>
      <c r="CZ60" s="1223">
        <f>COUNTIFS(CY7:CY51,"C1",CX7:CX51,"&gt;=33",CV7:CV51,"&gt;=25",CW7:CW51,"&gt;=8")</f>
        <v>0</v>
      </c>
      <c r="DA60" s="1224"/>
      <c r="DB60" s="1225"/>
      <c r="DC60" s="603" t="s">
        <v>188</v>
      </c>
      <c r="DD60" s="598">
        <f>COUNTIFS($I$7:$I$51,"BOY",$J$7:$J$51,"GEN",DR7:DR51,"A2")</f>
        <v>1</v>
      </c>
      <c r="DE60" s="598">
        <f>COUNTIFS($I$7:$I$51,"BOY",$J$7:$J$51,"OBC",DR7:DR51,"A2")</f>
        <v>0</v>
      </c>
      <c r="DF60" s="598">
        <f>COUNTIFS($I$7:$I$51,"BOY",$J$7:$J$51,"SC",DR7:DR51,"A2")</f>
        <v>0</v>
      </c>
      <c r="DG60" s="598">
        <f>COUNTIFS($I$7:$I$51,"BOY",$J$7:$J$51,"ST",DR7:DR51,"A2")</f>
        <v>0</v>
      </c>
      <c r="DH60" s="599">
        <f t="shared" si="207"/>
        <v>1</v>
      </c>
      <c r="DI60" s="598">
        <f>COUNTIFS($I$7:$I$51,"GIRL",$J$7:$J$51,"GEN",DR7:DR51,"A2")</f>
        <v>0</v>
      </c>
      <c r="DJ60" s="598">
        <f>COUNTIFS($I$7:$I$51,"GIRL",$J$7:$J$51,"OBC",DR7:DR51,"A2")</f>
        <v>0</v>
      </c>
      <c r="DK60" s="598">
        <f>COUNTIFS($I$7:$I$51,"GIRL",$J$7:$J$51,"SC",DR7:DR51,"A2")</f>
        <v>0</v>
      </c>
      <c r="DL60" s="598">
        <f>COUNTIFS($I$7:$I$51,"GIRL",$J$7:$J$51,"ST",DR7:DR51,"A2")</f>
        <v>0</v>
      </c>
      <c r="DM60" s="599">
        <f t="shared" si="208"/>
        <v>0</v>
      </c>
      <c r="DN60" s="602">
        <f t="shared" si="209"/>
        <v>1</v>
      </c>
      <c r="DO60" s="1220" t="s">
        <v>49</v>
      </c>
      <c r="DP60" s="1221"/>
      <c r="DQ60" s="1221"/>
      <c r="DR60" s="1222"/>
      <c r="DS60" s="1223">
        <f>COUNTIFS(DR7:DR51,"C1",DQ7:DQ51,"&gt;=33",DO7:DO51,"&gt;=25",DP7:DP51,"&gt;=8")</f>
        <v>1</v>
      </c>
      <c r="DT60" s="1224"/>
      <c r="DU60" s="1225"/>
      <c r="DV60" s="130" t="str">
        <f t="shared" si="175"/>
        <v/>
      </c>
      <c r="DW60" s="72" t="str">
        <f t="shared" si="176"/>
        <v/>
      </c>
      <c r="DX60" s="72" t="str">
        <f t="shared" si="177"/>
        <v/>
      </c>
      <c r="DY60" s="72" t="str">
        <f t="shared" si="178"/>
        <v/>
      </c>
      <c r="DZ60" s="72" t="str">
        <f t="shared" si="179"/>
        <v/>
      </c>
      <c r="EA60" s="72" t="str">
        <f t="shared" si="180"/>
        <v/>
      </c>
      <c r="EB60" s="76" t="str">
        <f t="shared" si="181"/>
        <v/>
      </c>
      <c r="EC60" s="76" t="str">
        <f t="shared" si="182"/>
        <v/>
      </c>
      <c r="ED60" s="76" t="str">
        <f t="shared" si="183"/>
        <v/>
      </c>
      <c r="EE60" s="76" t="str">
        <f t="shared" si="184"/>
        <v/>
      </c>
      <c r="EF60" s="76" t="str">
        <f t="shared" si="185"/>
        <v/>
      </c>
      <c r="EG60" s="76" t="str">
        <f t="shared" si="186"/>
        <v/>
      </c>
      <c r="EH60" s="1252" t="str">
        <f>IF(FJ52="0","","RESULT")</f>
        <v>RESULT</v>
      </c>
      <c r="EI60" s="1253"/>
      <c r="EJ60" s="1253"/>
      <c r="EK60" s="1253"/>
      <c r="EL60" s="1253"/>
      <c r="EM60" s="1253"/>
      <c r="EN60" s="1253"/>
      <c r="EO60" s="1250"/>
      <c r="EP60" s="494"/>
      <c r="EQ60" s="494"/>
      <c r="ER60" s="494"/>
      <c r="ES60" s="494"/>
      <c r="ET60" s="494"/>
      <c r="EU60" s="494"/>
      <c r="EV60" s="1174"/>
      <c r="EW60" s="1174"/>
      <c r="EX60" s="1174"/>
      <c r="EY60" s="1174"/>
      <c r="EZ60" s="1174"/>
      <c r="FA60" s="1174"/>
      <c r="FB60" s="1174"/>
      <c r="FC60" s="1174"/>
      <c r="FD60" s="1174"/>
      <c r="FE60" s="1174"/>
      <c r="FF60" s="1174"/>
      <c r="FG60" s="1175"/>
      <c r="FH60" s="1270" t="str">
        <f>IF(DASHBOARD!E13="","",DASHBOARD!E13&amp;" -"&amp;DASHBOARD!D13)</f>
        <v>KAMLESH KUMAR -CHEMISTRY</v>
      </c>
      <c r="FI60" s="1270"/>
      <c r="FJ60" s="1270" t="str">
        <f>'RESULT TEACHER WISE'!F11</f>
        <v>100 %</v>
      </c>
      <c r="FK60" s="1270"/>
      <c r="FL60" s="1270"/>
      <c r="FM60" s="1274"/>
      <c r="FN60" s="363"/>
    </row>
    <row r="61" spans="1:170" s="362" customFormat="1" ht="15" customHeight="1" x14ac:dyDescent="0.3">
      <c r="A61" s="6"/>
      <c r="B61" s="512"/>
      <c r="C61" s="25"/>
      <c r="D61" s="25"/>
      <c r="E61" s="45"/>
      <c r="F61" s="123"/>
      <c r="G61" s="126" t="s">
        <v>193</v>
      </c>
      <c r="H61" s="126">
        <f>H58-SUM(H59:H60)</f>
        <v>1</v>
      </c>
      <c r="I61" s="126">
        <f>I58-SUM(I59:I60)</f>
        <v>2</v>
      </c>
      <c r="J61" s="126">
        <f>J58-SUM(J59:J60)</f>
        <v>3</v>
      </c>
      <c r="K61" s="123"/>
      <c r="L61" s="1178" t="s">
        <v>38</v>
      </c>
      <c r="M61" s="1179"/>
      <c r="N61" s="1184">
        <f>COUNTIFS($I$7:$I$51,"BOY",$J$7:$J$51,"GEN",Z7:Z51,"A1")</f>
        <v>0</v>
      </c>
      <c r="O61" s="1185"/>
      <c r="P61" s="1184">
        <f>COUNTIFS($I$7:$I$51,"BOY",$J$7:$J$51,"OBC",Z7:Z51,"A1")</f>
        <v>0</v>
      </c>
      <c r="Q61" s="1185"/>
      <c r="R61" s="598">
        <f>COUNTIFS($I$7:$I$51,"BOY",$J$7:$J$51,"SC",Z7:Z51,"A1")</f>
        <v>0</v>
      </c>
      <c r="S61" s="598">
        <f>COUNTIFS($I$7:$I$51,"BOY",$J$7:$J$51,"ST",Z7:Z51,"A1")</f>
        <v>0</v>
      </c>
      <c r="T61" s="599">
        <f t="shared" si="189"/>
        <v>0</v>
      </c>
      <c r="U61" s="598">
        <f>COUNTIFS($I$7:$I$51,"GIRL",$J$7:$J$51,"GEN",Z7:Z51,"A1")</f>
        <v>0</v>
      </c>
      <c r="V61" s="598">
        <f>COUNTIFS($I$7:$I$51,"GIRL",$J$7:$J$51,"OBC",Z7:Z51,"A1")</f>
        <v>0</v>
      </c>
      <c r="W61" s="1184">
        <f>COUNTIFS($I$7:$I$51,"GIRL",$J$7:$J$51,"SC",Z7:Z51,"A1")</f>
        <v>0</v>
      </c>
      <c r="X61" s="1185"/>
      <c r="Y61" s="598">
        <f>COUNTIFS($I$7:$I$51,"GIRL",$J$7:$J$51,"ST",Z7:Z51,"A1")</f>
        <v>0</v>
      </c>
      <c r="Z61" s="599">
        <f t="shared" si="190"/>
        <v>0</v>
      </c>
      <c r="AA61" s="602">
        <f t="shared" si="188"/>
        <v>0</v>
      </c>
      <c r="AB61" s="604" t="s">
        <v>50</v>
      </c>
      <c r="AC61" s="129">
        <f>COUNTIFS(Z7:Z51,"B2")</f>
        <v>0</v>
      </c>
      <c r="AD61" s="603" t="s">
        <v>38</v>
      </c>
      <c r="AE61" s="598">
        <f>COUNTIFS($I$7:$I$51,"BOY",$J$7:$J$51,"GEN",AT7:AT51,"A1")</f>
        <v>0</v>
      </c>
      <c r="AF61" s="598">
        <f>COUNTIFS($I$7:$I$51,"BOY",$J$7:$J$51,"OBC",AT7:AT51,"A1")</f>
        <v>0</v>
      </c>
      <c r="AG61" s="598">
        <f>COUNTIFS($I$7:$I$51,"BOY",$J$7:$J$51,"SC",AT7:AT51,"A1")</f>
        <v>0</v>
      </c>
      <c r="AH61" s="598">
        <f>COUNTIFS($I$7:$I$51,"BOY",$J$7:$J$51,"ST",AT7:AT51,"A1")</f>
        <v>0</v>
      </c>
      <c r="AI61" s="599">
        <f t="shared" si="191"/>
        <v>0</v>
      </c>
      <c r="AJ61" s="598">
        <f>COUNTIFS($I$7:$I$51,"GIRL",$J$7:$J$51,"GEN",AT7:AT51,"A1")</f>
        <v>0</v>
      </c>
      <c r="AK61" s="598">
        <f>COUNTIFS($I$7:$I$51,"GIRL",$J$7:$J$51,"OBC",AT7:AT51,"A1")</f>
        <v>0</v>
      </c>
      <c r="AL61" s="598">
        <f>COUNTIFS($I$7:$I$51,"GIRL",$J$7:$J$51,"SC",AT7:AT51,"A1")</f>
        <v>0</v>
      </c>
      <c r="AM61" s="598">
        <f>COUNTIFS($I$7:$I$51,"GIRL",$J$7:$J$51,"ST",AT7:AT51,"A1")</f>
        <v>0</v>
      </c>
      <c r="AN61" s="599">
        <f t="shared" si="192"/>
        <v>0</v>
      </c>
      <c r="AO61" s="602">
        <f t="shared" si="193"/>
        <v>0</v>
      </c>
      <c r="AP61" s="1220" t="s">
        <v>50</v>
      </c>
      <c r="AQ61" s="1221"/>
      <c r="AR61" s="1221"/>
      <c r="AS61" s="1222"/>
      <c r="AT61" s="1223">
        <f>COUNTIFS($AT$7:$AT$51,"B2")</f>
        <v>0</v>
      </c>
      <c r="AU61" s="1224"/>
      <c r="AV61" s="1225"/>
      <c r="AW61" s="128"/>
      <c r="AX61" s="603" t="s">
        <v>38</v>
      </c>
      <c r="AY61" s="598">
        <f>COUNTIFS($I$7:$I$51,"BOY",$J$7:$J$51,"GEN",BM7:BM51,"A1")</f>
        <v>0</v>
      </c>
      <c r="AZ61" s="598">
        <f>COUNTIFS($I$7:$I$51,"BOY",$J$7:$J$51,"OBC",BM7:BM51,"A1")</f>
        <v>0</v>
      </c>
      <c r="BA61" s="598">
        <f>COUNTIFS($I$7:$I$51,"BOY",$J$7:$J$51,"SC",BM7:BM51,"A1")</f>
        <v>0</v>
      </c>
      <c r="BB61" s="598">
        <f>COUNTIFS($I$7:$I$51,"BOY",$J$7:$J$51,"ST",BM7:BM51,"A1")</f>
        <v>0</v>
      </c>
      <c r="BC61" s="599">
        <f t="shared" si="195"/>
        <v>0</v>
      </c>
      <c r="BD61" s="598">
        <f>COUNTIFS($I$7:$I$51,"GIRL",$J$7:$J$51,"GEN",BM7:BM51,"A1")</f>
        <v>0</v>
      </c>
      <c r="BE61" s="598">
        <f>COUNTIFS($I$7:$I$51,"GIRL",$J$7:$J$51,"OBC",BM7:BM51,"A1")</f>
        <v>0</v>
      </c>
      <c r="BF61" s="598">
        <f>COUNTIFS($I$7:$I$51,"GIRL",$J$7:$J$51,"SC",BM7:BM51,"A1")</f>
        <v>0</v>
      </c>
      <c r="BG61" s="598">
        <f>COUNTIFS($I$7:$I$51,"GIRL",$J$7:$J$51,"ST",BM7:BM51,"A1")</f>
        <v>0</v>
      </c>
      <c r="BH61" s="599">
        <f t="shared" si="196"/>
        <v>0</v>
      </c>
      <c r="BI61" s="602">
        <f t="shared" si="197"/>
        <v>0</v>
      </c>
      <c r="BJ61" s="1220" t="s">
        <v>50</v>
      </c>
      <c r="BK61" s="1221"/>
      <c r="BL61" s="1221"/>
      <c r="BM61" s="1222"/>
      <c r="BN61" s="1223">
        <f>COUNTIFS(BM7:BM51,"B2",BL7:BL51,"&gt;=33",BJ7:BJ51,"&gt;=25",BK7:BK51,"&gt;=8")</f>
        <v>0</v>
      </c>
      <c r="BO61" s="1224"/>
      <c r="BP61" s="1225"/>
      <c r="BQ61" s="603" t="s">
        <v>38</v>
      </c>
      <c r="BR61" s="598">
        <f>COUNTIFS($I$7:$I$51,"BOY",$J$7:$J$51,"GEN",CF7:CF51,"A1")</f>
        <v>0</v>
      </c>
      <c r="BS61" s="598">
        <f>COUNTIFS($I$7:$I$51,"BOY",$J$7:$J$51,"OBC",CF7:CF51,"A1")</f>
        <v>0</v>
      </c>
      <c r="BT61" s="598">
        <f>COUNTIFS($I$7:$I$51,"BOY",$J$7:$J$51,"SC",CF7:CF51,"A1")</f>
        <v>0</v>
      </c>
      <c r="BU61" s="598">
        <f>COUNTIFS($I$7:$I$51,"BOY",$J$7:$J$51,"ST",CF7:CF51,"A1")</f>
        <v>0</v>
      </c>
      <c r="BV61" s="599">
        <f t="shared" si="199"/>
        <v>0</v>
      </c>
      <c r="BW61" s="598">
        <f>COUNTIFS($I$7:$I$51,"GIRL",$J$7:$J$51,"GEN",CF7:CF51,"A1")</f>
        <v>0</v>
      </c>
      <c r="BX61" s="598">
        <f>COUNTIFS($I$7:$I$51,"GIRL",$J$7:$J$51,"OBC",CF7:CF51,"A1")</f>
        <v>0</v>
      </c>
      <c r="BY61" s="598">
        <f>COUNTIFS($I$7:$I$51,"GIRL",$J$7:$J$51,"SC",CF7:CF51,"A1")</f>
        <v>0</v>
      </c>
      <c r="BZ61" s="598">
        <f>COUNTIFS($I$7:$I$51,"GIRL",$J$7:$J$51,"ST",CF7:CF51,"A1")</f>
        <v>0</v>
      </c>
      <c r="CA61" s="599">
        <f t="shared" si="200"/>
        <v>0</v>
      </c>
      <c r="CB61" s="602">
        <f t="shared" si="201"/>
        <v>0</v>
      </c>
      <c r="CC61" s="1220" t="s">
        <v>50</v>
      </c>
      <c r="CD61" s="1221"/>
      <c r="CE61" s="1221"/>
      <c r="CF61" s="1222"/>
      <c r="CG61" s="1223">
        <f>COUNTIFS(CF7:CF51,"B2",CE7:CE51,"&gt;=33",CC7:CC51,"&gt;=25",CD7:CD51,"&gt;=8")</f>
        <v>1</v>
      </c>
      <c r="CH61" s="1224"/>
      <c r="CI61" s="1225"/>
      <c r="CJ61" s="603" t="s">
        <v>38</v>
      </c>
      <c r="CK61" s="598">
        <f>COUNTIFS($I$7:$I$51,"BOY",$J$7:$J$51,"GEN",CY7:CY51,"A1")</f>
        <v>0</v>
      </c>
      <c r="CL61" s="598">
        <f>COUNTIFS($I$7:$I$51,"BOY",$J$7:$J$51,"OBC",CY7:CY51,"A1")</f>
        <v>0</v>
      </c>
      <c r="CM61" s="598">
        <f>COUNTIFS($I$7:$I$51,"BOY",$J$7:$J$51,"SC",CY7:CY51,"A1")</f>
        <v>0</v>
      </c>
      <c r="CN61" s="598">
        <f>COUNTIFS($I$7:$I$51,"BOY",$J$7:$J$51,"ST",CY7:CY51,"A1")</f>
        <v>0</v>
      </c>
      <c r="CO61" s="599">
        <f t="shared" si="203"/>
        <v>0</v>
      </c>
      <c r="CP61" s="598">
        <f>COUNTIFS($I$7:$I$51,"GIRL",$J$7:$J$51,"GEN",CY7:CY51,"A1")</f>
        <v>0</v>
      </c>
      <c r="CQ61" s="598">
        <f>COUNTIFS($I$7:$I$51,"GIRL",$J$7:$J$51,"OBC",CY7:CY51,"A1")</f>
        <v>0</v>
      </c>
      <c r="CR61" s="598">
        <f>COUNTIFS($I$7:$I$51,"GIRL",$J$7:$J$51,"SC",CY7:CY51,"A1")</f>
        <v>0</v>
      </c>
      <c r="CS61" s="598">
        <f>COUNTIFS($I$7:$I$51,"GIRL",$J$7:$J$51,"ST",CY7:CY51,"A1")</f>
        <v>0</v>
      </c>
      <c r="CT61" s="599">
        <f t="shared" si="204"/>
        <v>0</v>
      </c>
      <c r="CU61" s="602">
        <f t="shared" si="205"/>
        <v>0</v>
      </c>
      <c r="CV61" s="1220" t="s">
        <v>50</v>
      </c>
      <c r="CW61" s="1221"/>
      <c r="CX61" s="1221"/>
      <c r="CY61" s="1222"/>
      <c r="CZ61" s="1223">
        <f>COUNTIFS(CY7:CY51,"B2",CX7:CX51,"&gt;=33",CV7:CV51,"&gt;=25",CW7:CW51,"&gt;=8")</f>
        <v>0</v>
      </c>
      <c r="DA61" s="1224"/>
      <c r="DB61" s="1225"/>
      <c r="DC61" s="603" t="s">
        <v>38</v>
      </c>
      <c r="DD61" s="598">
        <f>COUNTIFS($I$7:$I$51,"BOY",$J$7:$J$51,"GEN",DR7:DR51,"A1")</f>
        <v>0</v>
      </c>
      <c r="DE61" s="598">
        <f>COUNTIFS($I$7:$I$51,"BOY",$J$7:$J$51,"OBC",DR7:DR51,"A1")</f>
        <v>0</v>
      </c>
      <c r="DF61" s="598">
        <f>COUNTIFS($I$7:$I$51,"BOY",$J$7:$J$51,"SC",DR7:DR51,"A1")</f>
        <v>0</v>
      </c>
      <c r="DG61" s="598">
        <f>COUNTIFS($I$7:$I$51,"BOY",$J$7:$J$51,"ST",DR7:DR51,"A1")</f>
        <v>0</v>
      </c>
      <c r="DH61" s="599">
        <f t="shared" si="207"/>
        <v>0</v>
      </c>
      <c r="DI61" s="598">
        <f>COUNTIFS($I$7:$I$51,"GIRL",$J$7:$J$51,"GEN",DR7:DR51,"A1")</f>
        <v>0</v>
      </c>
      <c r="DJ61" s="598">
        <f>COUNTIFS($I$7:$I$51,"GIRL",$J$7:$J$51,"OBC",DR7:DR51,"A1")</f>
        <v>1</v>
      </c>
      <c r="DK61" s="598">
        <f>COUNTIFS($I$7:$I$51,"GIRL",$J$7:$J$51,"SC",DR7:DR51,"A1")</f>
        <v>0</v>
      </c>
      <c r="DL61" s="598">
        <f>COUNTIFS($I$7:$I$51,"GIRL",$J$7:$J$51,"ST",DR7:DR51,"A1")</f>
        <v>0</v>
      </c>
      <c r="DM61" s="599">
        <f t="shared" si="208"/>
        <v>1</v>
      </c>
      <c r="DN61" s="602">
        <f t="shared" si="209"/>
        <v>1</v>
      </c>
      <c r="DO61" s="1220" t="s">
        <v>50</v>
      </c>
      <c r="DP61" s="1221"/>
      <c r="DQ61" s="1221"/>
      <c r="DR61" s="1222"/>
      <c r="DS61" s="1223">
        <f>COUNTIFS(DR7:DR51,"B2",DQ7:DQ51,"&gt;=33",DO7:DO51,"&gt;=25",DP7:DP51,"&gt;=8")</f>
        <v>0</v>
      </c>
      <c r="DT61" s="1224"/>
      <c r="DU61" s="1225"/>
      <c r="DV61" s="130" t="str">
        <f t="shared" si="175"/>
        <v/>
      </c>
      <c r="DW61" s="72" t="str">
        <f t="shared" si="176"/>
        <v/>
      </c>
      <c r="DX61" s="72" t="str">
        <f t="shared" si="177"/>
        <v/>
      </c>
      <c r="DY61" s="72" t="str">
        <f t="shared" si="178"/>
        <v/>
      </c>
      <c r="DZ61" s="72" t="str">
        <f t="shared" si="179"/>
        <v/>
      </c>
      <c r="EA61" s="72" t="str">
        <f t="shared" si="180"/>
        <v/>
      </c>
      <c r="EB61" s="76" t="str">
        <f t="shared" si="181"/>
        <v/>
      </c>
      <c r="EC61" s="76" t="str">
        <f t="shared" si="182"/>
        <v/>
      </c>
      <c r="ED61" s="76" t="str">
        <f t="shared" si="183"/>
        <v/>
      </c>
      <c r="EE61" s="76" t="str">
        <f t="shared" si="184"/>
        <v/>
      </c>
      <c r="EF61" s="76" t="str">
        <f t="shared" si="185"/>
        <v/>
      </c>
      <c r="EG61" s="76" t="str">
        <f t="shared" si="186"/>
        <v/>
      </c>
      <c r="EH61" s="1252"/>
      <c r="EI61" s="1253"/>
      <c r="EJ61" s="1253"/>
      <c r="EK61" s="1253"/>
      <c r="EL61" s="1253"/>
      <c r="EM61" s="1253"/>
      <c r="EN61" s="1253"/>
      <c r="EO61" s="1250"/>
      <c r="EP61" s="494"/>
      <c r="EQ61" s="494"/>
      <c r="ER61" s="494"/>
      <c r="ES61" s="494"/>
      <c r="ET61" s="494"/>
      <c r="EU61" s="494"/>
      <c r="EV61" s="1174"/>
      <c r="EW61" s="1174"/>
      <c r="EX61" s="1174"/>
      <c r="EY61" s="1174"/>
      <c r="EZ61" s="1174"/>
      <c r="FA61" s="1174"/>
      <c r="FB61" s="1174"/>
      <c r="FC61" s="1174"/>
      <c r="FD61" s="1174"/>
      <c r="FE61" s="1174"/>
      <c r="FF61" s="1174"/>
      <c r="FG61" s="1175"/>
      <c r="FH61" s="1270"/>
      <c r="FI61" s="1270"/>
      <c r="FJ61" s="1270"/>
      <c r="FK61" s="1270"/>
      <c r="FL61" s="1270"/>
      <c r="FM61" s="1274"/>
      <c r="FN61" s="363"/>
    </row>
    <row r="62" spans="1:170" s="362" customFormat="1" ht="15" customHeight="1" x14ac:dyDescent="0.3">
      <c r="A62" s="6"/>
      <c r="B62" s="512"/>
      <c r="C62" s="25"/>
      <c r="D62" s="25"/>
      <c r="E62" s="45"/>
      <c r="F62" s="123"/>
      <c r="G62" s="123"/>
      <c r="H62" s="123"/>
      <c r="I62" s="123"/>
      <c r="J62" s="123"/>
      <c r="K62" s="123"/>
      <c r="L62" s="1178" t="s">
        <v>41</v>
      </c>
      <c r="M62" s="1179"/>
      <c r="N62" s="1184">
        <f>SUM(N54:N61)</f>
        <v>0</v>
      </c>
      <c r="O62" s="1185"/>
      <c r="P62" s="1184">
        <f t="shared" ref="P62:Y62" si="211">SUM(P54:P61)</f>
        <v>0</v>
      </c>
      <c r="Q62" s="1185"/>
      <c r="R62" s="598">
        <f t="shared" si="211"/>
        <v>0</v>
      </c>
      <c r="S62" s="598">
        <f t="shared" si="211"/>
        <v>0</v>
      </c>
      <c r="T62" s="599">
        <f t="shared" si="189"/>
        <v>0</v>
      </c>
      <c r="U62" s="598">
        <f t="shared" si="211"/>
        <v>0</v>
      </c>
      <c r="V62" s="598">
        <f t="shared" si="211"/>
        <v>1</v>
      </c>
      <c r="W62" s="1184">
        <f t="shared" si="211"/>
        <v>1</v>
      </c>
      <c r="X62" s="1185"/>
      <c r="Y62" s="598">
        <f t="shared" si="211"/>
        <v>0</v>
      </c>
      <c r="Z62" s="599">
        <f t="shared" si="190"/>
        <v>2</v>
      </c>
      <c r="AA62" s="602">
        <f t="shared" si="188"/>
        <v>2</v>
      </c>
      <c r="AB62" s="604" t="s">
        <v>51</v>
      </c>
      <c r="AC62" s="129">
        <f>COUNTIFS(Z7:Z51,"B1")</f>
        <v>0</v>
      </c>
      <c r="AD62" s="603" t="s">
        <v>41</v>
      </c>
      <c r="AE62" s="598">
        <f>SUM(AE54:AE61)</f>
        <v>0</v>
      </c>
      <c r="AF62" s="598">
        <f>SUM(AF54:AF61)</f>
        <v>0</v>
      </c>
      <c r="AG62" s="598">
        <f>SUM(AG54:AG61)</f>
        <v>0</v>
      </c>
      <c r="AH62" s="598">
        <f>SUM(AH54:AH61)</f>
        <v>0</v>
      </c>
      <c r="AI62" s="599">
        <f t="shared" si="191"/>
        <v>0</v>
      </c>
      <c r="AJ62" s="598">
        <f>SUM(AJ54:AJ61)</f>
        <v>0</v>
      </c>
      <c r="AK62" s="598">
        <f>SUM(AK54:AK61)</f>
        <v>0</v>
      </c>
      <c r="AL62" s="598">
        <f>SUM(AL54:AL61)</f>
        <v>0</v>
      </c>
      <c r="AM62" s="598">
        <f>SUM(AM54:AM61)</f>
        <v>0</v>
      </c>
      <c r="AN62" s="599">
        <f t="shared" si="192"/>
        <v>0</v>
      </c>
      <c r="AO62" s="602">
        <f t="shared" si="193"/>
        <v>0</v>
      </c>
      <c r="AP62" s="1220" t="s">
        <v>51</v>
      </c>
      <c r="AQ62" s="1221"/>
      <c r="AR62" s="1221"/>
      <c r="AS62" s="1222"/>
      <c r="AT62" s="1223">
        <f>COUNTIFS($AT$7:$AT$51,"B1")</f>
        <v>0</v>
      </c>
      <c r="AU62" s="1224"/>
      <c r="AV62" s="1225"/>
      <c r="AW62" s="128"/>
      <c r="AX62" s="603" t="s">
        <v>41</v>
      </c>
      <c r="AY62" s="598">
        <f>SUM(AY54:AY61)</f>
        <v>1</v>
      </c>
      <c r="AZ62" s="598">
        <f>SUM(AZ54:AZ61)</f>
        <v>0</v>
      </c>
      <c r="BA62" s="598">
        <f>SUM(BA54:BA61)</f>
        <v>0</v>
      </c>
      <c r="BB62" s="598">
        <f>SUM(BB54:BB61)</f>
        <v>0</v>
      </c>
      <c r="BC62" s="599">
        <f t="shared" si="195"/>
        <v>1</v>
      </c>
      <c r="BD62" s="598">
        <f>SUM(BD54:BD61)</f>
        <v>0</v>
      </c>
      <c r="BE62" s="598">
        <f>SUM(BE54:BE61)</f>
        <v>1</v>
      </c>
      <c r="BF62" s="598">
        <f>SUM(BF54:BF61)</f>
        <v>1</v>
      </c>
      <c r="BG62" s="598">
        <f>SUM(BG54:BG61)</f>
        <v>0</v>
      </c>
      <c r="BH62" s="599">
        <f t="shared" si="196"/>
        <v>2</v>
      </c>
      <c r="BI62" s="602">
        <f t="shared" si="197"/>
        <v>3</v>
      </c>
      <c r="BJ62" s="1220" t="s">
        <v>51</v>
      </c>
      <c r="BK62" s="1221"/>
      <c r="BL62" s="1221"/>
      <c r="BM62" s="1222"/>
      <c r="BN62" s="1223">
        <f>COUNTIFS(BM7:BM51,"B1",BL7:BL51,"&gt;=33",BJ7:BJ51,"&gt;=25",BK7:BK51,"&gt;=8")</f>
        <v>3</v>
      </c>
      <c r="BO62" s="1224"/>
      <c r="BP62" s="1225"/>
      <c r="BQ62" s="603" t="s">
        <v>41</v>
      </c>
      <c r="BR62" s="598">
        <f>SUM(BR54:BR61)</f>
        <v>1</v>
      </c>
      <c r="BS62" s="598">
        <f>SUM(BS54:BS61)</f>
        <v>0</v>
      </c>
      <c r="BT62" s="598">
        <f>SUM(BT54:BT61)</f>
        <v>0</v>
      </c>
      <c r="BU62" s="598">
        <f>SUM(BU54:BU61)</f>
        <v>0</v>
      </c>
      <c r="BV62" s="599">
        <f t="shared" si="199"/>
        <v>1</v>
      </c>
      <c r="BW62" s="598">
        <f>SUM(BW54:BW61)</f>
        <v>0</v>
      </c>
      <c r="BX62" s="598">
        <f>SUM(BX54:BX61)</f>
        <v>1</v>
      </c>
      <c r="BY62" s="598">
        <f>SUM(BY54:BY61)</f>
        <v>1</v>
      </c>
      <c r="BZ62" s="598">
        <f>SUM(BZ54:BZ61)</f>
        <v>0</v>
      </c>
      <c r="CA62" s="599">
        <f t="shared" si="200"/>
        <v>2</v>
      </c>
      <c r="CB62" s="602">
        <f t="shared" si="201"/>
        <v>3</v>
      </c>
      <c r="CC62" s="1220" t="s">
        <v>51</v>
      </c>
      <c r="CD62" s="1221"/>
      <c r="CE62" s="1221"/>
      <c r="CF62" s="1222"/>
      <c r="CG62" s="1223">
        <f>COUNTIFS(CF7:CF51,"B1",CE7:CE51,"&gt;=33",CC7:CC51,"&gt;=25",CD7:CD51,"&gt;=8")</f>
        <v>2</v>
      </c>
      <c r="CH62" s="1224"/>
      <c r="CI62" s="1225"/>
      <c r="CJ62" s="603" t="s">
        <v>41</v>
      </c>
      <c r="CK62" s="598">
        <f>SUM(CK54:CK61)</f>
        <v>0</v>
      </c>
      <c r="CL62" s="598">
        <f>SUM(CL54:CL61)</f>
        <v>0</v>
      </c>
      <c r="CM62" s="598">
        <f>SUM(CM54:CM61)</f>
        <v>0</v>
      </c>
      <c r="CN62" s="598">
        <f>SUM(CN54:CN61)</f>
        <v>0</v>
      </c>
      <c r="CO62" s="599">
        <f t="shared" si="203"/>
        <v>0</v>
      </c>
      <c r="CP62" s="598">
        <f>SUM(CP54:CP61)</f>
        <v>0</v>
      </c>
      <c r="CQ62" s="598">
        <f>SUM(CQ54:CQ61)</f>
        <v>0</v>
      </c>
      <c r="CR62" s="598">
        <f>SUM(CR54:CR61)</f>
        <v>0</v>
      </c>
      <c r="CS62" s="598">
        <f>SUM(CS54:CS61)</f>
        <v>0</v>
      </c>
      <c r="CT62" s="599">
        <f t="shared" si="204"/>
        <v>0</v>
      </c>
      <c r="CU62" s="602">
        <f t="shared" si="205"/>
        <v>0</v>
      </c>
      <c r="CV62" s="1220" t="s">
        <v>51</v>
      </c>
      <c r="CW62" s="1221"/>
      <c r="CX62" s="1221"/>
      <c r="CY62" s="1222"/>
      <c r="CZ62" s="1223">
        <f>COUNTIFS(CY7:CY51,"B1",CX7:CX51,"&gt;=33",CV7:CV51,"&gt;=25",CW7:CW51,"&gt;=8")</f>
        <v>0</v>
      </c>
      <c r="DA62" s="1224"/>
      <c r="DB62" s="1225"/>
      <c r="DC62" s="603" t="s">
        <v>41</v>
      </c>
      <c r="DD62" s="598">
        <f>SUM(DD54:DD61)</f>
        <v>1</v>
      </c>
      <c r="DE62" s="598">
        <f>SUM(DE54:DE61)</f>
        <v>0</v>
      </c>
      <c r="DF62" s="598">
        <f>SUM(DF54:DF61)</f>
        <v>0</v>
      </c>
      <c r="DG62" s="598">
        <f>SUM(DG54:DG61)</f>
        <v>0</v>
      </c>
      <c r="DH62" s="599">
        <f t="shared" si="207"/>
        <v>1</v>
      </c>
      <c r="DI62" s="598">
        <f>SUM(DI54:DI61)</f>
        <v>0</v>
      </c>
      <c r="DJ62" s="598">
        <f>SUM(DJ54:DJ61)</f>
        <v>1</v>
      </c>
      <c r="DK62" s="598">
        <f>SUM(DK54:DK61)</f>
        <v>1</v>
      </c>
      <c r="DL62" s="598">
        <f>SUM(DL54:DL61)</f>
        <v>0</v>
      </c>
      <c r="DM62" s="599">
        <f t="shared" si="208"/>
        <v>2</v>
      </c>
      <c r="DN62" s="602">
        <f t="shared" si="209"/>
        <v>3</v>
      </c>
      <c r="DO62" s="1220" t="s">
        <v>51</v>
      </c>
      <c r="DP62" s="1221"/>
      <c r="DQ62" s="1221"/>
      <c r="DR62" s="1222"/>
      <c r="DS62" s="1223">
        <f>COUNTIFS(DR7:DR51,"B1",DQ7:DQ51,"&gt;=33",DO7:DO51,"&gt;=25",DP7:DP51,"&gt;=8")</f>
        <v>0</v>
      </c>
      <c r="DT62" s="1224"/>
      <c r="DU62" s="1225"/>
      <c r="DV62" s="130" t="str">
        <f t="shared" si="175"/>
        <v/>
      </c>
      <c r="DW62" s="72" t="str">
        <f t="shared" si="176"/>
        <v/>
      </c>
      <c r="DX62" s="72" t="str">
        <f t="shared" si="177"/>
        <v/>
      </c>
      <c r="DY62" s="72" t="str">
        <f t="shared" si="178"/>
        <v/>
      </c>
      <c r="DZ62" s="72" t="str">
        <f t="shared" si="179"/>
        <v/>
      </c>
      <c r="EA62" s="72" t="str">
        <f t="shared" si="180"/>
        <v/>
      </c>
      <c r="EB62" s="76" t="str">
        <f t="shared" si="181"/>
        <v/>
      </c>
      <c r="EC62" s="76" t="str">
        <f t="shared" si="182"/>
        <v/>
      </c>
      <c r="ED62" s="76" t="str">
        <f t="shared" si="183"/>
        <v/>
      </c>
      <c r="EE62" s="76" t="str">
        <f t="shared" si="184"/>
        <v/>
      </c>
      <c r="EF62" s="76" t="str">
        <f t="shared" si="185"/>
        <v/>
      </c>
      <c r="EG62" s="76" t="str">
        <f t="shared" si="186"/>
        <v/>
      </c>
      <c r="EH62" s="1252"/>
      <c r="EI62" s="1253"/>
      <c r="EJ62" s="1253"/>
      <c r="EK62" s="1253"/>
      <c r="EL62" s="1253"/>
      <c r="EM62" s="1253"/>
      <c r="EN62" s="1253"/>
      <c r="EO62" s="1250"/>
      <c r="EP62" s="494"/>
      <c r="EQ62" s="494"/>
      <c r="ER62" s="494"/>
      <c r="ES62" s="494"/>
      <c r="ET62" s="494"/>
      <c r="EU62" s="494"/>
      <c r="EV62" s="1174"/>
      <c r="EW62" s="1174"/>
      <c r="EX62" s="1174"/>
      <c r="EY62" s="1174"/>
      <c r="EZ62" s="1174"/>
      <c r="FA62" s="1174"/>
      <c r="FB62" s="1174"/>
      <c r="FC62" s="1174"/>
      <c r="FD62" s="1174"/>
      <c r="FE62" s="1174"/>
      <c r="FF62" s="1174"/>
      <c r="FG62" s="1175"/>
      <c r="FH62" s="1270" t="str">
        <f>IF(DASHBOARD!E14="","",DASHBOARD!E14&amp;" -"&amp;DASHBOARD!D14)</f>
        <v xml:space="preserve">BIOLOGY -BIOLOGY </v>
      </c>
      <c r="FI62" s="1270"/>
      <c r="FJ62" s="1270" t="str">
        <f>'RESULT TEACHER WISE'!G11</f>
        <v>100 %</v>
      </c>
      <c r="FK62" s="1270"/>
      <c r="FL62" s="1270"/>
      <c r="FM62" s="1274"/>
      <c r="FN62" s="363"/>
    </row>
    <row r="63" spans="1:170" s="362" customFormat="1" ht="15" customHeight="1" x14ac:dyDescent="0.3">
      <c r="A63" s="6"/>
      <c r="B63" s="512"/>
      <c r="C63" s="25"/>
      <c r="D63" s="25"/>
      <c r="E63" s="45"/>
      <c r="F63" s="45"/>
      <c r="G63" s="45"/>
      <c r="H63" s="45"/>
      <c r="I63" s="45"/>
      <c r="J63" s="45"/>
      <c r="K63" s="45"/>
      <c r="L63" s="1178"/>
      <c r="M63" s="1179"/>
      <c r="N63" s="1186"/>
      <c r="O63" s="1187"/>
      <c r="P63" s="1186"/>
      <c r="Q63" s="1187"/>
      <c r="R63" s="605"/>
      <c r="S63" s="605"/>
      <c r="T63" s="605"/>
      <c r="U63" s="605"/>
      <c r="V63" s="605"/>
      <c r="W63" s="1186"/>
      <c r="X63" s="1187"/>
      <c r="Y63" s="605"/>
      <c r="Z63" s="605"/>
      <c r="AA63" s="602"/>
      <c r="AB63" s="604" t="s">
        <v>188</v>
      </c>
      <c r="AC63" s="129">
        <f>COUNTIFS(Z7:Z51,"A2")</f>
        <v>1</v>
      </c>
      <c r="AD63" s="177"/>
      <c r="AE63" s="606"/>
      <c r="AF63" s="605"/>
      <c r="AG63" s="605"/>
      <c r="AH63" s="605"/>
      <c r="AI63" s="605"/>
      <c r="AJ63" s="605"/>
      <c r="AK63" s="605"/>
      <c r="AL63" s="605"/>
      <c r="AM63" s="605"/>
      <c r="AN63" s="605"/>
      <c r="AO63" s="602"/>
      <c r="AP63" s="1220" t="s">
        <v>188</v>
      </c>
      <c r="AQ63" s="1221"/>
      <c r="AR63" s="1221"/>
      <c r="AS63" s="1222"/>
      <c r="AT63" s="1223">
        <f>COUNTIFS($AT$7:$AT$51,"A1")</f>
        <v>0</v>
      </c>
      <c r="AU63" s="1224"/>
      <c r="AV63" s="1225"/>
      <c r="AW63" s="128"/>
      <c r="AX63" s="177"/>
      <c r="AY63" s="606"/>
      <c r="AZ63" s="605"/>
      <c r="BA63" s="605"/>
      <c r="BB63" s="605"/>
      <c r="BC63" s="605"/>
      <c r="BD63" s="605"/>
      <c r="BE63" s="605"/>
      <c r="BF63" s="605"/>
      <c r="BG63" s="605"/>
      <c r="BH63" s="605"/>
      <c r="BI63" s="602"/>
      <c r="BJ63" s="1220" t="s">
        <v>188</v>
      </c>
      <c r="BK63" s="1221"/>
      <c r="BL63" s="1221"/>
      <c r="BM63" s="1222"/>
      <c r="BN63" s="1223">
        <f>COUNTIFS(BM7:BM51,"A2",BL7:BL51,"&gt;=33",BJ7:BJ51,"&gt;=25",BK7:BK51,"&gt;=8")</f>
        <v>0</v>
      </c>
      <c r="BO63" s="1224"/>
      <c r="BP63" s="1225"/>
      <c r="BQ63" s="177"/>
      <c r="BR63" s="606"/>
      <c r="BS63" s="605"/>
      <c r="BT63" s="605"/>
      <c r="BU63" s="605"/>
      <c r="BV63" s="605"/>
      <c r="BW63" s="605"/>
      <c r="BX63" s="605"/>
      <c r="BY63" s="605"/>
      <c r="BZ63" s="605"/>
      <c r="CA63" s="605"/>
      <c r="CB63" s="602"/>
      <c r="CC63" s="1220" t="s">
        <v>188</v>
      </c>
      <c r="CD63" s="1221"/>
      <c r="CE63" s="1221"/>
      <c r="CF63" s="1222"/>
      <c r="CG63" s="1223">
        <f>COUNTIFS(CF7:CF51,"A2",CE7:CE51,"&gt;=33",CC7:CC51,"&gt;=25",CD7:CD51,"&gt;=8")</f>
        <v>0</v>
      </c>
      <c r="CH63" s="1224"/>
      <c r="CI63" s="1225"/>
      <c r="CJ63" s="177"/>
      <c r="CK63" s="606"/>
      <c r="CL63" s="605"/>
      <c r="CM63" s="605"/>
      <c r="CN63" s="605"/>
      <c r="CO63" s="605"/>
      <c r="CP63" s="605"/>
      <c r="CQ63" s="605"/>
      <c r="CR63" s="605"/>
      <c r="CS63" s="605"/>
      <c r="CT63" s="605"/>
      <c r="CU63" s="602"/>
      <c r="CV63" s="1220" t="s">
        <v>188</v>
      </c>
      <c r="CW63" s="1221"/>
      <c r="CX63" s="1221"/>
      <c r="CY63" s="1222"/>
      <c r="CZ63" s="1223">
        <f>COUNTIFS(CY7:CY51,"A2",CX7:CX51,"&gt;=33",CV7:CV51,"&gt;=25",CW7:CW51,"&gt;=8")</f>
        <v>0</v>
      </c>
      <c r="DA63" s="1224"/>
      <c r="DB63" s="1225"/>
      <c r="DC63" s="177"/>
      <c r="DD63" s="606"/>
      <c r="DE63" s="605"/>
      <c r="DF63" s="605"/>
      <c r="DG63" s="605"/>
      <c r="DH63" s="605"/>
      <c r="DI63" s="605"/>
      <c r="DJ63" s="605"/>
      <c r="DK63" s="605"/>
      <c r="DL63" s="605"/>
      <c r="DM63" s="605"/>
      <c r="DN63" s="602"/>
      <c r="DO63" s="1220" t="s">
        <v>188</v>
      </c>
      <c r="DP63" s="1221"/>
      <c r="DQ63" s="1221"/>
      <c r="DR63" s="1222"/>
      <c r="DS63" s="1223">
        <f>COUNTIFS(DR7:DR51,"A2",DQ7:DQ51,"&gt;=33",DO7:DO51,"&gt;=25",DP7:DP51,"&gt;=8")</f>
        <v>1</v>
      </c>
      <c r="DT63" s="1224"/>
      <c r="DU63" s="1225"/>
      <c r="DV63" s="130" t="str">
        <f t="shared" si="175"/>
        <v/>
      </c>
      <c r="DW63" s="72" t="str">
        <f t="shared" si="176"/>
        <v/>
      </c>
      <c r="DX63" s="72" t="str">
        <f t="shared" si="177"/>
        <v/>
      </c>
      <c r="DY63" s="72" t="str">
        <f t="shared" si="178"/>
        <v/>
      </c>
      <c r="DZ63" s="72" t="str">
        <f t="shared" si="179"/>
        <v/>
      </c>
      <c r="EA63" s="72" t="str">
        <f t="shared" si="180"/>
        <v/>
      </c>
      <c r="EB63" s="76" t="str">
        <f t="shared" si="181"/>
        <v/>
      </c>
      <c r="EC63" s="76" t="str">
        <f t="shared" si="182"/>
        <v/>
      </c>
      <c r="ED63" s="76" t="str">
        <f t="shared" si="183"/>
        <v/>
      </c>
      <c r="EE63" s="76" t="str">
        <f t="shared" si="184"/>
        <v/>
      </c>
      <c r="EF63" s="76" t="str">
        <f t="shared" si="185"/>
        <v/>
      </c>
      <c r="EG63" s="76" t="str">
        <f t="shared" si="186"/>
        <v/>
      </c>
      <c r="EH63" s="1252"/>
      <c r="EI63" s="1253"/>
      <c r="EJ63" s="1253"/>
      <c r="EK63" s="1253"/>
      <c r="EL63" s="1253"/>
      <c r="EM63" s="1253"/>
      <c r="EN63" s="1253"/>
      <c r="EO63" s="1250"/>
      <c r="EP63" s="494"/>
      <c r="EQ63" s="494"/>
      <c r="ER63" s="494"/>
      <c r="ES63" s="494"/>
      <c r="ET63" s="494"/>
      <c r="EU63" s="494"/>
      <c r="EV63" s="1174"/>
      <c r="EW63" s="1174"/>
      <c r="EX63" s="1174"/>
      <c r="EY63" s="1174"/>
      <c r="EZ63" s="1174"/>
      <c r="FA63" s="1174"/>
      <c r="FB63" s="1174"/>
      <c r="FC63" s="1174"/>
      <c r="FD63" s="1174"/>
      <c r="FE63" s="1174"/>
      <c r="FF63" s="1174"/>
      <c r="FG63" s="1175"/>
      <c r="FH63" s="1270"/>
      <c r="FI63" s="1270"/>
      <c r="FJ63" s="1270"/>
      <c r="FK63" s="1270"/>
      <c r="FL63" s="1270"/>
      <c r="FM63" s="1274"/>
      <c r="FN63" s="363"/>
    </row>
    <row r="64" spans="1:170" s="362" customFormat="1" ht="27" customHeight="1" x14ac:dyDescent="0.3">
      <c r="A64" s="6"/>
      <c r="B64" s="512"/>
      <c r="C64" s="25"/>
      <c r="D64" s="25"/>
      <c r="E64" s="45"/>
      <c r="F64" s="45"/>
      <c r="G64" s="45"/>
      <c r="H64" s="45"/>
      <c r="I64" s="45"/>
      <c r="J64" s="45"/>
      <c r="K64" s="45"/>
      <c r="L64" s="1178" t="s">
        <v>189</v>
      </c>
      <c r="M64" s="1179"/>
      <c r="N64" s="1184">
        <f>COUNTIFS($I$7:$I$51,"BOY",$J$7:$J$51,"GEN",Y7:Y51,"&gt;=60")</f>
        <v>0</v>
      </c>
      <c r="O64" s="1185"/>
      <c r="P64" s="1184">
        <f>COUNTIFS($I$7:$I$51,"BOY",$J$7:$J$51,"OBC",Y7:Y51,"&gt;=60")</f>
        <v>0</v>
      </c>
      <c r="Q64" s="1185"/>
      <c r="R64" s="598">
        <f>COUNTIFS($I$7:$I$51,"BOY",$J$7:$J$51,"SC",Y7:Y51,"&gt;=60")</f>
        <v>0</v>
      </c>
      <c r="S64" s="598">
        <f>COUNTIFS($I$7:$I$51,"BOY",$J$7:$J$51,"ST",Y7:Y51,"&gt;=60")</f>
        <v>0</v>
      </c>
      <c r="T64" s="599">
        <f t="shared" ref="T64:T69" si="212">SUM(N64:S64)</f>
        <v>0</v>
      </c>
      <c r="U64" s="598">
        <f>COUNTIFS($I$7:$I$51,"GIRL",$J$7:$J$51,"GEN",Y7:Y51,"&gt;=60")</f>
        <v>0</v>
      </c>
      <c r="V64" s="598">
        <f>COUNTIFS($I$7:$I$51,"GIRL",$J$7:$J$51,"OBC",Y7:Y51,"&gt;=60")</f>
        <v>1</v>
      </c>
      <c r="W64" s="1184">
        <f>COUNTIFS($I$7:$I$51,"GIRL",$J$7:$J$51,"SC",Y7:Y51,"&gt;=60")</f>
        <v>0</v>
      </c>
      <c r="X64" s="1185"/>
      <c r="Y64" s="598">
        <f>COUNTIFS($I$7:$I$51,"GIRL",$J$7:$J$51,"ST",Y7:Y51,"&gt;=60")</f>
        <v>0</v>
      </c>
      <c r="Z64" s="599">
        <f t="shared" ref="Z64:Z69" si="213">SUM(U64:Y64)</f>
        <v>1</v>
      </c>
      <c r="AA64" s="602">
        <f t="shared" ref="AA64:AA69" si="214">SUM(T64,Z64)</f>
        <v>1</v>
      </c>
      <c r="AB64" s="604" t="s">
        <v>38</v>
      </c>
      <c r="AC64" s="129">
        <f>COUNTIFS(Z7:Z51,"A1")</f>
        <v>0</v>
      </c>
      <c r="AD64" s="177" t="s">
        <v>189</v>
      </c>
      <c r="AE64" s="598">
        <f>COUNTIFS($I$7:$I$51,"BOY",$J$7:$J$51,"GEN",AS7:AS51,"&gt;=60")</f>
        <v>0</v>
      </c>
      <c r="AF64" s="598">
        <f>COUNTIFS($I$7:$I$51,"BOY",$J$7:$J$51,"OBC",AS7:AS51,"&gt;=60")</f>
        <v>0</v>
      </c>
      <c r="AG64" s="598">
        <f>COUNTIFS($I$7:$I$51,"BOY",$J$7:$J$51,"SC",AS7:AS51,"&gt;=60")</f>
        <v>0</v>
      </c>
      <c r="AH64" s="598">
        <f>COUNTIFS($I$7:$I$51,"BOY",$J$7:$J$51,"ST",AS7:AS51,"&gt;=60")</f>
        <v>0</v>
      </c>
      <c r="AI64" s="599">
        <f t="shared" ref="AI64:AI69" si="215">SUM(AE64:AH64)</f>
        <v>0</v>
      </c>
      <c r="AJ64" s="598">
        <f>COUNTIFS($I$7:$I$51,"GIRL",$J$7:$J$51,"GEN",AS7:AS51,"&gt;=60")</f>
        <v>0</v>
      </c>
      <c r="AK64" s="598">
        <f>COUNTIFS($I$7:$I$51,"GIRL",$J$7:$J$51,"OBC",AS7:AS51,"&gt;=60")</f>
        <v>0</v>
      </c>
      <c r="AL64" s="598">
        <f>COUNTIFS($I$7:$I$51,"GIRL",$J$7:$J$51,"SC",AS7:AS51,"&gt;=60")</f>
        <v>0</v>
      </c>
      <c r="AM64" s="598">
        <f>COUNTIFS($I$7:$I$51,"GIRL",$J$7:$J$51,"ST",AS7:AS51,"&gt;=60")</f>
        <v>0</v>
      </c>
      <c r="AN64" s="599">
        <f t="shared" ref="AN64:AN69" si="216">SUM(AJ64:AM64)</f>
        <v>0</v>
      </c>
      <c r="AO64" s="602">
        <f t="shared" ref="AO64:AO69" si="217">SUM(AI64,AN64)</f>
        <v>0</v>
      </c>
      <c r="AP64" s="1220" t="s">
        <v>38</v>
      </c>
      <c r="AQ64" s="1221"/>
      <c r="AR64" s="1221"/>
      <c r="AS64" s="1222"/>
      <c r="AT64" s="1223">
        <f>COUNTIFS($AT$7:$AT$51,"A2")</f>
        <v>0</v>
      </c>
      <c r="AU64" s="1224"/>
      <c r="AV64" s="1225"/>
      <c r="AW64" s="128"/>
      <c r="AX64" s="177" t="s">
        <v>189</v>
      </c>
      <c r="AY64" s="598">
        <f>COUNTIFS($I$7:$I$51,"BOY",$J$7:$J$51,"GEN",BL7:BL51,"&gt;=60")</f>
        <v>1</v>
      </c>
      <c r="AZ64" s="598">
        <f>COUNTIFS($I$7:$I$51,"BOY",$J$7:$J$51,"OBC",BL7:BL51,"&gt;=60")</f>
        <v>0</v>
      </c>
      <c r="BA64" s="598">
        <f>COUNTIFS($I$7:$I$51,"BOY",$J$7:$J$51,"SC",BL7:BL51,"&gt;=60")</f>
        <v>0</v>
      </c>
      <c r="BB64" s="598">
        <f>COUNTIFS($I$7:$I$51,"BOY",$J$7:$J$51,"ST",BL7:BL51,"&gt;=60")</f>
        <v>0</v>
      </c>
      <c r="BC64" s="599">
        <f t="shared" ref="BC64:BC69" si="218">SUM(AY64:BB64)</f>
        <v>1</v>
      </c>
      <c r="BD64" s="598">
        <f>COUNTIFS($I$7:$I$51,"GIRL",$J$7:$J$51,"GEN",BL7:BL51,"&gt;=60")</f>
        <v>0</v>
      </c>
      <c r="BE64" s="598">
        <f>COUNTIFS($I$7:$I$51,"GIRL",$J$7:$J$51,"OBC",BL7:BL51,"&gt;=60")</f>
        <v>1</v>
      </c>
      <c r="BF64" s="598">
        <f>COUNTIFS($I$7:$I$51,"GIRL",$J$7:$J$51,"SC",BL7:BL51,"&gt;=60")</f>
        <v>1</v>
      </c>
      <c r="BG64" s="598">
        <f>COUNTIFS($I$7:$I$51,"GIRL",$J$7:$J$51,"ST",BL7:BL51,"&gt;=60")</f>
        <v>0</v>
      </c>
      <c r="BH64" s="599">
        <f t="shared" ref="BH64:BH69" si="219">SUM(BD64:BG64)</f>
        <v>2</v>
      </c>
      <c r="BI64" s="602">
        <f t="shared" ref="BI64:BI69" si="220">SUM(BC64,BH64)</f>
        <v>3</v>
      </c>
      <c r="BJ64" s="1220" t="s">
        <v>38</v>
      </c>
      <c r="BK64" s="1221"/>
      <c r="BL64" s="1221"/>
      <c r="BM64" s="1222"/>
      <c r="BN64" s="1223">
        <f>COUNTIFS(BM7:BM51,"A1",BL7:BL51,"&gt;=33",BJ7:BJ51,"&gt;=25",BK7:BK51,"&gt;=8")</f>
        <v>0</v>
      </c>
      <c r="BO64" s="1224"/>
      <c r="BP64" s="1225"/>
      <c r="BQ64" s="177" t="s">
        <v>189</v>
      </c>
      <c r="BR64" s="598">
        <f>COUNTIFS($I$7:$I$51,"BOY",$J$7:$J$51,"GEN",CE7:CE51,"&gt;=60")</f>
        <v>1</v>
      </c>
      <c r="BS64" s="598">
        <f>COUNTIFS($I$7:$I$51,"BOY",$J$7:$J$51,"OBC",CE7:CE51,"&gt;=60")</f>
        <v>0</v>
      </c>
      <c r="BT64" s="598">
        <f>COUNTIFS($I$7:$I$51,"BOY",$J$7:$J$51,"SC",CE7:CE51,"&gt;=60")</f>
        <v>0</v>
      </c>
      <c r="BU64" s="598">
        <f>COUNTIFS($I$7:$I$51,"BOY",$J$7:$J$51,"ST",CE7:CE51,"&gt;=60")</f>
        <v>0</v>
      </c>
      <c r="BV64" s="599">
        <f t="shared" ref="BV64:BV69" si="221">SUM(BR64:BU64)</f>
        <v>1</v>
      </c>
      <c r="BW64" s="598">
        <f>COUNTIFS($I$7:$I$51,"GIRL",$J$7:$J$51,"GEN",CE7:CE51,"&gt;=60")</f>
        <v>0</v>
      </c>
      <c r="BX64" s="598">
        <f>COUNTIFS($I$7:$I$51,"GIRL",$J$7:$J$51,"OBC",CE7:CE51,"&gt;=60")</f>
        <v>1</v>
      </c>
      <c r="BY64" s="598">
        <f>COUNTIFS($I$7:$I$51,"GIRL",$J$7:$J$51,"SC",CE7:CE51,"&gt;=60")</f>
        <v>1</v>
      </c>
      <c r="BZ64" s="598">
        <f>COUNTIFS($I$7:$I$51,"GIRL",$J$7:$J$51,"ST",CE7:CE51,"&gt;=60")</f>
        <v>0</v>
      </c>
      <c r="CA64" s="599">
        <f t="shared" ref="CA64:CA69" si="222">SUM(BW64:BZ64)</f>
        <v>2</v>
      </c>
      <c r="CB64" s="602">
        <f t="shared" ref="CB64:CB69" si="223">SUM(BV64,CA64)</f>
        <v>3</v>
      </c>
      <c r="CC64" s="1220" t="s">
        <v>38</v>
      </c>
      <c r="CD64" s="1221"/>
      <c r="CE64" s="1221"/>
      <c r="CF64" s="1222"/>
      <c r="CG64" s="1223">
        <f>COUNTIFS(CF7:CF51,"A1",CE7:CE51,"&gt;=33",CC7:CC51,"&gt;=25",CD7:CD51,"&gt;=8")</f>
        <v>0</v>
      </c>
      <c r="CH64" s="1224"/>
      <c r="CI64" s="1225"/>
      <c r="CJ64" s="177" t="s">
        <v>189</v>
      </c>
      <c r="CK64" s="598">
        <f>COUNTIFS($I$7:$I$51,"BOY",$J$7:$J$51,"GEN",CX7:CX51,"&gt;=60")</f>
        <v>0</v>
      </c>
      <c r="CL64" s="598">
        <f>COUNTIFS($I$7:$I$51,"BOY",$J$7:$J$51,"OBC",CX7:CX51,"&gt;=60")</f>
        <v>0</v>
      </c>
      <c r="CM64" s="598">
        <f>COUNTIFS($I$7:$I$51,"BOY",$J$7:$J$51,"SC",CX7:CX51,"&gt;=60")</f>
        <v>0</v>
      </c>
      <c r="CN64" s="598">
        <f>COUNTIFS($I$7:$I$51,"BOY",$J$7:$J$51,"ST",CX7:CX51,"&gt;=60")</f>
        <v>0</v>
      </c>
      <c r="CO64" s="599">
        <f t="shared" ref="CO64:CO69" si="224">SUM(CK64:CN64)</f>
        <v>0</v>
      </c>
      <c r="CP64" s="598">
        <f>COUNTIFS($I$7:$I$51,"GIRL",$J$7:$J$51,"GEN",CX7:CX51,"&gt;=60")</f>
        <v>0</v>
      </c>
      <c r="CQ64" s="598">
        <f>COUNTIFS($I$7:$I$51,"GIRL",$J$7:$J$51,"OBC",CX7:CX51,"&gt;=60")</f>
        <v>0</v>
      </c>
      <c r="CR64" s="598">
        <f>COUNTIFS($I$7:$I$51,"GIRL",$J$7:$J$51,"SC",CX7:CX51,"&gt;=60")</f>
        <v>0</v>
      </c>
      <c r="CS64" s="598">
        <f>COUNTIFS($I$7:$I$51,"GIRL",$J$7:$J$51,"ST",CX7:CX51,"&gt;=60")</f>
        <v>0</v>
      </c>
      <c r="CT64" s="599">
        <f t="shared" ref="CT64:CT69" si="225">SUM(CP64:CS64)</f>
        <v>0</v>
      </c>
      <c r="CU64" s="602">
        <f t="shared" ref="CU64:CU69" si="226">SUM(CO64,CT64)</f>
        <v>0</v>
      </c>
      <c r="CV64" s="1220" t="s">
        <v>38</v>
      </c>
      <c r="CW64" s="1221"/>
      <c r="CX64" s="1221"/>
      <c r="CY64" s="1222"/>
      <c r="CZ64" s="1223">
        <f>COUNTIFS(CY7:CY51,"A1",CX7:CX51,"&gt;=33",CV7:CV51,"&gt;=25",CW7:CW51,"&gt;=8")</f>
        <v>0</v>
      </c>
      <c r="DA64" s="1224"/>
      <c r="DB64" s="1225"/>
      <c r="DC64" s="177" t="s">
        <v>189</v>
      </c>
      <c r="DD64" s="598">
        <f>COUNTIFS($I$7:$I$51,"BOY",$J$7:$J$51,"GEN",DQ7:DQ51,"&gt;=60")</f>
        <v>1</v>
      </c>
      <c r="DE64" s="598">
        <f>COUNTIFS($I$7:$I$51,"BOY",$J$7:$J$51,"OBC",DQ7:DQ51,"&gt;=60")</f>
        <v>0</v>
      </c>
      <c r="DF64" s="598">
        <f>COUNTIFS($I$7:$I$51,"BOY",$J$7:$J$51,"SC",DQ7:DQ51,"&gt;=60")</f>
        <v>0</v>
      </c>
      <c r="DG64" s="598">
        <f>COUNTIFS($I$7:$I$51,"BOY",$J$7:$J$51,"ST",DQ7:DQ51,"&gt;=60")</f>
        <v>0</v>
      </c>
      <c r="DH64" s="599">
        <f t="shared" ref="DH64:DH69" si="227">SUM(DD64:DG64)</f>
        <v>1</v>
      </c>
      <c r="DI64" s="598">
        <f>COUNTIFS($I$7:$I$51,"GIRL",$J$7:$J$51,"GEN",DQ7:DQ51,"&gt;=60")</f>
        <v>0</v>
      </c>
      <c r="DJ64" s="598">
        <f>COUNTIFS($I$7:$I$51,"GIRL",$J$7:$J$51,"OBC",DQ7:DQ51,"&gt;=60")</f>
        <v>1</v>
      </c>
      <c r="DK64" s="598">
        <f>COUNTIFS($I$7:$I$51,"GIRL",$J$7:$J$51,"SC",DQ7:DQ51,"&gt;=60")</f>
        <v>1</v>
      </c>
      <c r="DL64" s="598">
        <f>COUNTIFS($I$7:$I$51,"GIRL",$J$7:$J$51,"ST",DQ7:DQ51,"&gt;=60")</f>
        <v>0</v>
      </c>
      <c r="DM64" s="599">
        <f t="shared" ref="DM64:DM69" si="228">SUM(DI64:DL64)</f>
        <v>2</v>
      </c>
      <c r="DN64" s="602">
        <f t="shared" ref="DN64:DN69" si="229">SUM(DH64,DM64)</f>
        <v>3</v>
      </c>
      <c r="DO64" s="1220" t="s">
        <v>38</v>
      </c>
      <c r="DP64" s="1221"/>
      <c r="DQ64" s="1221"/>
      <c r="DR64" s="1222"/>
      <c r="DS64" s="1223">
        <f>COUNTIFS(DR7:DR51,"A1",DQ7:DQ51,"&gt;=33",DO7:DO51,"&gt;=25",DP7:DP51,"&gt;=8")</f>
        <v>1</v>
      </c>
      <c r="DT64" s="1224"/>
      <c r="DU64" s="1225"/>
      <c r="DV64" s="130" t="str">
        <f t="shared" si="175"/>
        <v/>
      </c>
      <c r="DW64" s="72" t="str">
        <f t="shared" si="176"/>
        <v/>
      </c>
      <c r="DX64" s="72" t="str">
        <f t="shared" si="177"/>
        <v/>
      </c>
      <c r="DY64" s="72" t="str">
        <f t="shared" si="178"/>
        <v/>
      </c>
      <c r="DZ64" s="72" t="str">
        <f t="shared" si="179"/>
        <v/>
      </c>
      <c r="EA64" s="72" t="str">
        <f t="shared" si="180"/>
        <v/>
      </c>
      <c r="EB64" s="76" t="str">
        <f t="shared" si="181"/>
        <v/>
      </c>
      <c r="EC64" s="76" t="str">
        <f t="shared" si="182"/>
        <v/>
      </c>
      <c r="ED64" s="76" t="str">
        <f t="shared" si="183"/>
        <v/>
      </c>
      <c r="EE64" s="76" t="str">
        <f t="shared" si="184"/>
        <v/>
      </c>
      <c r="EF64" s="76" t="str">
        <f t="shared" si="185"/>
        <v/>
      </c>
      <c r="EG64" s="76" t="str">
        <f t="shared" si="186"/>
        <v/>
      </c>
      <c r="EH64" s="1254" t="str">
        <f>IF(FJ52="0","",DASHBOARD!B4)</f>
        <v>SESSION    -  2025-26</v>
      </c>
      <c r="EI64" s="1255"/>
      <c r="EJ64" s="1255"/>
      <c r="EK64" s="1255"/>
      <c r="EL64" s="1255"/>
      <c r="EM64" s="1255"/>
      <c r="EN64" s="1255"/>
      <c r="EO64" s="1250"/>
      <c r="EP64" s="494"/>
      <c r="EQ64" s="494"/>
      <c r="ER64" s="494"/>
      <c r="ES64" s="494"/>
      <c r="ET64" s="494"/>
      <c r="EU64" s="494"/>
      <c r="EV64" s="1174"/>
      <c r="EW64" s="1174"/>
      <c r="EX64" s="1174"/>
      <c r="EY64" s="1174"/>
      <c r="EZ64" s="1174"/>
      <c r="FA64" s="1174"/>
      <c r="FB64" s="1174"/>
      <c r="FC64" s="1174"/>
      <c r="FD64" s="1174"/>
      <c r="FE64" s="1174"/>
      <c r="FF64" s="1174"/>
      <c r="FG64" s="1175"/>
      <c r="FH64" s="1264" t="str">
        <f>IF(DASHBOARD!E15="","",DASHBOARD!E15&amp;" -"&amp;DASHBOARD!D15)</f>
        <v xml:space="preserve">SUREKHA -PHYSICAL EDUCATION </v>
      </c>
      <c r="FI64" s="1265"/>
      <c r="FJ64" s="213" t="str">
        <f>'RESULT TEACHER WISE'!H11</f>
        <v>100 %</v>
      </c>
      <c r="FK64" s="213"/>
      <c r="FL64" s="213"/>
      <c r="FM64" s="513"/>
      <c r="FN64" s="363"/>
    </row>
    <row r="65" spans="1:170" s="362" customFormat="1" ht="15" customHeight="1" x14ac:dyDescent="0.3">
      <c r="A65" s="6"/>
      <c r="B65" s="512"/>
      <c r="C65" s="25"/>
      <c r="D65" s="25"/>
      <c r="E65" s="45"/>
      <c r="F65" s="45"/>
      <c r="G65" s="45"/>
      <c r="H65" s="45"/>
      <c r="I65" s="45"/>
      <c r="J65" s="45"/>
      <c r="K65" s="45"/>
      <c r="L65" s="1178" t="s">
        <v>190</v>
      </c>
      <c r="M65" s="1179"/>
      <c r="N65" s="1184">
        <f>COUNTIFS($I$7:$I$51,"BOY",$J$7:$J$51,"GEN",Y7:Y51,"&gt;=48",Y7:Y51,"&lt;60")</f>
        <v>1</v>
      </c>
      <c r="O65" s="1185"/>
      <c r="P65" s="1184">
        <f>COUNTIFS($I$7:$I$51,"BOY",$J$7:$J$51,"OBC",Y7:Y51,"&gt;=48",Y7:Y51,"&lt;60")</f>
        <v>0</v>
      </c>
      <c r="Q65" s="1185"/>
      <c r="R65" s="598">
        <f>COUNTIFS($I$7:$I$51,"BOY",$J$7:$J$51,"SC",Y7:Y51,"&gt;=48",Y7:Y51,"&lt;60")</f>
        <v>0</v>
      </c>
      <c r="S65" s="598">
        <f>COUNTIFS($I$7:$I$51,"BOY",$J$7:$J$51,"ST",Y7:Y51,"&gt;=48",Y7:Y51,"&lt;60")</f>
        <v>0</v>
      </c>
      <c r="T65" s="599">
        <f t="shared" si="212"/>
        <v>1</v>
      </c>
      <c r="U65" s="598">
        <f>COUNTIFS($I$7:$I$51,"GIRL",$J$7:$J$51,"GEN",Y7:Y51,"&gt;=48",Y7:Y51,"&lt;60")</f>
        <v>0</v>
      </c>
      <c r="V65" s="598">
        <f>COUNTIFS($I$7:$I$51,"GIRL",$J$7:$J$51,"OBC",Y7:Y51,"&gt;=48",Y7:Y51,"&lt;60")</f>
        <v>0</v>
      </c>
      <c r="W65" s="1184">
        <f>COUNTIFS($I$7:$I$51,"GIRL",$J$7:$J$51,"SC",Y7:Y51,"&gt;=48",Y7:Y51,"&lt;60")</f>
        <v>0</v>
      </c>
      <c r="X65" s="1185"/>
      <c r="Y65" s="598">
        <f>COUNTIFS($I$7:$I$51,"GIRL",$J$7:$J$51,"ST",Y7:Y51,"&gt;=48",Y7:Y51,"&lt;60")</f>
        <v>0</v>
      </c>
      <c r="Z65" s="599">
        <f t="shared" si="213"/>
        <v>0</v>
      </c>
      <c r="AA65" s="602">
        <f t="shared" si="214"/>
        <v>1</v>
      </c>
      <c r="AB65" s="603" t="s">
        <v>41</v>
      </c>
      <c r="AC65" s="128">
        <f>SUM(AC57:AC64)</f>
        <v>3</v>
      </c>
      <c r="AD65" s="177" t="s">
        <v>190</v>
      </c>
      <c r="AE65" s="598">
        <f>COUNTIFS($I$7:$I$51,"BOY",$J$7:$J$51,"GEN",AS7:AS51,"&gt;=48",AS7:AS51,"&lt;60")</f>
        <v>0</v>
      </c>
      <c r="AF65" s="598">
        <f>COUNTIFS($I$7:$I$51,"BOY",$J$7:$J$51,"OBC",AS7:AS51,"&gt;=48",AS7:AS51,"&lt;60")</f>
        <v>0</v>
      </c>
      <c r="AG65" s="598">
        <f>COUNTIFS($I$7:$I$51,"BOY",$J$7:$J$51,"SC",AS7:AS51,"&gt;=48",AS7:AS51,"&lt;60")</f>
        <v>0</v>
      </c>
      <c r="AH65" s="598">
        <f>COUNTIFS($I$7:$I$51,"BOY",$J$7:$J$51,"ST",AS7:AS51,"&gt;=48",AS7:AS51,"&lt;60")</f>
        <v>0</v>
      </c>
      <c r="AI65" s="599">
        <f t="shared" si="215"/>
        <v>0</v>
      </c>
      <c r="AJ65" s="598">
        <f>COUNTIFS($I$7:$I$51,"GIRL",$J$7:$J$51,"GEN",AS7:AS51,"&gt;=48",AS7:AS51,"&lt;60")</f>
        <v>0</v>
      </c>
      <c r="AK65" s="598">
        <f>COUNTIFS($I$7:$I$51,"GIRL",$J$7:$J$51,"OBC",AS7:AS51,"&gt;=48",AS7:AS51,"&lt;60")</f>
        <v>0</v>
      </c>
      <c r="AL65" s="598">
        <f>COUNTIFS($I$7:$I$51,"GIRL",$J$7:$J$51,"SC",AS7:AS51,"&gt;=48",AS7:AS51,"&lt;60")</f>
        <v>0</v>
      </c>
      <c r="AM65" s="598">
        <f>COUNTIFS($I$7:$I$51,"GIRL",$J$7:$J$51,"ST",AS7:AS51,"&gt;=48",AS7:AS51,"&lt;60")</f>
        <v>0</v>
      </c>
      <c r="AN65" s="599">
        <f t="shared" si="216"/>
        <v>0</v>
      </c>
      <c r="AO65" s="602">
        <f t="shared" si="217"/>
        <v>0</v>
      </c>
      <c r="AP65" s="1220" t="s">
        <v>199</v>
      </c>
      <c r="AQ65" s="1221"/>
      <c r="AR65" s="1221"/>
      <c r="AS65" s="1222"/>
      <c r="AT65" s="1223">
        <f>SUM(AT58:AT64)</f>
        <v>0</v>
      </c>
      <c r="AU65" s="1224"/>
      <c r="AV65" s="1225"/>
      <c r="AW65" s="128"/>
      <c r="AX65" s="177" t="s">
        <v>190</v>
      </c>
      <c r="AY65" s="598">
        <f>COUNTIFS($I$7:$I$51,"BOY",$J$7:$J$51,"GEN",BL7:BL51,"&gt;=48",BL7:BL51,"&lt;60")</f>
        <v>0</v>
      </c>
      <c r="AZ65" s="598">
        <f>COUNTIFS($I$7:$I$51,"BOY",$J$7:$J$51,"OBC",BL7:BL51,"&gt;=48",BL7:BL51,"&lt;60")</f>
        <v>0</v>
      </c>
      <c r="BA65" s="598">
        <f>COUNTIFS($I$7:$I$51,"BOY",$J$7:$J$51,"SC",BL7:BL51,"&gt;=48",BL7:BL51,"&lt;60")</f>
        <v>0</v>
      </c>
      <c r="BB65" s="598">
        <f>COUNTIFS($I$7:$I$51,"BOY",$J$7:$J$51,"ST",BL7:BL51,"&gt;=48",BL7:BL51,"&lt;60")</f>
        <v>0</v>
      </c>
      <c r="BC65" s="599">
        <f t="shared" si="218"/>
        <v>0</v>
      </c>
      <c r="BD65" s="598">
        <f>COUNTIFS($I$7:$I$51,"GIRL",$J$7:$J$51,"GEN",BL7:BL51,"&gt;=48",BL7:BL51,"&lt;60")</f>
        <v>0</v>
      </c>
      <c r="BE65" s="598">
        <f>COUNTIFS($I$7:$I$51,"GIRL",$J$7:$J$51,"OBC",BL7:BL51,"&gt;=48",BL7:BL51,"&lt;60")</f>
        <v>0</v>
      </c>
      <c r="BF65" s="598">
        <f>COUNTIFS($I$7:$I$51,"GIRL",$J$7:$J$51,"SC",BL7:BL51,"&gt;=48",BL7:BL51,"&lt;60")</f>
        <v>0</v>
      </c>
      <c r="BG65" s="598">
        <f>COUNTIFS($I$7:$I$51,"GIRL",$J$7:$J$51,"ST",BL7:BL51,"&gt;=48",BL7:BL51,"&lt;60")</f>
        <v>0</v>
      </c>
      <c r="BH65" s="599">
        <f t="shared" si="219"/>
        <v>0</v>
      </c>
      <c r="BI65" s="602">
        <f t="shared" si="220"/>
        <v>0</v>
      </c>
      <c r="BJ65" s="1220" t="s">
        <v>199</v>
      </c>
      <c r="BK65" s="1221"/>
      <c r="BL65" s="1221"/>
      <c r="BM65" s="1222"/>
      <c r="BN65" s="1223">
        <f>SUM(BN58:BN64)</f>
        <v>3</v>
      </c>
      <c r="BO65" s="1224"/>
      <c r="BP65" s="1225"/>
      <c r="BQ65" s="177" t="s">
        <v>190</v>
      </c>
      <c r="BR65" s="598">
        <f>COUNTIFS($I$7:$I$51,"BOY",$J$7:$J$51,"GEN",CE7:CE51,"&gt;=48",CE7:CE51,"&lt;60")</f>
        <v>0</v>
      </c>
      <c r="BS65" s="598">
        <f>COUNTIFS($I$7:$I$51,"BOY",$J$7:$J$51,"OBC",CE7:CE51,"&gt;=48",CE7:CE51,"&lt;60")</f>
        <v>0</v>
      </c>
      <c r="BT65" s="598">
        <f>COUNTIFS($I$7:$I$51,"BOY",$J$7:$J$51,"SC",CE7:CE51,"&gt;=48",CE7:CE51,"&lt;60")</f>
        <v>0</v>
      </c>
      <c r="BU65" s="598">
        <f>COUNTIFS($I$7:$I$51,"BOY",$J$7:$J$51,"ST",CE7:CE51,"&gt;=48",CE7:CE51,"&lt;60")</f>
        <v>0</v>
      </c>
      <c r="BV65" s="599">
        <f t="shared" si="221"/>
        <v>0</v>
      </c>
      <c r="BW65" s="598">
        <f>COUNTIFS($I$7:$I$51,"GIRL",$J$7:$J$51,"GEN",CE7:CE51,"&gt;=48",CE7:CE51,"&lt;60")</f>
        <v>0</v>
      </c>
      <c r="BX65" s="598">
        <f>COUNTIFS($I$7:$I$51,"GIRL",$J$7:$J$51,"OBC",CE7:CE51,"&gt;=48",CE7:CE51,"&lt;60")</f>
        <v>0</v>
      </c>
      <c r="BY65" s="598">
        <f>COUNTIFS($I$7:$I$51,"GIRL",$J$7:$J$51,"SC",CE7:CE51,"&gt;=48",CE7:CE51,"&lt;60")</f>
        <v>0</v>
      </c>
      <c r="BZ65" s="598">
        <f>COUNTIFS($I$7:$I$51,"GIRL",$J$7:$J$51,"ST",CE7:CE51,"&gt;=48",CE7:CE51,"&lt;60")</f>
        <v>0</v>
      </c>
      <c r="CA65" s="599">
        <f t="shared" si="222"/>
        <v>0</v>
      </c>
      <c r="CB65" s="602">
        <f t="shared" si="223"/>
        <v>0</v>
      </c>
      <c r="CC65" s="1220" t="s">
        <v>199</v>
      </c>
      <c r="CD65" s="1221"/>
      <c r="CE65" s="1221"/>
      <c r="CF65" s="1222"/>
      <c r="CG65" s="1223">
        <f>SUM(CG58:CG64)</f>
        <v>3</v>
      </c>
      <c r="CH65" s="1224"/>
      <c r="CI65" s="1225"/>
      <c r="CJ65" s="177" t="s">
        <v>190</v>
      </c>
      <c r="CK65" s="598">
        <f>COUNTIFS($I$7:$I$51,"BOY",$J$7:$J$51,"GEN",CX7:CX51,"&gt;=48",CX7:CX51,"&lt;60")</f>
        <v>1</v>
      </c>
      <c r="CL65" s="598">
        <f>COUNTIFS($I$7:$I$51,"BOY",$J$7:$J$51,"OBC",CX7:CX51,"&gt;=48",CX7:CX51,"&lt;60")</f>
        <v>0</v>
      </c>
      <c r="CM65" s="598">
        <f>COUNTIFS($I$7:$I$51,"BOY",$J$7:$J$51,"SC",CX7:CX51,"&gt;=48",CX7:CX51,"&lt;60")</f>
        <v>0</v>
      </c>
      <c r="CN65" s="598">
        <f>COUNTIFS($I$7:$I$51,"BOY",$J$7:$J$51,"ST",CX7:CX51,"&gt;=48",CX7:CX51,"&lt;60")</f>
        <v>0</v>
      </c>
      <c r="CO65" s="599">
        <f t="shared" si="224"/>
        <v>1</v>
      </c>
      <c r="CP65" s="598">
        <f>COUNTIFS($I$7:$I$51,"GIRL",$J$7:$J$51,"GEN",CX7:CX51,"&gt;=48",CX7:CX51,"&lt;60")</f>
        <v>0</v>
      </c>
      <c r="CQ65" s="598">
        <f>COUNTIFS($I$7:$I$51,"GIRL",$J$7:$J$51,"OBC",CX7:CX51,"&gt;=48",CX7:CX51,"&lt;60")</f>
        <v>0</v>
      </c>
      <c r="CR65" s="598">
        <f>COUNTIFS($I$7:$I$51,"GIRL",$J$7:$J$51,"SC",CX7:CX51,"&gt;=48",CX7:CX51,"&lt;60")</f>
        <v>0</v>
      </c>
      <c r="CS65" s="598">
        <f>COUNTIFS($I$7:$I$51,"GIRL",$J$7:$J$51,"ST",CX7:CX51,"&gt;=48",CX7:CX51,"&lt;60")</f>
        <v>0</v>
      </c>
      <c r="CT65" s="599">
        <f t="shared" si="225"/>
        <v>0</v>
      </c>
      <c r="CU65" s="602">
        <f t="shared" si="226"/>
        <v>1</v>
      </c>
      <c r="CV65" s="1220" t="s">
        <v>199</v>
      </c>
      <c r="CW65" s="1221"/>
      <c r="CX65" s="1221"/>
      <c r="CY65" s="1222"/>
      <c r="CZ65" s="1223">
        <f>SUM(CZ58:CZ64)</f>
        <v>0</v>
      </c>
      <c r="DA65" s="1224"/>
      <c r="DB65" s="1225"/>
      <c r="DC65" s="177" t="s">
        <v>190</v>
      </c>
      <c r="DD65" s="598">
        <f>COUNTIFS($I$7:$I$51,"BOY",$J$7:$J$51,"GEN",DQ7:DQ51,"&gt;=48",DQ7:DQ51,"&lt;60")</f>
        <v>0</v>
      </c>
      <c r="DE65" s="598">
        <f>COUNTIFS($I$7:$I$51,"BOY",$J$7:$J$51,"OBC",DQ7:DQ51,"&gt;=48",DQ7:DQ51,"&lt;60")</f>
        <v>0</v>
      </c>
      <c r="DF65" s="598">
        <f>COUNTIFS($I$7:$I$51,"BOY",$J$7:$J$51,"SC",DQ7:DQ51,"&gt;=48",DQ7:DQ51,"&lt;60")</f>
        <v>0</v>
      </c>
      <c r="DG65" s="598">
        <f>COUNTIFS($I$7:$I$51,"BOY",$J$7:$J$51,"ST",DQ7:DQ51,"&gt;=48",DQ7:DQ51,"&lt;60")</f>
        <v>0</v>
      </c>
      <c r="DH65" s="599">
        <f t="shared" si="227"/>
        <v>0</v>
      </c>
      <c r="DI65" s="598">
        <f>COUNTIFS($I$7:$I$51,"GIRL",$J$7:$J$51,"GEN",DQ7:DQ51,"&gt;=48",DQ7:DQ51,"&lt;60")</f>
        <v>0</v>
      </c>
      <c r="DJ65" s="598">
        <f>COUNTIFS($I$7:$I$51,"GIRL",$J$7:$J$51,"OBC",DQ7:DQ51,"&gt;=48",DQ7:DQ51,"&lt;60")</f>
        <v>0</v>
      </c>
      <c r="DK65" s="598">
        <f>COUNTIFS($I$7:$I$51,"GIRL",$J$7:$J$51,"SC",DQ7:DQ51,"&gt;=48",DQ7:DQ51,"&lt;60")</f>
        <v>0</v>
      </c>
      <c r="DL65" s="598">
        <f>COUNTIFS($I$7:$I$51,"GIRL",$J$7:$J$51,"ST",DQ7:DQ51,"&gt;=48",DQ7:DQ51,"&lt;60")</f>
        <v>0</v>
      </c>
      <c r="DM65" s="599">
        <f t="shared" si="228"/>
        <v>0</v>
      </c>
      <c r="DN65" s="602">
        <f t="shared" si="229"/>
        <v>0</v>
      </c>
      <c r="DO65" s="1220" t="s">
        <v>199</v>
      </c>
      <c r="DP65" s="1221"/>
      <c r="DQ65" s="1221"/>
      <c r="DR65" s="1222"/>
      <c r="DS65" s="1223">
        <f>SUM(DS58:DS64)</f>
        <v>3</v>
      </c>
      <c r="DT65" s="1224"/>
      <c r="DU65" s="1225"/>
      <c r="DV65" s="130" t="str">
        <f t="shared" si="175"/>
        <v/>
      </c>
      <c r="DW65" s="72" t="str">
        <f t="shared" si="176"/>
        <v/>
      </c>
      <c r="DX65" s="72" t="str">
        <f t="shared" si="177"/>
        <v/>
      </c>
      <c r="DY65" s="72" t="str">
        <f t="shared" si="178"/>
        <v/>
      </c>
      <c r="DZ65" s="72" t="str">
        <f t="shared" si="179"/>
        <v/>
      </c>
      <c r="EA65" s="72" t="str">
        <f t="shared" si="180"/>
        <v/>
      </c>
      <c r="EB65" s="76" t="str">
        <f t="shared" si="181"/>
        <v/>
      </c>
      <c r="EC65" s="76" t="str">
        <f t="shared" si="182"/>
        <v/>
      </c>
      <c r="ED65" s="76" t="str">
        <f t="shared" si="183"/>
        <v/>
      </c>
      <c r="EE65" s="76" t="str">
        <f t="shared" si="184"/>
        <v/>
      </c>
      <c r="EF65" s="76" t="str">
        <f t="shared" si="185"/>
        <v/>
      </c>
      <c r="EG65" s="76" t="str">
        <f t="shared" si="186"/>
        <v/>
      </c>
      <c r="EH65" s="1254"/>
      <c r="EI65" s="1255"/>
      <c r="EJ65" s="1255"/>
      <c r="EK65" s="1255"/>
      <c r="EL65" s="1255"/>
      <c r="EM65" s="1255"/>
      <c r="EN65" s="1255"/>
      <c r="EO65" s="1250"/>
      <c r="EP65" s="494"/>
      <c r="EQ65" s="494"/>
      <c r="ER65" s="494"/>
      <c r="ES65" s="494"/>
      <c r="ET65" s="494"/>
      <c r="EU65" s="494"/>
      <c r="EV65" s="1174"/>
      <c r="EW65" s="1174"/>
      <c r="EX65" s="1174"/>
      <c r="EY65" s="1174"/>
      <c r="EZ65" s="1174"/>
      <c r="FA65" s="1174"/>
      <c r="FB65" s="1174"/>
      <c r="FC65" s="1174"/>
      <c r="FD65" s="1174"/>
      <c r="FE65" s="1174"/>
      <c r="FF65" s="1174"/>
      <c r="FG65" s="1175"/>
      <c r="FH65" s="1258"/>
      <c r="FI65" s="1258"/>
      <c r="FJ65" s="1258"/>
      <c r="FK65" s="1258"/>
      <c r="FL65" s="1258"/>
      <c r="FM65" s="1275"/>
      <c r="FN65" s="363"/>
    </row>
    <row r="66" spans="1:170" s="362" customFormat="1" ht="15" customHeight="1" x14ac:dyDescent="0.3">
      <c r="A66" s="6"/>
      <c r="B66" s="512"/>
      <c r="C66" s="25"/>
      <c r="D66" s="25"/>
      <c r="E66" s="45"/>
      <c r="F66" s="45"/>
      <c r="G66" s="45"/>
      <c r="H66" s="45"/>
      <c r="I66" s="45"/>
      <c r="J66" s="45"/>
      <c r="K66" s="45"/>
      <c r="L66" s="1178" t="s">
        <v>191</v>
      </c>
      <c r="M66" s="1179"/>
      <c r="N66" s="1184">
        <f>COUNTIFS($I$7:$I$51,"BOY",$J$7:$J$51,"GEN",Y7:Y51,"&gt;=33",Y7:Y51,"&lt;48")</f>
        <v>0</v>
      </c>
      <c r="O66" s="1185"/>
      <c r="P66" s="1184">
        <f>COUNTIFS($I$7:$I$51,"BOY",$J$7:$J$51,"OBC",Y7:Y51,"&gt;=33",Y7:Y51,"&lt;48")</f>
        <v>0</v>
      </c>
      <c r="Q66" s="1185"/>
      <c r="R66" s="598">
        <f>COUNTIFS($I$7:$I$51,"BOY",$J$7:$J$51,"SC",Y7:Y51,"&gt;=33",Y7:Y51,"&lt;48")</f>
        <v>0</v>
      </c>
      <c r="S66" s="598">
        <f>COUNTIFS($I$7:$I$51,"BOY",$J$7:$J$51,"ST",Y7:Y51,"&gt;=33",Y7:Y51,"&lt;48")</f>
        <v>0</v>
      </c>
      <c r="T66" s="599">
        <f t="shared" si="212"/>
        <v>0</v>
      </c>
      <c r="U66" s="598">
        <f>COUNTIFS($I$7:$I$51,"GIRL",$J$7:$J$51,"GEN",Y7:Y51,"&gt;=33",Y7:Y51,"&lt;48")</f>
        <v>0</v>
      </c>
      <c r="V66" s="598">
        <f>COUNTIFS($I$7:$I$51,"GIRL",$J$7:$J$51,"OBC",Y7:Y51,"&gt;=33",Y7:Y51,"&lt;48")</f>
        <v>0</v>
      </c>
      <c r="W66" s="1184">
        <f>COUNTIFS($I$7:$I$51,"GIRL",$J$7:$J$51,"SC",Y7:Y51,"&gt;=33",Y7:Y51,"&lt;48")</f>
        <v>1</v>
      </c>
      <c r="X66" s="1185"/>
      <c r="Y66" s="598">
        <f>COUNTIFS($I$7:$I$51,"GIRL",$J$7:$J$51,"ST",Y7:Y51,"&gt;=33",Y7:Y51,"&lt;48")</f>
        <v>0</v>
      </c>
      <c r="Z66" s="599">
        <f t="shared" si="213"/>
        <v>1</v>
      </c>
      <c r="AA66" s="602">
        <f t="shared" si="214"/>
        <v>1</v>
      </c>
      <c r="AB66" s="127" t="s">
        <v>189</v>
      </c>
      <c r="AC66" s="129">
        <f>COUNTIFS(Y7:Y51,"&gt;=60",V7:V51,"&gt;=6",W7:W51,"&gt;=26")</f>
        <v>1</v>
      </c>
      <c r="AD66" s="177" t="s">
        <v>191</v>
      </c>
      <c r="AE66" s="598">
        <f>COUNTIFS($I$7:$I$51,"BOY",$J$7:$J$51,"GEN",AS7:AS51,"&gt;=33",AS7:AS51,"&lt;48")</f>
        <v>0</v>
      </c>
      <c r="AF66" s="598">
        <f>COUNTIFS($I$7:$I$51,"BOY",$J$7:$J$51,"OBC",AS7:AS51,"&gt;=33",AS7:AS51,"&lt;48")</f>
        <v>0</v>
      </c>
      <c r="AG66" s="598">
        <f>COUNTIFS($I$7:$I$51,"BOY",$J$7:$J$51,"SC",AS7:AS51,"&gt;=33",AS7:AS51,"&lt;48")</f>
        <v>0</v>
      </c>
      <c r="AH66" s="598">
        <f>COUNTIFS($I$7:$I$51,"BOY",$J$7:$J$51,"ST",AS7:AS51,"&gt;=33",AS7:AS51,"&lt;48")</f>
        <v>0</v>
      </c>
      <c r="AI66" s="599">
        <f t="shared" si="215"/>
        <v>0</v>
      </c>
      <c r="AJ66" s="598">
        <f>COUNTIFS($I$7:$I$51,"GIRL",$J$7:$J$51,"GEN",AS7:AS51,"&gt;=33",AS7:AS51,"&lt;48")</f>
        <v>0</v>
      </c>
      <c r="AK66" s="598">
        <f>COUNTIFS($I$7:$I$51,"GIRL",$J$7:$J$51,"OBC",AS7:AS51,"&gt;=33",AS7:AS51,"&lt;48")</f>
        <v>0</v>
      </c>
      <c r="AL66" s="598">
        <f>COUNTIFS($I$7:$I$51,"GIRL",$J$7:$J$51,"SC",AS7:AS51,"&gt;=33",AS7:AS51,"&lt;48")</f>
        <v>0</v>
      </c>
      <c r="AM66" s="598">
        <f>COUNTIFS($I$7:$I$51,"GIRL",$J$7:$J$51,"ST",AS7:AS51,"&gt;=33",AS7:AS51,"&lt;48")</f>
        <v>0</v>
      </c>
      <c r="AN66" s="599">
        <f t="shared" si="216"/>
        <v>0</v>
      </c>
      <c r="AO66" s="602">
        <f t="shared" si="217"/>
        <v>0</v>
      </c>
      <c r="AP66" s="1220" t="s">
        <v>189</v>
      </c>
      <c r="AQ66" s="1221"/>
      <c r="AR66" s="1221"/>
      <c r="AS66" s="1222"/>
      <c r="AT66" s="1223">
        <f>COUNTIFS($AS$7:$AS$51,"&gt;=60",$AR$7:$AR$51,"&gt;=16.5",$AQ$7:$AQ$51,"&gt;=6.6")</f>
        <v>0</v>
      </c>
      <c r="AU66" s="1224"/>
      <c r="AV66" s="1225"/>
      <c r="AW66" s="128"/>
      <c r="AX66" s="177" t="s">
        <v>191</v>
      </c>
      <c r="AY66" s="598">
        <f>COUNTIFS($I$7:$I$51,"BOY",$J$7:$J$51,"GEN",BL7:BL51,"&gt;=33",BL7:BL51,"&lt;48")</f>
        <v>0</v>
      </c>
      <c r="AZ66" s="598">
        <f>COUNTIFS($I$7:$I$51,"BOY",$J$7:$J$51,"OBC",BL7:BL51,"&gt;=33",BL7:BL51,"&lt;48")</f>
        <v>0</v>
      </c>
      <c r="BA66" s="598">
        <f>COUNTIFS($I$7:$I$51,"BOY",$J$7:$J$51,"SC",BL7:BL51,"&gt;=33",BL7:BL51,"&lt;48")</f>
        <v>0</v>
      </c>
      <c r="BB66" s="598">
        <f>COUNTIFS($I$7:$I$51,"BOY",$J$7:$J$51,"ST",BL7:BL51,"&gt;=33",BL7:BL51,"&lt;48")</f>
        <v>0</v>
      </c>
      <c r="BC66" s="599">
        <f t="shared" si="218"/>
        <v>0</v>
      </c>
      <c r="BD66" s="598">
        <f>COUNTIFS($I$7:$I$51,"GIRL",$J$7:$J$51,"GEN",BL7:BL51,"&gt;=33",BL7:BL51,"&lt;48")</f>
        <v>0</v>
      </c>
      <c r="BE66" s="598">
        <f>COUNTIFS($I$7:$I$51,"GIRL",$J$7:$J$51,"OBC",BL7:BL51,"&gt;=33",BL7:BL51,"&lt;48")</f>
        <v>0</v>
      </c>
      <c r="BF66" s="598">
        <f>COUNTIFS($I$7:$I$51,"GIRL",$J$7:$J$51,"SC",BL7:BL51,"&gt;=33",BL7:BL51,"&lt;48")</f>
        <v>0</v>
      </c>
      <c r="BG66" s="598">
        <f>COUNTIFS($I$7:$I$51,"GIRL",$J$7:$J$51,"ST",BL7:BL51,"&gt;=33",BL7:BL51,"&lt;48")</f>
        <v>0</v>
      </c>
      <c r="BH66" s="599">
        <f t="shared" si="219"/>
        <v>0</v>
      </c>
      <c r="BI66" s="602">
        <f t="shared" si="220"/>
        <v>0</v>
      </c>
      <c r="BJ66" s="1220" t="s">
        <v>189</v>
      </c>
      <c r="BK66" s="1221"/>
      <c r="BL66" s="1221"/>
      <c r="BM66" s="1222"/>
      <c r="BN66" s="1223">
        <f>COUNTIFS(BL7:BL51,"&gt;=60",BJ7:BJ51,"&gt;=25",BK7:BK51,"&gt;=8")</f>
        <v>3</v>
      </c>
      <c r="BO66" s="1224"/>
      <c r="BP66" s="1225"/>
      <c r="BQ66" s="177" t="s">
        <v>191</v>
      </c>
      <c r="BR66" s="598">
        <f>COUNTIFS($I$7:$I$51,"BOY",$J$7:$J$51,"GEN",CE7:CE51,"&gt;=33",CE7:CE51,"&lt;48")</f>
        <v>0</v>
      </c>
      <c r="BS66" s="598">
        <f>COUNTIFS($I$7:$I$51,"BOY",$J$7:$J$51,"OBC",CE7:CE51,"&gt;=33",CE7:CE51,"&lt;48")</f>
        <v>0</v>
      </c>
      <c r="BT66" s="598">
        <f>COUNTIFS($I$7:$I$51,"BOY",$J$7:$J$51,"SC",CE7:CE51,"&gt;=33",CE7:CE51,"&lt;48")</f>
        <v>0</v>
      </c>
      <c r="BU66" s="598">
        <f>COUNTIFS($I$7:$I$51,"BOY",$J$7:$J$51,"ST",CE7:CE51,"&gt;=33",CE7:CE51,"&lt;48")</f>
        <v>0</v>
      </c>
      <c r="BV66" s="599">
        <f t="shared" si="221"/>
        <v>0</v>
      </c>
      <c r="BW66" s="598">
        <f>COUNTIFS($I$7:$I$51,"GIRL",$J$7:$J$51,"GEN",CE7:CE51,"&gt;=33",CE7:CE51,"&lt;48")</f>
        <v>0</v>
      </c>
      <c r="BX66" s="598">
        <f>COUNTIFS($I$7:$I$51,"GIRL",$J$7:$J$51,"OBC",CE7:CE51,"&gt;=33",CE7:CE51,"&lt;48")</f>
        <v>0</v>
      </c>
      <c r="BY66" s="598">
        <f>COUNTIFS($I$7:$I$51,"GIRL",$J$7:$J$51,"SC",CE7:CE51,"&gt;=33",CE7:CE51,"&lt;48")</f>
        <v>0</v>
      </c>
      <c r="BZ66" s="598">
        <f>COUNTIFS($I$7:$I$51,"GIRL",$J$7:$J$51,"ST",CE7:CE51,"&gt;=33",CE7:CE51,"&lt;48")</f>
        <v>0</v>
      </c>
      <c r="CA66" s="599">
        <f t="shared" si="222"/>
        <v>0</v>
      </c>
      <c r="CB66" s="602">
        <f t="shared" si="223"/>
        <v>0</v>
      </c>
      <c r="CC66" s="1220" t="s">
        <v>189</v>
      </c>
      <c r="CD66" s="1221"/>
      <c r="CE66" s="1221"/>
      <c r="CF66" s="1222"/>
      <c r="CG66" s="1223">
        <f>COUNTIFS(CE7:CE51,"&gt;=60",CC7:CC51,"&gt;=25",CD7:CD51,"&gt;=8")</f>
        <v>3</v>
      </c>
      <c r="CH66" s="1224"/>
      <c r="CI66" s="1225"/>
      <c r="CJ66" s="177" t="s">
        <v>191</v>
      </c>
      <c r="CK66" s="598">
        <f>COUNTIFS($I$7:$I$51,"BOY",$J$7:$J$51,"GEN",CX7:CX51,"&gt;=33",CX7:CX51,"&lt;48")</f>
        <v>0</v>
      </c>
      <c r="CL66" s="598">
        <f>COUNTIFS($I$7:$I$51,"BOY",$J$7:$J$51,"OBC",CX7:CX51,"&gt;=33",CX7:CX51,"&lt;48")</f>
        <v>0</v>
      </c>
      <c r="CM66" s="598">
        <f>COUNTIFS($I$7:$I$51,"BOY",$J$7:$J$51,"SC",CX7:CX51,"&gt;=33",CX7:CX51,"&lt;48")</f>
        <v>0</v>
      </c>
      <c r="CN66" s="598">
        <f>COUNTIFS($I$7:$I$51,"BOY",$J$7:$J$51,"ST",CX7:CX51,"&gt;=33",CX7:CX51,"&lt;48")</f>
        <v>0</v>
      </c>
      <c r="CO66" s="599">
        <f t="shared" si="224"/>
        <v>0</v>
      </c>
      <c r="CP66" s="598">
        <f>COUNTIFS($I$7:$I$51,"GIRL",$J$7:$J$51,"GEN",CX7:CX51,"&gt;=33",CX7:CX51,"&lt;48")</f>
        <v>0</v>
      </c>
      <c r="CQ66" s="598">
        <f>COUNTIFS($I$7:$I$51,"GIRL",$J$7:$J$51,"OBC",CX7:CX51,"&gt;=33",CX7:CX51,"&lt;48")</f>
        <v>0</v>
      </c>
      <c r="CR66" s="598">
        <f>COUNTIFS($I$7:$I$51,"GIRL",$J$7:$J$51,"SC",CX7:CX51,"&gt;=33",CX7:CX51,"&lt;48")</f>
        <v>0</v>
      </c>
      <c r="CS66" s="598">
        <f>COUNTIFS($I$7:$I$51,"GIRL",$J$7:$J$51,"ST",CX7:CX51,"&gt;=33",CX7:CX51,"&lt;48")</f>
        <v>0</v>
      </c>
      <c r="CT66" s="599">
        <f t="shared" si="225"/>
        <v>0</v>
      </c>
      <c r="CU66" s="602">
        <f t="shared" si="226"/>
        <v>0</v>
      </c>
      <c r="CV66" s="1220" t="s">
        <v>189</v>
      </c>
      <c r="CW66" s="1221"/>
      <c r="CX66" s="1221"/>
      <c r="CY66" s="1222"/>
      <c r="CZ66" s="1223">
        <f>COUNTIFS(CX7:CX51,"&gt;=60",CV7:CV51,"&gt;=25",CW7:CW51,"&gt;=8")</f>
        <v>0</v>
      </c>
      <c r="DA66" s="1224"/>
      <c r="DB66" s="1225"/>
      <c r="DC66" s="177" t="s">
        <v>191</v>
      </c>
      <c r="DD66" s="598">
        <f>COUNTIFS($I$7:$I$51,"BOY",$J$7:$J$51,"GEN",DQ7:DQ51,"&gt;=33",DQ7:DQ51,"&lt;48")</f>
        <v>0</v>
      </c>
      <c r="DE66" s="598">
        <f>COUNTIFS($I$7:$I$51,"BOY",$J$7:$J$51,"OBC",DQ7:DQ51,"&gt;=33",DQ7:DQ51,"&lt;48")</f>
        <v>0</v>
      </c>
      <c r="DF66" s="598">
        <f>COUNTIFS($I$7:$I$51,"BOY",$J$7:$J$51,"SC",DQ7:DQ51,"&gt;=33",DQ7:DQ51,"&lt;48")</f>
        <v>0</v>
      </c>
      <c r="DG66" s="598">
        <f>COUNTIFS($I$7:$I$51,"BOY",$J$7:$J$51,"ST",DQ7:DQ51,"&gt;=33",DQ7:DQ51,"&lt;48")</f>
        <v>0</v>
      </c>
      <c r="DH66" s="599">
        <f t="shared" si="227"/>
        <v>0</v>
      </c>
      <c r="DI66" s="598">
        <f>COUNTIFS($I$7:$I$51,"GIRL",$J$7:$J$51,"GEN",DQ7:DQ51,"&gt;=33",DQ7:DQ51,"&lt;48")</f>
        <v>0</v>
      </c>
      <c r="DJ66" s="598">
        <f>COUNTIFS($I$7:$I$51,"GIRL",$J$7:$J$51,"OBC",DQ7:DQ51,"&gt;=33",DQ7:DQ51,"&lt;48")</f>
        <v>0</v>
      </c>
      <c r="DK66" s="598">
        <f>COUNTIFS($I$7:$I$51,"GIRL",$J$7:$J$51,"SC",DQ7:DQ51,"&gt;=33",DQ7:DQ51,"&lt;48")</f>
        <v>0</v>
      </c>
      <c r="DL66" s="598">
        <f>COUNTIFS($I$7:$I$51,"GIRL",$J$7:$J$51,"ST",DQ7:DQ51,"&gt;=33",DQ7:DQ51,"&lt;48")</f>
        <v>0</v>
      </c>
      <c r="DM66" s="599">
        <f t="shared" si="228"/>
        <v>0</v>
      </c>
      <c r="DN66" s="602">
        <f t="shared" si="229"/>
        <v>0</v>
      </c>
      <c r="DO66" s="1220" t="s">
        <v>189</v>
      </c>
      <c r="DP66" s="1221"/>
      <c r="DQ66" s="1221"/>
      <c r="DR66" s="1222"/>
      <c r="DS66" s="1223">
        <f>COUNTIFS(DQ7:DQ51,"&gt;=60",DO7:DO51,"&gt;=25",DP7:DP51,"&gt;=8")</f>
        <v>3</v>
      </c>
      <c r="DT66" s="1224"/>
      <c r="DU66" s="1225"/>
      <c r="DV66" s="130" t="str">
        <f t="shared" si="175"/>
        <v/>
      </c>
      <c r="DW66" s="72" t="str">
        <f t="shared" si="176"/>
        <v/>
      </c>
      <c r="DX66" s="72" t="str">
        <f t="shared" si="177"/>
        <v/>
      </c>
      <c r="DY66" s="72" t="str">
        <f t="shared" si="178"/>
        <v/>
      </c>
      <c r="DZ66" s="72" t="str">
        <f t="shared" si="179"/>
        <v/>
      </c>
      <c r="EA66" s="72" t="str">
        <f t="shared" si="180"/>
        <v/>
      </c>
      <c r="EB66" s="76" t="str">
        <f t="shared" si="181"/>
        <v/>
      </c>
      <c r="EC66" s="76" t="str">
        <f t="shared" si="182"/>
        <v/>
      </c>
      <c r="ED66" s="76" t="str">
        <f t="shared" si="183"/>
        <v/>
      </c>
      <c r="EE66" s="76" t="str">
        <f t="shared" si="184"/>
        <v/>
      </c>
      <c r="EF66" s="76" t="str">
        <f t="shared" si="185"/>
        <v/>
      </c>
      <c r="EG66" s="76" t="str">
        <f t="shared" si="186"/>
        <v/>
      </c>
      <c r="EH66" s="1254"/>
      <c r="EI66" s="1255"/>
      <c r="EJ66" s="1255"/>
      <c r="EK66" s="1255"/>
      <c r="EL66" s="1255"/>
      <c r="EM66" s="1255"/>
      <c r="EN66" s="1255"/>
      <c r="EO66" s="1250"/>
      <c r="EP66" s="494"/>
      <c r="EQ66" s="494"/>
      <c r="ER66" s="494"/>
      <c r="ES66" s="494"/>
      <c r="ET66" s="494"/>
      <c r="EU66" s="494"/>
      <c r="EV66" s="1174"/>
      <c r="EW66" s="1174"/>
      <c r="EX66" s="1174"/>
      <c r="EY66" s="1174"/>
      <c r="EZ66" s="1174"/>
      <c r="FA66" s="1174"/>
      <c r="FB66" s="1174"/>
      <c r="FC66" s="1174"/>
      <c r="FD66" s="1174"/>
      <c r="FE66" s="1174"/>
      <c r="FF66" s="1174"/>
      <c r="FG66" s="1175"/>
      <c r="FH66" s="1263"/>
      <c r="FI66" s="1263"/>
      <c r="FJ66" s="1263"/>
      <c r="FK66" s="1263"/>
      <c r="FL66" s="1263"/>
      <c r="FM66" s="1276"/>
      <c r="FN66" s="363"/>
    </row>
    <row r="67" spans="1:170" s="362" customFormat="1" ht="18.75" customHeight="1" x14ac:dyDescent="0.3">
      <c r="A67" s="6"/>
      <c r="B67" s="512"/>
      <c r="C67" s="25"/>
      <c r="D67" s="25"/>
      <c r="E67" s="45"/>
      <c r="F67" s="45"/>
      <c r="G67" s="45"/>
      <c r="H67" s="45"/>
      <c r="I67" s="45"/>
      <c r="J67" s="45"/>
      <c r="K67" s="45"/>
      <c r="L67" s="1178" t="s">
        <v>56</v>
      </c>
      <c r="M67" s="1179"/>
      <c r="N67" s="1184">
        <f>COUNTIFS($I$7:$I$51,"BOY",$J$7:$J$51,"GEN",Y7:Y51,"&lt;33")</f>
        <v>0</v>
      </c>
      <c r="O67" s="1185"/>
      <c r="P67" s="1184">
        <f>COUNTIFS($I$7:$I$51,"BOY",$J$7:$J$51,"OBC",Y7:Y51,"&lt;33")</f>
        <v>0</v>
      </c>
      <c r="Q67" s="1185"/>
      <c r="R67" s="598">
        <f>COUNTIFS($I$7:$I$51,"BOY",$J$7:$J$51,"SC",Y7:Y51,"&lt;33")</f>
        <v>0</v>
      </c>
      <c r="S67" s="598">
        <f>COUNTIFS($I$7:$I$51,"BOY",$J$7:$J$51,"ST",Y7:Y51,"&lt;33")</f>
        <v>0</v>
      </c>
      <c r="T67" s="599">
        <f t="shared" si="212"/>
        <v>0</v>
      </c>
      <c r="U67" s="598">
        <f>COUNTIFS($I$7:$I$51,"GIRL",$J$7:$J$51,"GEN",Y7:Y51,"&lt;33")</f>
        <v>0</v>
      </c>
      <c r="V67" s="598">
        <f>COUNTIFS($I$7:$I$51,"GIRL",$J$7:$J$51,"OBC",Y7:Y51,"&lt;33")</f>
        <v>0</v>
      </c>
      <c r="W67" s="1184">
        <f>COUNTIFS($I$7:$I$51,"GIRL",$J$7:$J$51,"SC",Y7:Y51,"&lt;33")</f>
        <v>0</v>
      </c>
      <c r="X67" s="1185"/>
      <c r="Y67" s="598">
        <f>COUNTIFS($I$7:$I$51,"GIRL",$J$7:$J$51,"ST",Y7:Y51,"&lt;33")</f>
        <v>0</v>
      </c>
      <c r="Z67" s="599">
        <f t="shared" si="213"/>
        <v>0</v>
      </c>
      <c r="AA67" s="602">
        <f t="shared" si="214"/>
        <v>0</v>
      </c>
      <c r="AB67" s="127" t="s">
        <v>190</v>
      </c>
      <c r="AC67" s="129">
        <f>COUNTIFS(Y7:Y51,"&gt;=48",V7:V51,"&gt;=6",W7:W51,"&gt;=26",Y7:Y51,"&lt;60")</f>
        <v>0</v>
      </c>
      <c r="AD67" s="177" t="s">
        <v>56</v>
      </c>
      <c r="AE67" s="598">
        <f>COUNTIFS($I$7:$I$51,"BOY",$J$7:$J$51,"GEN",AS7:AS51,"&lt;33")</f>
        <v>0</v>
      </c>
      <c r="AF67" s="598">
        <f>COUNTIFS($I$7:$I$51,"BOY",$J$7:$J$51,"OBC",AS7:AS51,"&lt;33")</f>
        <v>0</v>
      </c>
      <c r="AG67" s="598">
        <f>COUNTIFS($I$7:$I$51,"BOY",$J$7:$J$51,"SC",AS7:AS51,"&lt;33")</f>
        <v>0</v>
      </c>
      <c r="AH67" s="598">
        <f>COUNTIFS($I$7:$I$51,"BOY",$J$7:$J$51,"ST",AS7:AS51,"&lt;33")</f>
        <v>0</v>
      </c>
      <c r="AI67" s="599">
        <f t="shared" si="215"/>
        <v>0</v>
      </c>
      <c r="AJ67" s="598">
        <f>COUNTIFS($I$7:$I$51,"GIRL",$J$7:$J$51,"GEN",AS7:AS51,"&lt;33")</f>
        <v>0</v>
      </c>
      <c r="AK67" s="598">
        <f>COUNTIFS($I$7:$I$51,"GIRL",$J$7:$J$51,"OBC",AS7:AS51,"&lt;33")</f>
        <v>0</v>
      </c>
      <c r="AL67" s="598">
        <f>COUNTIFS($I$7:$I$51,"GIRL",$J$7:$J$51,"SC",AS7:AS51,"&lt;33")</f>
        <v>0</v>
      </c>
      <c r="AM67" s="598">
        <f>COUNTIFS($I$7:$I$51,"GIRL",$J$7:$J$51,"ST",AS7:AS51,"&lt;33")</f>
        <v>0</v>
      </c>
      <c r="AN67" s="599">
        <f t="shared" si="216"/>
        <v>0</v>
      </c>
      <c r="AO67" s="602">
        <f t="shared" si="217"/>
        <v>0</v>
      </c>
      <c r="AP67" s="1220" t="s">
        <v>190</v>
      </c>
      <c r="AQ67" s="1221"/>
      <c r="AR67" s="1221"/>
      <c r="AS67" s="1222"/>
      <c r="AT67" s="1223">
        <f>COUNTIFS($AS$7:$AS$51,"&gt;=48",$AS$7:$AS$51,"&lt;60",$AR$7:$AR$51,"&gt;=16.5",$AQ$7:$AQ$51,"&gt;=6.6")</f>
        <v>0</v>
      </c>
      <c r="AU67" s="1224"/>
      <c r="AV67" s="1225"/>
      <c r="AW67" s="128"/>
      <c r="AX67" s="177" t="s">
        <v>56</v>
      </c>
      <c r="AY67" s="598">
        <f>COUNTIFS($I$7:$I$51,"BOY",$J$7:$J$51,"GEN",BL7:BL51,"&lt;33")</f>
        <v>0</v>
      </c>
      <c r="AZ67" s="598">
        <f>COUNTIFS($I$7:$I$51,"BOY",$J$7:$J$51,"OBC",BL7:BL51,"&lt;33")</f>
        <v>0</v>
      </c>
      <c r="BA67" s="598">
        <f>COUNTIFS($I$7:$I$51,"BOY",$J$7:$J$51,"SC",BL7:BL51,"&lt;33")</f>
        <v>0</v>
      </c>
      <c r="BB67" s="598">
        <f>COUNTIFS($I$7:$I$51,"BOY",$J$7:$J$51,"ST",BL7:BL51,"&lt;33")</f>
        <v>0</v>
      </c>
      <c r="BC67" s="599">
        <f t="shared" si="218"/>
        <v>0</v>
      </c>
      <c r="BD67" s="598">
        <f>COUNTIFS($I$7:$I$51,"GIRL",$J$7:$J$51,"GEN",BL7:BL51,"&lt;33")</f>
        <v>0</v>
      </c>
      <c r="BE67" s="598">
        <f>COUNTIFS($I$7:$I$51,"GIRL",$J$7:$J$51,"OBC",BL7:BL51,"&lt;33")</f>
        <v>0</v>
      </c>
      <c r="BF67" s="598">
        <f>COUNTIFS($I$7:$I$51,"GIRL",$J$7:$J$51,"SC",BL7:BL51,"&lt;33")</f>
        <v>0</v>
      </c>
      <c r="BG67" s="598">
        <f>COUNTIFS($I$7:$I$51,"GIRL",$J$7:$J$51,"ST",BL7:BL51,"&lt;33")</f>
        <v>0</v>
      </c>
      <c r="BH67" s="599">
        <f t="shared" si="219"/>
        <v>0</v>
      </c>
      <c r="BI67" s="602">
        <f t="shared" si="220"/>
        <v>0</v>
      </c>
      <c r="BJ67" s="1220" t="s">
        <v>190</v>
      </c>
      <c r="BK67" s="1221"/>
      <c r="BL67" s="1221"/>
      <c r="BM67" s="1222"/>
      <c r="BN67" s="1223">
        <f>COUNTIFS(BL7:BL51,"&gt;=48",BL7:BL51,"&lt;60",BJ7:BJ51,"&gt;=25",BK7:BK51,"&gt;=8")</f>
        <v>0</v>
      </c>
      <c r="BO67" s="1224"/>
      <c r="BP67" s="1225"/>
      <c r="BQ67" s="177" t="s">
        <v>56</v>
      </c>
      <c r="BR67" s="598">
        <f>COUNTIFS($I$7:$I$51,"BOY",$J$7:$J$51,"GEN",CE7:CE51,"&lt;33")</f>
        <v>0</v>
      </c>
      <c r="BS67" s="598">
        <f>COUNTIFS($I$7:$I$51,"BOY",$J$7:$J$51,"OBC",CE7:CE51,"&lt;33")</f>
        <v>0</v>
      </c>
      <c r="BT67" s="598">
        <f>COUNTIFS($I$7:$I$51,"BOY",$J$7:$J$51,"SC",CE7:CE51,"&lt;33")</f>
        <v>0</v>
      </c>
      <c r="BU67" s="598">
        <f>COUNTIFS($I$7:$I$51,"BOY",$J$7:$J$51,"ST",CE7:CE51,"&lt;33")</f>
        <v>0</v>
      </c>
      <c r="BV67" s="599">
        <f t="shared" si="221"/>
        <v>0</v>
      </c>
      <c r="BW67" s="598">
        <f>COUNTIFS($I$7:$I$51,"GIRL",$J$7:$J$51,"GEN",CE7:CE51,"&lt;33")</f>
        <v>0</v>
      </c>
      <c r="BX67" s="598">
        <f>COUNTIFS($I$7:$I$51,"GIRL",$J$7:$J$51,"OBC",CE7:CE51,"&lt;33")</f>
        <v>0</v>
      </c>
      <c r="BY67" s="598">
        <f>COUNTIFS($I$7:$I$51,"GIRL",$J$7:$J$51,"SC",CE7:CE51,"&lt;33")</f>
        <v>0</v>
      </c>
      <c r="BZ67" s="598">
        <f>COUNTIFS($I$7:$I$51,"GIRL",$J$7:$J$51,"ST",CE7:CE51,"&lt;33")</f>
        <v>0</v>
      </c>
      <c r="CA67" s="599">
        <f t="shared" si="222"/>
        <v>0</v>
      </c>
      <c r="CB67" s="602">
        <f t="shared" si="223"/>
        <v>0</v>
      </c>
      <c r="CC67" s="1220" t="s">
        <v>190</v>
      </c>
      <c r="CD67" s="1221"/>
      <c r="CE67" s="1221"/>
      <c r="CF67" s="1222"/>
      <c r="CG67" s="1223">
        <f>COUNTIFS(CE7:CE51,"&gt;=48",CE7:CE51,"&lt;60",CC7:CC51,"&gt;=25",CD7:CD51,"&gt;=8")</f>
        <v>0</v>
      </c>
      <c r="CH67" s="1224"/>
      <c r="CI67" s="1225"/>
      <c r="CJ67" s="177" t="s">
        <v>56</v>
      </c>
      <c r="CK67" s="598">
        <f>COUNTIFS($I$7:$I$51,"BOY",$J$7:$J$51,"GEN",CX7:CX51,"&lt;33")</f>
        <v>0</v>
      </c>
      <c r="CL67" s="598">
        <f>COUNTIFS($I$7:$I$51,"BOY",$J$7:$J$51,"OBC",CX7:CX51,"&lt;33")</f>
        <v>0</v>
      </c>
      <c r="CM67" s="598">
        <f>COUNTIFS($I$7:$I$51,"BOY",$J$7:$J$51,"SC",CX7:CX51,"&lt;33")</f>
        <v>0</v>
      </c>
      <c r="CN67" s="598">
        <f>COUNTIFS($I$7:$I$51,"BOY",$J$7:$J$51,"ST",CX7:CX51,"&lt;33")</f>
        <v>0</v>
      </c>
      <c r="CO67" s="599">
        <f t="shared" si="224"/>
        <v>0</v>
      </c>
      <c r="CP67" s="598">
        <f>COUNTIFS($I$7:$I$51,"GIRL",$J$7:$J$51,"GEN",CX7:CX51,"&lt;33")</f>
        <v>0</v>
      </c>
      <c r="CQ67" s="598">
        <f>COUNTIFS($I$7:$I$51,"GIRL",$J$7:$J$51,"OBC",CX7:CX51,"&lt;33")</f>
        <v>0</v>
      </c>
      <c r="CR67" s="598">
        <f>COUNTIFS($I$7:$I$51,"GIRL",$J$7:$J$51,"SC",CX7:CX51,"&lt;33")</f>
        <v>0</v>
      </c>
      <c r="CS67" s="598">
        <f>COUNTIFS($I$7:$I$51,"GIRL",$J$7:$J$51,"ST",CX7:CX51,"&lt;33")</f>
        <v>0</v>
      </c>
      <c r="CT67" s="599">
        <f t="shared" si="225"/>
        <v>0</v>
      </c>
      <c r="CU67" s="602">
        <f t="shared" si="226"/>
        <v>0</v>
      </c>
      <c r="CV67" s="1220" t="s">
        <v>190</v>
      </c>
      <c r="CW67" s="1221"/>
      <c r="CX67" s="1221"/>
      <c r="CY67" s="1222"/>
      <c r="CZ67" s="1223">
        <f>COUNTIFS(CX7:CX51,"&gt;=48",CX7:CX51,"&lt;60",CV7:CV51,"&gt;=25",CW7:CW51,"&gt;=8")</f>
        <v>1</v>
      </c>
      <c r="DA67" s="1224"/>
      <c r="DB67" s="1225"/>
      <c r="DC67" s="177" t="s">
        <v>56</v>
      </c>
      <c r="DD67" s="598">
        <f>COUNTIFS($I$7:$I$51,"BOY",$J$7:$J$51,"GEN",DQ7:DQ51,"&lt;33")</f>
        <v>0</v>
      </c>
      <c r="DE67" s="598">
        <f>COUNTIFS($I$7:$I$51,"BOY",$J$7:$J$51,"OBC",DQ7:DQ51,"&lt;33")</f>
        <v>0</v>
      </c>
      <c r="DF67" s="598">
        <f>COUNTIFS($I$7:$I$51,"BOY",$J$7:$J$51,"SC",DQ7:DQ51,"&lt;33")</f>
        <v>0</v>
      </c>
      <c r="DG67" s="598">
        <f>COUNTIFS($I$7:$I$51,"BOY",$J$7:$J$51,"ST",DQ7:DQ51,"&lt;33")</f>
        <v>0</v>
      </c>
      <c r="DH67" s="599">
        <f t="shared" si="227"/>
        <v>0</v>
      </c>
      <c r="DI67" s="598">
        <f>COUNTIFS($I$7:$I$51,"GIRL",$J$7:$J$51,"GEN",DQ7:DQ51,"&lt;33")</f>
        <v>0</v>
      </c>
      <c r="DJ67" s="598">
        <f>COUNTIFS($I$7:$I$51,"GIRL",$J$7:$J$51,"OBC",DQ7:DQ51,"&lt;33")</f>
        <v>0</v>
      </c>
      <c r="DK67" s="598">
        <f>COUNTIFS($I$7:$I$51,"GIRL",$J$7:$J$51,"SC",DQ7:DQ51,"&lt;33")</f>
        <v>0</v>
      </c>
      <c r="DL67" s="598">
        <f>COUNTIFS($I$7:$I$51,"GIRL",$J$7:$J$51,"ST",DQ7:DQ51,"&lt;33")</f>
        <v>0</v>
      </c>
      <c r="DM67" s="599">
        <f t="shared" si="228"/>
        <v>0</v>
      </c>
      <c r="DN67" s="602">
        <f t="shared" si="229"/>
        <v>0</v>
      </c>
      <c r="DO67" s="1220" t="s">
        <v>190</v>
      </c>
      <c r="DP67" s="1221"/>
      <c r="DQ67" s="1221"/>
      <c r="DR67" s="1222"/>
      <c r="DS67" s="1223">
        <f>COUNTIFS(DQ7:DQ51,"&gt;=48",DQ7:DQ51,"&lt;60",DO7:DO51,"&gt;=25",DP7:DP51,"&gt;=8")</f>
        <v>0</v>
      </c>
      <c r="DT67" s="1224"/>
      <c r="DU67" s="1225"/>
      <c r="DV67" s="130" t="str">
        <f t="shared" si="175"/>
        <v/>
      </c>
      <c r="DW67" s="72" t="str">
        <f t="shared" si="176"/>
        <v/>
      </c>
      <c r="DX67" s="72" t="str">
        <f t="shared" si="177"/>
        <v/>
      </c>
      <c r="DY67" s="72" t="str">
        <f t="shared" si="178"/>
        <v/>
      </c>
      <c r="DZ67" s="72" t="str">
        <f t="shared" si="179"/>
        <v/>
      </c>
      <c r="EA67" s="72" t="str">
        <f t="shared" si="180"/>
        <v/>
      </c>
      <c r="EB67" s="76" t="str">
        <f t="shared" si="181"/>
        <v/>
      </c>
      <c r="EC67" s="76" t="str">
        <f t="shared" si="182"/>
        <v/>
      </c>
      <c r="ED67" s="76" t="str">
        <f t="shared" si="183"/>
        <v/>
      </c>
      <c r="EE67" s="76" t="str">
        <f t="shared" si="184"/>
        <v/>
      </c>
      <c r="EF67" s="76" t="str">
        <f t="shared" si="185"/>
        <v/>
      </c>
      <c r="EG67" s="76" t="str">
        <f t="shared" si="186"/>
        <v/>
      </c>
      <c r="EH67" s="1161" t="str">
        <f>IF(FJ52="0","","CLASS -  "&amp;DASHBOARD!B8&amp;DASHBOARD!C8)</f>
        <v>CLASS -  XI A</v>
      </c>
      <c r="EI67" s="1162"/>
      <c r="EJ67" s="1162"/>
      <c r="EK67" s="1162"/>
      <c r="EL67" s="1162"/>
      <c r="EM67" s="1162"/>
      <c r="EN67" s="1163"/>
      <c r="EO67" s="1250"/>
      <c r="EP67" s="494"/>
      <c r="EQ67" s="494"/>
      <c r="ER67" s="494"/>
      <c r="ES67" s="494"/>
      <c r="ET67" s="494"/>
      <c r="EU67" s="494"/>
      <c r="EV67" s="1174"/>
      <c r="EW67" s="1174"/>
      <c r="EX67" s="1174"/>
      <c r="EY67" s="1174"/>
      <c r="EZ67" s="1174"/>
      <c r="FA67" s="1174"/>
      <c r="FB67" s="1174"/>
      <c r="FC67" s="1174"/>
      <c r="FD67" s="1174"/>
      <c r="FE67" s="1174"/>
      <c r="FF67" s="1174"/>
      <c r="FG67" s="1175"/>
      <c r="FH67" s="1256" t="str">
        <f>IF(DASHBOARD!G8="","",DASHBOARD!G8)</f>
        <v>SUREKHA</v>
      </c>
      <c r="FI67" s="1258" t="str">
        <f>IF(DASHBOARD!H8="","",DASHBOARD!H8)</f>
        <v>SUREKHA</v>
      </c>
      <c r="FJ67" s="1256" t="str">
        <f>IF(DASHBOARD!D8="","",DASHBOARD!D8)</f>
        <v>NILESH KUMAR KHATIK</v>
      </c>
      <c r="FK67" s="1258"/>
      <c r="FL67" s="1258"/>
      <c r="FM67" s="1275"/>
      <c r="FN67" s="363"/>
    </row>
    <row r="68" spans="1:170" s="362" customFormat="1" ht="18.75" customHeight="1" x14ac:dyDescent="0.3">
      <c r="A68" s="6"/>
      <c r="B68" s="512"/>
      <c r="C68" s="82"/>
      <c r="D68" s="82"/>
      <c r="E68" s="83"/>
      <c r="F68" s="83"/>
      <c r="G68" s="83"/>
      <c r="H68" s="83"/>
      <c r="I68" s="83"/>
      <c r="J68" s="83"/>
      <c r="K68" s="83"/>
      <c r="L68" s="1178" t="s">
        <v>167</v>
      </c>
      <c r="M68" s="1179"/>
      <c r="N68" s="1182">
        <f>N78-N76</f>
        <v>0</v>
      </c>
      <c r="O68" s="1183"/>
      <c r="P68" s="1182">
        <f>P78-P76</f>
        <v>0</v>
      </c>
      <c r="Q68" s="1183"/>
      <c r="R68" s="607">
        <f>R78-R76</f>
        <v>0</v>
      </c>
      <c r="S68" s="607">
        <f>S78-S76</f>
        <v>0</v>
      </c>
      <c r="T68" s="599">
        <f t="shared" si="212"/>
        <v>0</v>
      </c>
      <c r="U68" s="607">
        <f>U78-U76</f>
        <v>0</v>
      </c>
      <c r="V68" s="607">
        <f>V78-V76</f>
        <v>0</v>
      </c>
      <c r="W68" s="1182">
        <f>W78-W76</f>
        <v>0</v>
      </c>
      <c r="X68" s="1183"/>
      <c r="Y68" s="607">
        <f>Y78-Y76</f>
        <v>0</v>
      </c>
      <c r="Z68" s="599">
        <f t="shared" si="213"/>
        <v>0</v>
      </c>
      <c r="AA68" s="602">
        <f t="shared" si="214"/>
        <v>0</v>
      </c>
      <c r="AB68" s="127" t="s">
        <v>191</v>
      </c>
      <c r="AC68" s="129">
        <f>COUNTIFS(Y7:Y51,"&gt;=33",V7:V51,"&gt;=6",W7:W51,"&gt;=26",Y7:Y51,"&lt;48")</f>
        <v>1</v>
      </c>
      <c r="AD68" s="177" t="s">
        <v>167</v>
      </c>
      <c r="AE68" s="607">
        <f>AE78-AE76</f>
        <v>0</v>
      </c>
      <c r="AF68" s="607">
        <f>AF78-AF76</f>
        <v>0</v>
      </c>
      <c r="AG68" s="607">
        <f>AG78-AG76</f>
        <v>0</v>
      </c>
      <c r="AH68" s="607">
        <f>AH78-AH76</f>
        <v>0</v>
      </c>
      <c r="AI68" s="599">
        <f t="shared" si="215"/>
        <v>0</v>
      </c>
      <c r="AJ68" s="607">
        <f>AJ78-AJ76</f>
        <v>0</v>
      </c>
      <c r="AK68" s="607">
        <f>AK78-AK76</f>
        <v>0</v>
      </c>
      <c r="AL68" s="607">
        <f>AL78-AL76</f>
        <v>0</v>
      </c>
      <c r="AM68" s="607">
        <f>AS78-AS76</f>
        <v>0</v>
      </c>
      <c r="AN68" s="599">
        <f t="shared" si="216"/>
        <v>0</v>
      </c>
      <c r="AO68" s="602">
        <f t="shared" si="217"/>
        <v>0</v>
      </c>
      <c r="AP68" s="1220" t="s">
        <v>191</v>
      </c>
      <c r="AQ68" s="1221"/>
      <c r="AR68" s="1221"/>
      <c r="AS68" s="1222"/>
      <c r="AT68" s="1223">
        <f>COUNTIFS($AS$7:$AS$51,"&gt;=33",$AS$7:$AS$51,"&lt;48",$AR$7:$AR$51,"&gt;=16.5",$AQ$7:$AQ$51,"&gt;=6.6")</f>
        <v>0</v>
      </c>
      <c r="AU68" s="1224"/>
      <c r="AV68" s="1225"/>
      <c r="AW68" s="128"/>
      <c r="AX68" s="177" t="s">
        <v>167</v>
      </c>
      <c r="AY68" s="607">
        <f>AY78-AY76</f>
        <v>0</v>
      </c>
      <c r="AZ68" s="607">
        <f>AZ78-AZ76</f>
        <v>0</v>
      </c>
      <c r="BA68" s="607">
        <f>BA78-BA76</f>
        <v>0</v>
      </c>
      <c r="BB68" s="607">
        <f>BB78-BB76</f>
        <v>0</v>
      </c>
      <c r="BC68" s="599">
        <f t="shared" si="218"/>
        <v>0</v>
      </c>
      <c r="BD68" s="607">
        <f>BD78-BD76</f>
        <v>0</v>
      </c>
      <c r="BE68" s="607">
        <f>BE78-BE76</f>
        <v>0</v>
      </c>
      <c r="BF68" s="607">
        <f>BF78-BF76</f>
        <v>0</v>
      </c>
      <c r="BG68" s="607">
        <f>BG78-BG76</f>
        <v>0</v>
      </c>
      <c r="BH68" s="599">
        <f t="shared" si="219"/>
        <v>0</v>
      </c>
      <c r="BI68" s="602">
        <f t="shared" si="220"/>
        <v>0</v>
      </c>
      <c r="BJ68" s="1220" t="s">
        <v>191</v>
      </c>
      <c r="BK68" s="1221"/>
      <c r="BL68" s="1221"/>
      <c r="BM68" s="1222"/>
      <c r="BN68" s="1223">
        <f>COUNTIFS(BL7:BL51,"&gt;=33",BL7:BL51,"&lt;48",BJ7:BJ51,"&gt;=25",BK7:BK51,"&gt;=8")</f>
        <v>0</v>
      </c>
      <c r="BO68" s="1224"/>
      <c r="BP68" s="1225"/>
      <c r="BQ68" s="177" t="s">
        <v>167</v>
      </c>
      <c r="BR68" s="607">
        <f>BR78-BR76</f>
        <v>0</v>
      </c>
      <c r="BS68" s="607">
        <f>BS78-BS76</f>
        <v>0</v>
      </c>
      <c r="BT68" s="607">
        <f>BT78-BT76</f>
        <v>0</v>
      </c>
      <c r="BU68" s="607">
        <f>BU78-BU76</f>
        <v>0</v>
      </c>
      <c r="BV68" s="599">
        <f t="shared" si="221"/>
        <v>0</v>
      </c>
      <c r="BW68" s="607">
        <f>BW78-BW76</f>
        <v>0</v>
      </c>
      <c r="BX68" s="607">
        <f>BX78-BX76</f>
        <v>0</v>
      </c>
      <c r="BY68" s="607">
        <f>BY78-BY76</f>
        <v>0</v>
      </c>
      <c r="BZ68" s="607">
        <f>BZ78-BZ76</f>
        <v>0</v>
      </c>
      <c r="CA68" s="599">
        <f t="shared" si="222"/>
        <v>0</v>
      </c>
      <c r="CB68" s="602">
        <f t="shared" si="223"/>
        <v>0</v>
      </c>
      <c r="CC68" s="1220" t="s">
        <v>191</v>
      </c>
      <c r="CD68" s="1221"/>
      <c r="CE68" s="1221"/>
      <c r="CF68" s="1222"/>
      <c r="CG68" s="1223">
        <f>COUNTIFS(CE7:CE51,"&gt;=33",CE7:CE51,"&lt;48",CC7:CC51,"&gt;=25",CD7:CD51,"&gt;=8")</f>
        <v>0</v>
      </c>
      <c r="CH68" s="1224"/>
      <c r="CI68" s="1225"/>
      <c r="CJ68" s="177" t="s">
        <v>167</v>
      </c>
      <c r="CK68" s="607">
        <f>CK78-CK76</f>
        <v>0</v>
      </c>
      <c r="CL68" s="607">
        <f>CL78-CL76</f>
        <v>0</v>
      </c>
      <c r="CM68" s="607">
        <f>CM78-CM76</f>
        <v>0</v>
      </c>
      <c r="CN68" s="607">
        <f>CN78-CN76</f>
        <v>0</v>
      </c>
      <c r="CO68" s="599">
        <f t="shared" si="224"/>
        <v>0</v>
      </c>
      <c r="CP68" s="607">
        <f>CP78-CP76</f>
        <v>0</v>
      </c>
      <c r="CQ68" s="607">
        <f>CQ78-CQ76</f>
        <v>0</v>
      </c>
      <c r="CR68" s="607">
        <f>CR78-CR76</f>
        <v>0</v>
      </c>
      <c r="CS68" s="607">
        <f>CS78-CS76</f>
        <v>0</v>
      </c>
      <c r="CT68" s="599">
        <f t="shared" si="225"/>
        <v>0</v>
      </c>
      <c r="CU68" s="602">
        <f t="shared" si="226"/>
        <v>0</v>
      </c>
      <c r="CV68" s="1220" t="s">
        <v>191</v>
      </c>
      <c r="CW68" s="1221"/>
      <c r="CX68" s="1221"/>
      <c r="CY68" s="1222"/>
      <c r="CZ68" s="1223">
        <f>COUNTIFS(CX7:CX51,"&gt;=33",CX7:CX51,"&lt;48",CV7:CV51,"&gt;=25",CW7:CW51,"&gt;=8")</f>
        <v>0</v>
      </c>
      <c r="DA68" s="1224"/>
      <c r="DB68" s="1225"/>
      <c r="DC68" s="177" t="s">
        <v>167</v>
      </c>
      <c r="DD68" s="607">
        <f>DD78-DD76</f>
        <v>0</v>
      </c>
      <c r="DE68" s="607">
        <f>DE78-DE76</f>
        <v>0</v>
      </c>
      <c r="DF68" s="607">
        <f>DF78-DF76</f>
        <v>0</v>
      </c>
      <c r="DG68" s="607">
        <f>DG78-DG76</f>
        <v>0</v>
      </c>
      <c r="DH68" s="599">
        <f t="shared" si="227"/>
        <v>0</v>
      </c>
      <c r="DI68" s="607">
        <f>DI78-DI76</f>
        <v>0</v>
      </c>
      <c r="DJ68" s="607">
        <f>DJ78-DJ76</f>
        <v>0</v>
      </c>
      <c r="DK68" s="607">
        <f>DK78-DK76</f>
        <v>0</v>
      </c>
      <c r="DL68" s="607">
        <f>DL78-DL76</f>
        <v>0</v>
      </c>
      <c r="DM68" s="599">
        <f t="shared" si="228"/>
        <v>0</v>
      </c>
      <c r="DN68" s="602">
        <f t="shared" si="229"/>
        <v>0</v>
      </c>
      <c r="DO68" s="1220" t="s">
        <v>191</v>
      </c>
      <c r="DP68" s="1221"/>
      <c r="DQ68" s="1221"/>
      <c r="DR68" s="1222"/>
      <c r="DS68" s="1223">
        <f>COUNTIFS(DQ7:DQ51,"&gt;=33",DQ7:DQ51,"&lt;48",DO7:DO51,"&gt;=25",DP7:DP51,"&gt;=8")</f>
        <v>0</v>
      </c>
      <c r="DT68" s="1224"/>
      <c r="DU68" s="1225"/>
      <c r="DV68" s="130" t="str">
        <f t="shared" si="175"/>
        <v/>
      </c>
      <c r="DW68" s="72" t="str">
        <f t="shared" si="176"/>
        <v/>
      </c>
      <c r="DX68" s="72" t="str">
        <f t="shared" si="177"/>
        <v/>
      </c>
      <c r="DY68" s="72" t="str">
        <f t="shared" si="178"/>
        <v/>
      </c>
      <c r="DZ68" s="72" t="str">
        <f t="shared" si="179"/>
        <v/>
      </c>
      <c r="EA68" s="72" t="str">
        <f t="shared" si="180"/>
        <v/>
      </c>
      <c r="EB68" s="76" t="str">
        <f t="shared" si="181"/>
        <v/>
      </c>
      <c r="EC68" s="76" t="str">
        <f t="shared" si="182"/>
        <v/>
      </c>
      <c r="ED68" s="76" t="str">
        <f t="shared" si="183"/>
        <v/>
      </c>
      <c r="EE68" s="76" t="str">
        <f t="shared" si="184"/>
        <v/>
      </c>
      <c r="EF68" s="76" t="str">
        <f t="shared" si="185"/>
        <v/>
      </c>
      <c r="EG68" s="76" t="str">
        <f t="shared" si="186"/>
        <v/>
      </c>
      <c r="EH68" s="1161"/>
      <c r="EI68" s="1162"/>
      <c r="EJ68" s="1162"/>
      <c r="EK68" s="1162"/>
      <c r="EL68" s="1162"/>
      <c r="EM68" s="1162"/>
      <c r="EN68" s="1163"/>
      <c r="EO68" s="1250"/>
      <c r="EP68" s="494"/>
      <c r="EQ68" s="494"/>
      <c r="ER68" s="494"/>
      <c r="ES68" s="494"/>
      <c r="ET68" s="494"/>
      <c r="EU68" s="494"/>
      <c r="EV68" s="1174"/>
      <c r="EW68" s="1174"/>
      <c r="EX68" s="1174"/>
      <c r="EY68" s="1174"/>
      <c r="EZ68" s="1174"/>
      <c r="FA68" s="1174"/>
      <c r="FB68" s="1174"/>
      <c r="FC68" s="1174"/>
      <c r="FD68" s="1174"/>
      <c r="FE68" s="1174"/>
      <c r="FF68" s="1174"/>
      <c r="FG68" s="1175"/>
      <c r="FH68" s="1257"/>
      <c r="FI68" s="1259"/>
      <c r="FJ68" s="1257"/>
      <c r="FK68" s="1259"/>
      <c r="FL68" s="1259"/>
      <c r="FM68" s="1277"/>
      <c r="FN68" s="363"/>
    </row>
    <row r="69" spans="1:170" s="362" customFormat="1" ht="30" customHeight="1" x14ac:dyDescent="0.3">
      <c r="A69" s="6"/>
      <c r="B69" s="512"/>
      <c r="C69" s="82"/>
      <c r="D69" s="82"/>
      <c r="E69" s="83"/>
      <c r="F69" s="83"/>
      <c r="G69" s="83"/>
      <c r="H69" s="83"/>
      <c r="I69" s="83"/>
      <c r="J69" s="83"/>
      <c r="K69" s="83"/>
      <c r="L69" s="1178" t="s">
        <v>41</v>
      </c>
      <c r="M69" s="1179"/>
      <c r="N69" s="1180">
        <f>SUM(N64:N67)</f>
        <v>1</v>
      </c>
      <c r="O69" s="1181"/>
      <c r="P69" s="1180">
        <f t="shared" ref="P69:Y69" si="230">SUM(P64:P67)</f>
        <v>0</v>
      </c>
      <c r="Q69" s="1181"/>
      <c r="R69" s="608">
        <f t="shared" si="230"/>
        <v>0</v>
      </c>
      <c r="S69" s="608">
        <f t="shared" si="230"/>
        <v>0</v>
      </c>
      <c r="T69" s="599">
        <f t="shared" si="212"/>
        <v>1</v>
      </c>
      <c r="U69" s="608">
        <f t="shared" si="230"/>
        <v>0</v>
      </c>
      <c r="V69" s="608">
        <f t="shared" si="230"/>
        <v>1</v>
      </c>
      <c r="W69" s="1180">
        <f t="shared" si="230"/>
        <v>1</v>
      </c>
      <c r="X69" s="1181"/>
      <c r="Y69" s="608">
        <f t="shared" si="230"/>
        <v>0</v>
      </c>
      <c r="Z69" s="599">
        <f t="shared" si="213"/>
        <v>2</v>
      </c>
      <c r="AA69" s="602">
        <f t="shared" si="214"/>
        <v>3</v>
      </c>
      <c r="AB69" s="127" t="s">
        <v>56</v>
      </c>
      <c r="AC69" s="129">
        <f>IF(AC52="","",AC52-AC53)</f>
        <v>0</v>
      </c>
      <c r="AD69" s="177" t="s">
        <v>41</v>
      </c>
      <c r="AE69" s="608">
        <f>SUM(AE64:AE67)</f>
        <v>0</v>
      </c>
      <c r="AF69" s="608">
        <f>SUM(AF64:AF67)</f>
        <v>0</v>
      </c>
      <c r="AG69" s="608">
        <f>SUM(AG64:AG67)</f>
        <v>0</v>
      </c>
      <c r="AH69" s="608">
        <f>SUM(AH64:AH67)</f>
        <v>0</v>
      </c>
      <c r="AI69" s="599">
        <f t="shared" si="215"/>
        <v>0</v>
      </c>
      <c r="AJ69" s="608">
        <f>SUM(AJ64:AJ67)</f>
        <v>0</v>
      </c>
      <c r="AK69" s="608">
        <f>SUM(AK64:AK67)</f>
        <v>0</v>
      </c>
      <c r="AL69" s="608">
        <f>SUM(AL64:AL67)</f>
        <v>0</v>
      </c>
      <c r="AM69" s="608">
        <f>SUM(AM64:AM67)</f>
        <v>0</v>
      </c>
      <c r="AN69" s="599">
        <f t="shared" si="216"/>
        <v>0</v>
      </c>
      <c r="AO69" s="602">
        <f t="shared" si="217"/>
        <v>0</v>
      </c>
      <c r="AP69" s="1220" t="s">
        <v>56</v>
      </c>
      <c r="AQ69" s="1221"/>
      <c r="AR69" s="1221"/>
      <c r="AS69" s="1222"/>
      <c r="AT69" s="1223">
        <f>COUNTIFS($AS$7:$AS$51,"&lt;33",$AR$7:$AR$51,"&gt;=16.5",$AQ$7:$AQ$51,"&gt;=6.6")</f>
        <v>0</v>
      </c>
      <c r="AU69" s="1224"/>
      <c r="AV69" s="1225"/>
      <c r="AW69" s="128"/>
      <c r="AX69" s="177" t="s">
        <v>41</v>
      </c>
      <c r="AY69" s="608">
        <f>SUM(AY64:AY67)</f>
        <v>1</v>
      </c>
      <c r="AZ69" s="608">
        <f>SUM(AZ64:AZ67)</f>
        <v>0</v>
      </c>
      <c r="BA69" s="608">
        <f>SUM(BA64:BA67)</f>
        <v>0</v>
      </c>
      <c r="BB69" s="608">
        <f>SUM(BB64:BB67)</f>
        <v>0</v>
      </c>
      <c r="BC69" s="599">
        <f t="shared" si="218"/>
        <v>1</v>
      </c>
      <c r="BD69" s="608">
        <f>SUM(BD64:BD67)</f>
        <v>0</v>
      </c>
      <c r="BE69" s="608">
        <f>SUM(BE64:BE67)</f>
        <v>1</v>
      </c>
      <c r="BF69" s="608">
        <f>SUM(BF64:BF67)</f>
        <v>1</v>
      </c>
      <c r="BG69" s="608">
        <f>SUM(BG64:BG67)</f>
        <v>0</v>
      </c>
      <c r="BH69" s="599">
        <f t="shared" si="219"/>
        <v>2</v>
      </c>
      <c r="BI69" s="602">
        <f t="shared" si="220"/>
        <v>3</v>
      </c>
      <c r="BJ69" s="1220" t="s">
        <v>56</v>
      </c>
      <c r="BK69" s="1221"/>
      <c r="BL69" s="1221"/>
      <c r="BM69" s="1222"/>
      <c r="BN69" s="1223">
        <f>IF(BN52="","",BN52-BN53)</f>
        <v>0</v>
      </c>
      <c r="BO69" s="1224"/>
      <c r="BP69" s="1225"/>
      <c r="BQ69" s="177" t="s">
        <v>41</v>
      </c>
      <c r="BR69" s="608">
        <f>SUM(BR64:BR67)</f>
        <v>1</v>
      </c>
      <c r="BS69" s="608">
        <f>SUM(BS64:BS67)</f>
        <v>0</v>
      </c>
      <c r="BT69" s="608">
        <f>SUM(BT64:BT67)</f>
        <v>0</v>
      </c>
      <c r="BU69" s="608">
        <f>SUM(BU64:BU67)</f>
        <v>0</v>
      </c>
      <c r="BV69" s="599">
        <f t="shared" si="221"/>
        <v>1</v>
      </c>
      <c r="BW69" s="608">
        <f>SUM(BW64:BW67)</f>
        <v>0</v>
      </c>
      <c r="BX69" s="608">
        <f>SUM(BX64:BX67)</f>
        <v>1</v>
      </c>
      <c r="BY69" s="608">
        <f>SUM(BY64:BY67)</f>
        <v>1</v>
      </c>
      <c r="BZ69" s="608">
        <f>SUM(BZ64:BZ67)</f>
        <v>0</v>
      </c>
      <c r="CA69" s="599">
        <f t="shared" si="222"/>
        <v>2</v>
      </c>
      <c r="CB69" s="602">
        <f t="shared" si="223"/>
        <v>3</v>
      </c>
      <c r="CC69" s="1220" t="s">
        <v>56</v>
      </c>
      <c r="CD69" s="1221"/>
      <c r="CE69" s="1221"/>
      <c r="CF69" s="1222"/>
      <c r="CG69" s="1223">
        <f>IF(CG52="","",CG52-CG53)</f>
        <v>0</v>
      </c>
      <c r="CH69" s="1224"/>
      <c r="CI69" s="1225"/>
      <c r="CJ69" s="177" t="s">
        <v>41</v>
      </c>
      <c r="CK69" s="608">
        <f>SUM(CK64:CK67)</f>
        <v>1</v>
      </c>
      <c r="CL69" s="608">
        <f>SUM(CL64:CL67)</f>
        <v>0</v>
      </c>
      <c r="CM69" s="608">
        <f>SUM(CM64:CM67)</f>
        <v>0</v>
      </c>
      <c r="CN69" s="608">
        <f>SUM(CN64:CN67)</f>
        <v>0</v>
      </c>
      <c r="CO69" s="599">
        <f t="shared" si="224"/>
        <v>1</v>
      </c>
      <c r="CP69" s="608">
        <f>SUM(CP64:CP67)</f>
        <v>0</v>
      </c>
      <c r="CQ69" s="608">
        <f>SUM(CQ64:CQ67)</f>
        <v>0</v>
      </c>
      <c r="CR69" s="608">
        <f>SUM(CR64:CR67)</f>
        <v>0</v>
      </c>
      <c r="CS69" s="608">
        <f>SUM(CS64:CS67)</f>
        <v>0</v>
      </c>
      <c r="CT69" s="599">
        <f t="shared" si="225"/>
        <v>0</v>
      </c>
      <c r="CU69" s="602">
        <f t="shared" si="226"/>
        <v>1</v>
      </c>
      <c r="CV69" s="1220" t="s">
        <v>56</v>
      </c>
      <c r="CW69" s="1221"/>
      <c r="CX69" s="1221"/>
      <c r="CY69" s="1222"/>
      <c r="CZ69" s="1223">
        <f>IF(CZ52="","",CZ52-CZ53)</f>
        <v>0</v>
      </c>
      <c r="DA69" s="1224"/>
      <c r="DB69" s="1225"/>
      <c r="DC69" s="177" t="s">
        <v>41</v>
      </c>
      <c r="DD69" s="608">
        <f>SUM(DD64:DD67)</f>
        <v>1</v>
      </c>
      <c r="DE69" s="608">
        <f>SUM(DE64:DE67)</f>
        <v>0</v>
      </c>
      <c r="DF69" s="608">
        <f>SUM(DF64:DF67)</f>
        <v>0</v>
      </c>
      <c r="DG69" s="608">
        <f>SUM(DG64:DG67)</f>
        <v>0</v>
      </c>
      <c r="DH69" s="599">
        <f t="shared" si="227"/>
        <v>1</v>
      </c>
      <c r="DI69" s="608">
        <f>SUM(DI64:DI67)</f>
        <v>0</v>
      </c>
      <c r="DJ69" s="608">
        <f>SUM(DJ64:DJ67)</f>
        <v>1</v>
      </c>
      <c r="DK69" s="608">
        <f>SUM(DK64:DK67)</f>
        <v>1</v>
      </c>
      <c r="DL69" s="608">
        <f>SUM(DL64:DL67)</f>
        <v>0</v>
      </c>
      <c r="DM69" s="599">
        <f t="shared" si="228"/>
        <v>2</v>
      </c>
      <c r="DN69" s="602">
        <f t="shared" si="229"/>
        <v>3</v>
      </c>
      <c r="DO69" s="1220" t="s">
        <v>56</v>
      </c>
      <c r="DP69" s="1221"/>
      <c r="DQ69" s="1221"/>
      <c r="DR69" s="1222"/>
      <c r="DS69" s="1223">
        <f>IF(DS52="","",DS52-DS53)</f>
        <v>0</v>
      </c>
      <c r="DT69" s="1224"/>
      <c r="DU69" s="1225"/>
      <c r="DV69" s="130" t="str">
        <f t="shared" si="175"/>
        <v/>
      </c>
      <c r="DW69" s="72" t="str">
        <f t="shared" si="176"/>
        <v/>
      </c>
      <c r="DX69" s="72" t="str">
        <f t="shared" si="177"/>
        <v/>
      </c>
      <c r="DY69" s="72" t="str">
        <f t="shared" si="178"/>
        <v/>
      </c>
      <c r="DZ69" s="72" t="str">
        <f t="shared" si="179"/>
        <v/>
      </c>
      <c r="EA69" s="72" t="str">
        <f t="shared" si="180"/>
        <v/>
      </c>
      <c r="EB69" s="76" t="str">
        <f t="shared" si="181"/>
        <v/>
      </c>
      <c r="EC69" s="76" t="str">
        <f t="shared" si="182"/>
        <v/>
      </c>
      <c r="ED69" s="76" t="str">
        <f t="shared" si="183"/>
        <v/>
      </c>
      <c r="EE69" s="76" t="str">
        <f t="shared" si="184"/>
        <v/>
      </c>
      <c r="EF69" s="76" t="str">
        <f t="shared" si="185"/>
        <v/>
      </c>
      <c r="EG69" s="76" t="str">
        <f t="shared" si="186"/>
        <v/>
      </c>
      <c r="EH69" s="1161"/>
      <c r="EI69" s="1162"/>
      <c r="EJ69" s="1162"/>
      <c r="EK69" s="1162"/>
      <c r="EL69" s="1162"/>
      <c r="EM69" s="1162"/>
      <c r="EN69" s="1163"/>
      <c r="EO69" s="1250"/>
      <c r="EP69" s="494"/>
      <c r="EQ69" s="494"/>
      <c r="ER69" s="494"/>
      <c r="ES69" s="494"/>
      <c r="ET69" s="494"/>
      <c r="EU69" s="494"/>
      <c r="EV69" s="1174"/>
      <c r="EW69" s="1174"/>
      <c r="EX69" s="1174"/>
      <c r="EY69" s="1174"/>
      <c r="EZ69" s="1174"/>
      <c r="FA69" s="1174"/>
      <c r="FB69" s="1174"/>
      <c r="FC69" s="1174"/>
      <c r="FD69" s="1174"/>
      <c r="FE69" s="1174"/>
      <c r="FF69" s="1174"/>
      <c r="FG69" s="1175"/>
      <c r="FH69" s="212" t="str">
        <f>IF(DASHBOARD!G8="","","CLASS TEACHER")</f>
        <v>CLASS TEACHER</v>
      </c>
      <c r="FI69" s="211" t="str">
        <f>IF(DASHBOARD!H8="","","EXAM INCHARGE")</f>
        <v>EXAM INCHARGE</v>
      </c>
      <c r="FJ69" s="211" t="str">
        <f>IF(DASHBOARD!D8="","","PRINCIPAL")</f>
        <v>PRINCIPAL</v>
      </c>
      <c r="FK69" s="213"/>
      <c r="FL69" s="213"/>
      <c r="FM69" s="513"/>
      <c r="FN69" s="363"/>
    </row>
    <row r="70" spans="1:170" s="362" customFormat="1" ht="36" customHeight="1" thickBot="1" x14ac:dyDescent="0.35">
      <c r="A70" s="6"/>
      <c r="B70" s="514"/>
      <c r="C70" s="515"/>
      <c r="D70" s="515"/>
      <c r="E70" s="516"/>
      <c r="F70" s="516"/>
      <c r="G70" s="516"/>
      <c r="H70" s="516"/>
      <c r="I70" s="516"/>
      <c r="J70" s="516"/>
      <c r="K70" s="516"/>
      <c r="L70" s="1244"/>
      <c r="M70" s="1245"/>
      <c r="N70" s="1245"/>
      <c r="O70" s="1245"/>
      <c r="P70" s="1245"/>
      <c r="Q70" s="1245"/>
      <c r="R70" s="1245"/>
      <c r="S70" s="1245"/>
      <c r="T70" s="1245"/>
      <c r="U70" s="1245"/>
      <c r="V70" s="1245"/>
      <c r="W70" s="1245"/>
      <c r="X70" s="1245"/>
      <c r="Y70" s="1245"/>
      <c r="Z70" s="1245"/>
      <c r="AA70" s="1246"/>
      <c r="AB70" s="609" t="s">
        <v>41</v>
      </c>
      <c r="AC70" s="517">
        <f>SUM(AC66:AC69)</f>
        <v>2</v>
      </c>
      <c r="AD70" s="1244"/>
      <c r="AE70" s="1245"/>
      <c r="AF70" s="1245"/>
      <c r="AG70" s="1245"/>
      <c r="AH70" s="1245"/>
      <c r="AI70" s="1245"/>
      <c r="AJ70" s="1245"/>
      <c r="AK70" s="1245"/>
      <c r="AL70" s="1245"/>
      <c r="AM70" s="1245"/>
      <c r="AN70" s="1245"/>
      <c r="AO70" s="1246"/>
      <c r="AP70" s="1244" t="s">
        <v>41</v>
      </c>
      <c r="AQ70" s="1245"/>
      <c r="AR70" s="1245"/>
      <c r="AS70" s="1246"/>
      <c r="AT70" s="1241">
        <f>SUM(AT66:AV69)</f>
        <v>0</v>
      </c>
      <c r="AU70" s="1242"/>
      <c r="AV70" s="1243"/>
      <c r="AW70" s="517"/>
      <c r="AX70" s="609"/>
      <c r="AY70" s="610"/>
      <c r="AZ70" s="611"/>
      <c r="BA70" s="611"/>
      <c r="BB70" s="611"/>
      <c r="BC70" s="611"/>
      <c r="BD70" s="611"/>
      <c r="BE70" s="611"/>
      <c r="BF70" s="611"/>
      <c r="BG70" s="611"/>
      <c r="BH70" s="611"/>
      <c r="BI70" s="611"/>
      <c r="BJ70" s="1244" t="s">
        <v>41</v>
      </c>
      <c r="BK70" s="1245"/>
      <c r="BL70" s="1245"/>
      <c r="BM70" s="1246"/>
      <c r="BN70" s="1241">
        <f>SUM(BN66:BP69)</f>
        <v>3</v>
      </c>
      <c r="BO70" s="1242"/>
      <c r="BP70" s="1243"/>
      <c r="BQ70" s="609"/>
      <c r="BR70" s="610"/>
      <c r="BS70" s="611"/>
      <c r="BT70" s="611"/>
      <c r="BU70" s="611"/>
      <c r="BV70" s="611"/>
      <c r="BW70" s="611"/>
      <c r="BX70" s="611"/>
      <c r="BY70" s="611"/>
      <c r="BZ70" s="611"/>
      <c r="CA70" s="611"/>
      <c r="CB70" s="611"/>
      <c r="CC70" s="1244" t="s">
        <v>41</v>
      </c>
      <c r="CD70" s="1245"/>
      <c r="CE70" s="1245"/>
      <c r="CF70" s="1246"/>
      <c r="CG70" s="1241">
        <f>SUM(CG66:CI69)</f>
        <v>3</v>
      </c>
      <c r="CH70" s="1242"/>
      <c r="CI70" s="1243"/>
      <c r="CJ70" s="609"/>
      <c r="CK70" s="610"/>
      <c r="CL70" s="611"/>
      <c r="CM70" s="611"/>
      <c r="CN70" s="611"/>
      <c r="CO70" s="611"/>
      <c r="CP70" s="611"/>
      <c r="CQ70" s="611"/>
      <c r="CR70" s="611"/>
      <c r="CS70" s="611"/>
      <c r="CT70" s="611"/>
      <c r="CU70" s="611"/>
      <c r="CV70" s="1244" t="s">
        <v>41</v>
      </c>
      <c r="CW70" s="1245"/>
      <c r="CX70" s="1245"/>
      <c r="CY70" s="1246"/>
      <c r="CZ70" s="1241">
        <f>SUM(CZ66:DB69)</f>
        <v>1</v>
      </c>
      <c r="DA70" s="1242"/>
      <c r="DB70" s="1243"/>
      <c r="DC70" s="609"/>
      <c r="DD70" s="610"/>
      <c r="DE70" s="611"/>
      <c r="DF70" s="611"/>
      <c r="DG70" s="611"/>
      <c r="DH70" s="611"/>
      <c r="DI70" s="611"/>
      <c r="DJ70" s="611"/>
      <c r="DK70" s="611"/>
      <c r="DL70" s="611"/>
      <c r="DM70" s="611"/>
      <c r="DN70" s="611"/>
      <c r="DO70" s="1244" t="s">
        <v>41</v>
      </c>
      <c r="DP70" s="1245"/>
      <c r="DQ70" s="1245"/>
      <c r="DR70" s="1246"/>
      <c r="DS70" s="1241">
        <f>SUM(DS66:DU69)</f>
        <v>3</v>
      </c>
      <c r="DT70" s="1242"/>
      <c r="DU70" s="1243"/>
      <c r="DV70" s="518"/>
      <c r="DW70" s="519"/>
      <c r="DX70" s="519"/>
      <c r="DY70" s="519"/>
      <c r="DZ70" s="519"/>
      <c r="EA70" s="519"/>
      <c r="EB70" s="520"/>
      <c r="EC70" s="520"/>
      <c r="ED70" s="520"/>
      <c r="EE70" s="520"/>
      <c r="EF70" s="520"/>
      <c r="EG70" s="520"/>
      <c r="EH70" s="1260"/>
      <c r="EI70" s="1261"/>
      <c r="EJ70" s="1261"/>
      <c r="EK70" s="1261"/>
      <c r="EL70" s="1261"/>
      <c r="EM70" s="1261"/>
      <c r="EN70" s="1262"/>
      <c r="EO70" s="1251"/>
      <c r="EP70" s="521"/>
      <c r="EQ70" s="521"/>
      <c r="ER70" s="521"/>
      <c r="ES70" s="521"/>
      <c r="ET70" s="521"/>
      <c r="EU70" s="521"/>
      <c r="EV70" s="1176"/>
      <c r="EW70" s="1176"/>
      <c r="EX70" s="1176"/>
      <c r="EY70" s="1176"/>
      <c r="EZ70" s="1176"/>
      <c r="FA70" s="1176"/>
      <c r="FB70" s="1176"/>
      <c r="FC70" s="1176"/>
      <c r="FD70" s="1176"/>
      <c r="FE70" s="1176"/>
      <c r="FF70" s="1176"/>
      <c r="FG70" s="1177"/>
      <c r="FH70" s="522"/>
      <c r="FI70" s="523"/>
      <c r="FJ70" s="523"/>
      <c r="FK70" s="523"/>
      <c r="FL70" s="523"/>
      <c r="FM70" s="524"/>
      <c r="FN70" s="363"/>
    </row>
    <row r="71" spans="1:170" s="362" customFormat="1" ht="20.25" customHeight="1" x14ac:dyDescent="0.3">
      <c r="A71" s="6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110"/>
      <c r="M71" s="110"/>
      <c r="N71" s="445"/>
      <c r="O71" s="445"/>
      <c r="P71" s="445"/>
      <c r="Q71" s="445"/>
      <c r="R71" s="445"/>
      <c r="S71" s="445"/>
      <c r="T71" s="445"/>
      <c r="U71" s="445"/>
      <c r="V71" s="445"/>
      <c r="W71" s="445"/>
      <c r="X71" s="445"/>
      <c r="Y71" s="445"/>
      <c r="Z71" s="445"/>
      <c r="AA71" s="445"/>
      <c r="AB71" s="445"/>
      <c r="AC71" s="445"/>
      <c r="AD71" s="445"/>
      <c r="AE71" s="61"/>
      <c r="AF71" s="49"/>
      <c r="AG71" s="61"/>
      <c r="AH71" s="49"/>
      <c r="AI71" s="61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  <c r="CJ71" s="49"/>
      <c r="CK71" s="49"/>
      <c r="CL71" s="49"/>
      <c r="CM71" s="49"/>
      <c r="CN71" s="49"/>
      <c r="CO71" s="49"/>
      <c r="CP71" s="49"/>
      <c r="CQ71" s="49"/>
      <c r="CR71" s="49"/>
      <c r="CS71" s="49"/>
      <c r="CT71" s="49"/>
      <c r="CU71" s="49"/>
      <c r="CV71" s="49"/>
      <c r="CW71" s="49"/>
      <c r="CX71" s="49"/>
      <c r="CY71" s="49"/>
      <c r="CZ71" s="49"/>
      <c r="DA71" s="49"/>
      <c r="DB71" s="49"/>
      <c r="DC71" s="49"/>
      <c r="DD71" s="49"/>
      <c r="DE71" s="49"/>
      <c r="DF71" s="49"/>
      <c r="DG71" s="49"/>
      <c r="DH71" s="49"/>
      <c r="DI71" s="49"/>
      <c r="DJ71" s="49"/>
      <c r="DK71" s="49"/>
      <c r="DL71" s="49"/>
      <c r="DM71" s="49"/>
      <c r="DN71" s="49"/>
      <c r="DO71" s="49"/>
      <c r="DP71" s="49"/>
      <c r="DQ71" s="49"/>
      <c r="DR71" s="49"/>
      <c r="DS71" s="49"/>
      <c r="DT71" s="49"/>
      <c r="DU71" s="49"/>
      <c r="DV71" s="49"/>
      <c r="DW71" s="49"/>
      <c r="DX71" s="49"/>
      <c r="DY71" s="49"/>
      <c r="DZ71" s="49"/>
      <c r="EA71" s="49"/>
      <c r="EB71" s="49"/>
      <c r="EC71" s="49"/>
      <c r="ED71" s="49"/>
      <c r="EE71" s="49"/>
      <c r="EF71" s="49"/>
      <c r="EG71" s="49"/>
      <c r="EH71" s="49"/>
      <c r="EI71" s="49"/>
      <c r="EJ71" s="49"/>
      <c r="EK71" s="49"/>
      <c r="EL71" s="49"/>
      <c r="EM71" s="49"/>
      <c r="EN71" s="49"/>
      <c r="EO71" s="49"/>
      <c r="EP71" s="49"/>
      <c r="EQ71" s="49"/>
      <c r="ER71" s="49"/>
      <c r="ES71" s="49"/>
      <c r="ET71" s="49"/>
      <c r="EU71" s="49"/>
      <c r="EV71" s="49"/>
      <c r="EW71" s="49"/>
      <c r="EX71" s="49"/>
      <c r="EY71" s="49"/>
      <c r="EZ71" s="49"/>
      <c r="FA71" s="49"/>
      <c r="FB71" s="49"/>
      <c r="FC71" s="49"/>
      <c r="FD71" s="49"/>
      <c r="FE71" s="49"/>
      <c r="FF71" s="49"/>
      <c r="FG71" s="49"/>
      <c r="FH71" s="49"/>
      <c r="FI71" s="49"/>
      <c r="FJ71" s="49"/>
      <c r="FK71" s="49"/>
      <c r="FL71" s="49"/>
      <c r="FM71" s="49"/>
      <c r="FN71" s="363"/>
    </row>
    <row r="72" spans="1:170" hidden="1" x14ac:dyDescent="0.3">
      <c r="G72" s="205"/>
      <c r="H72" s="205"/>
      <c r="I72" s="205"/>
      <c r="J72" s="205"/>
      <c r="K72" s="205"/>
      <c r="L72" s="205"/>
      <c r="M72" s="205"/>
      <c r="N72" s="205"/>
      <c r="O72" s="205"/>
      <c r="P72" s="205"/>
      <c r="Q72" s="205"/>
      <c r="R72" s="205"/>
      <c r="S72" s="205"/>
    </row>
    <row r="73" spans="1:170" hidden="1" x14ac:dyDescent="0.3">
      <c r="G73" s="205"/>
      <c r="H73" s="205"/>
      <c r="I73" s="205"/>
      <c r="J73" s="205"/>
      <c r="K73" s="205"/>
      <c r="L73" s="205"/>
      <c r="M73" s="205"/>
      <c r="N73" s="205"/>
      <c r="O73" s="205"/>
      <c r="P73" s="205"/>
      <c r="Q73" s="205"/>
      <c r="R73" s="205"/>
      <c r="S73" s="205"/>
    </row>
    <row r="74" spans="1:170" hidden="1" x14ac:dyDescent="0.3"/>
    <row r="75" spans="1:170" hidden="1" x14ac:dyDescent="0.3"/>
    <row r="76" spans="1:170" hidden="1" x14ac:dyDescent="0.3"/>
    <row r="77" spans="1:170" hidden="1" x14ac:dyDescent="0.3"/>
    <row r="78" spans="1:170" hidden="1" x14ac:dyDescent="0.3"/>
    <row r="79" spans="1:170" hidden="1" x14ac:dyDescent="0.3"/>
    <row r="80" spans="1:17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</sheetData>
  <sheetProtection algorithmName="SHA-512" hashValue="BymLC9IwkFvraUhUYb5JTEJLRJHhtEKr4oJzhJj8QfaxeXv/huJf0mxQPRru+CFG6EV0vrqkczTteYBmLlpVfQ==" saltValue="cO1nLzZiiZy/knYal11pyg==" spinCount="100000" sheet="1" objects="1" scenarios="1"/>
  <mergeCells count="360">
    <mergeCell ref="FM52:FM53"/>
    <mergeCell ref="FM54:FM55"/>
    <mergeCell ref="FM56:FM57"/>
    <mergeCell ref="FM58:FM59"/>
    <mergeCell ref="FM60:FM61"/>
    <mergeCell ref="FM62:FM63"/>
    <mergeCell ref="FM65:FM66"/>
    <mergeCell ref="FM67:FM68"/>
    <mergeCell ref="FK67:FK68"/>
    <mergeCell ref="FL52:FL53"/>
    <mergeCell ref="FL54:FL55"/>
    <mergeCell ref="FL56:FL57"/>
    <mergeCell ref="FL58:FL59"/>
    <mergeCell ref="FL60:FL61"/>
    <mergeCell ref="FL62:FL63"/>
    <mergeCell ref="FL65:FL66"/>
    <mergeCell ref="FL67:FL68"/>
    <mergeCell ref="FK52:FK53"/>
    <mergeCell ref="FK54:FK55"/>
    <mergeCell ref="FK56:FK57"/>
    <mergeCell ref="FK58:FK59"/>
    <mergeCell ref="FK60:FK61"/>
    <mergeCell ref="FK62:FK63"/>
    <mergeCell ref="FH52:FI53"/>
    <mergeCell ref="FH54:FI55"/>
    <mergeCell ref="FH56:FI57"/>
    <mergeCell ref="FH58:FI59"/>
    <mergeCell ref="FH60:FI61"/>
    <mergeCell ref="FH62:FI63"/>
    <mergeCell ref="FJ52:FJ53"/>
    <mergeCell ref="FJ54:FJ55"/>
    <mergeCell ref="FJ56:FJ57"/>
    <mergeCell ref="FJ58:FJ59"/>
    <mergeCell ref="FJ60:FJ61"/>
    <mergeCell ref="FJ62:FJ63"/>
    <mergeCell ref="EH64:EN66"/>
    <mergeCell ref="FH67:FH68"/>
    <mergeCell ref="FI67:FI68"/>
    <mergeCell ref="FJ67:FJ68"/>
    <mergeCell ref="EH67:EN70"/>
    <mergeCell ref="FH65:FH66"/>
    <mergeCell ref="FI65:FI66"/>
    <mergeCell ref="FJ65:FJ66"/>
    <mergeCell ref="FK65:FK66"/>
    <mergeCell ref="FH64:FI64"/>
    <mergeCell ref="FC5:FD5"/>
    <mergeCell ref="DO68:DR68"/>
    <mergeCell ref="DS68:DU68"/>
    <mergeCell ref="DO69:DR69"/>
    <mergeCell ref="DS69:DU69"/>
    <mergeCell ref="DO70:DR70"/>
    <mergeCell ref="DS70:DU70"/>
    <mergeCell ref="DO63:DR63"/>
    <mergeCell ref="DS63:DU63"/>
    <mergeCell ref="DO64:DR64"/>
    <mergeCell ref="DS64:DU64"/>
    <mergeCell ref="DO65:DR65"/>
    <mergeCell ref="DS65:DU65"/>
    <mergeCell ref="DO66:DR66"/>
    <mergeCell ref="DS66:DU66"/>
    <mergeCell ref="DO67:DR67"/>
    <mergeCell ref="DS67:DU67"/>
    <mergeCell ref="DO58:DR58"/>
    <mergeCell ref="DS58:DU58"/>
    <mergeCell ref="DO59:DR59"/>
    <mergeCell ref="DS59:DU59"/>
    <mergeCell ref="DO60:DR60"/>
    <mergeCell ref="EO52:EO70"/>
    <mergeCell ref="EH60:EN63"/>
    <mergeCell ref="DS60:DU60"/>
    <mergeCell ref="DO61:DR61"/>
    <mergeCell ref="DS61:DU61"/>
    <mergeCell ref="DO62:DR62"/>
    <mergeCell ref="DS62:DU62"/>
    <mergeCell ref="DO53:DR53"/>
    <mergeCell ref="DS53:DU53"/>
    <mergeCell ref="DO54:DR54"/>
    <mergeCell ref="DS54:DU54"/>
    <mergeCell ref="DO55:DR55"/>
    <mergeCell ref="DS55:DU55"/>
    <mergeCell ref="DO56:DU56"/>
    <mergeCell ref="DO57:DR57"/>
    <mergeCell ref="DS57:DU57"/>
    <mergeCell ref="CV66:CY66"/>
    <mergeCell ref="CZ66:DB66"/>
    <mergeCell ref="CV67:CY67"/>
    <mergeCell ref="CZ67:DB67"/>
    <mergeCell ref="CV68:CY68"/>
    <mergeCell ref="CZ68:DB68"/>
    <mergeCell ref="CV69:CY69"/>
    <mergeCell ref="CZ69:DB69"/>
    <mergeCell ref="CV70:CY70"/>
    <mergeCell ref="CZ70:DB70"/>
    <mergeCell ref="CZ61:DB61"/>
    <mergeCell ref="CV62:CY62"/>
    <mergeCell ref="CZ62:DB62"/>
    <mergeCell ref="CV63:CY63"/>
    <mergeCell ref="CZ63:DB63"/>
    <mergeCell ref="CV64:CY64"/>
    <mergeCell ref="CZ64:DB64"/>
    <mergeCell ref="CV65:CY65"/>
    <mergeCell ref="CZ65:DB65"/>
    <mergeCell ref="CC68:CF68"/>
    <mergeCell ref="CG68:CI68"/>
    <mergeCell ref="CC69:CF69"/>
    <mergeCell ref="CG69:CI69"/>
    <mergeCell ref="CC70:CF70"/>
    <mergeCell ref="CG70:CI70"/>
    <mergeCell ref="CV52:CY52"/>
    <mergeCell ref="CZ52:DB52"/>
    <mergeCell ref="CV53:CY53"/>
    <mergeCell ref="CZ53:DB53"/>
    <mergeCell ref="CV54:CY54"/>
    <mergeCell ref="CZ54:DB54"/>
    <mergeCell ref="CV55:CY55"/>
    <mergeCell ref="CZ55:DB55"/>
    <mergeCell ref="CV56:DB56"/>
    <mergeCell ref="CV57:CY57"/>
    <mergeCell ref="CZ57:DB57"/>
    <mergeCell ref="CV58:CY58"/>
    <mergeCell ref="CZ58:DB58"/>
    <mergeCell ref="CV59:CY59"/>
    <mergeCell ref="CZ59:DB59"/>
    <mergeCell ref="CV60:CY60"/>
    <mergeCell ref="CZ60:DB60"/>
    <mergeCell ref="CV61:CY61"/>
    <mergeCell ref="CG63:CI63"/>
    <mergeCell ref="CC64:CF64"/>
    <mergeCell ref="CG64:CI64"/>
    <mergeCell ref="CC65:CF65"/>
    <mergeCell ref="CG65:CI65"/>
    <mergeCell ref="CC66:CF66"/>
    <mergeCell ref="CG66:CI66"/>
    <mergeCell ref="CC67:CF67"/>
    <mergeCell ref="CG67:CI67"/>
    <mergeCell ref="AD70:AO70"/>
    <mergeCell ref="L70:AA70"/>
    <mergeCell ref="CC52:CF52"/>
    <mergeCell ref="CG52:CI52"/>
    <mergeCell ref="CC53:CF53"/>
    <mergeCell ref="CG53:CI53"/>
    <mergeCell ref="CC54:CF54"/>
    <mergeCell ref="CG54:CI54"/>
    <mergeCell ref="CC55:CF55"/>
    <mergeCell ref="CG55:CI55"/>
    <mergeCell ref="CC56:CI56"/>
    <mergeCell ref="CC57:CF57"/>
    <mergeCell ref="CG57:CI57"/>
    <mergeCell ref="CC58:CF58"/>
    <mergeCell ref="CG58:CI58"/>
    <mergeCell ref="CC59:CF59"/>
    <mergeCell ref="CG59:CI59"/>
    <mergeCell ref="CC60:CF60"/>
    <mergeCell ref="CG60:CI60"/>
    <mergeCell ref="CC61:CF61"/>
    <mergeCell ref="CG61:CI61"/>
    <mergeCell ref="CC62:CF62"/>
    <mergeCell ref="CG62:CI62"/>
    <mergeCell ref="CC63:CF63"/>
    <mergeCell ref="BN70:BP70"/>
    <mergeCell ref="BJ67:BM67"/>
    <mergeCell ref="BN67:BP67"/>
    <mergeCell ref="BJ68:BM68"/>
    <mergeCell ref="BN68:BP68"/>
    <mergeCell ref="BJ69:BM69"/>
    <mergeCell ref="BN69:BP69"/>
    <mergeCell ref="BJ64:BM64"/>
    <mergeCell ref="BN64:BP64"/>
    <mergeCell ref="BJ65:BM65"/>
    <mergeCell ref="BN65:BP65"/>
    <mergeCell ref="BJ66:BM66"/>
    <mergeCell ref="BN66:BP66"/>
    <mergeCell ref="BJ70:BM70"/>
    <mergeCell ref="BJ57:BM57"/>
    <mergeCell ref="BN57:BP57"/>
    <mergeCell ref="BJ61:BM61"/>
    <mergeCell ref="BN61:BP61"/>
    <mergeCell ref="BJ62:BM62"/>
    <mergeCell ref="BN62:BP62"/>
    <mergeCell ref="BJ63:BM63"/>
    <mergeCell ref="BN63:BP63"/>
    <mergeCell ref="BJ58:BM58"/>
    <mergeCell ref="BN58:BP58"/>
    <mergeCell ref="BJ59:BM59"/>
    <mergeCell ref="BN59:BP59"/>
    <mergeCell ref="BJ60:BM60"/>
    <mergeCell ref="BN60:BP60"/>
    <mergeCell ref="AT70:AV70"/>
    <mergeCell ref="AP69:AS69"/>
    <mergeCell ref="AP68:AS68"/>
    <mergeCell ref="AP67:AS67"/>
    <mergeCell ref="AP66:AS66"/>
    <mergeCell ref="AP65:AS65"/>
    <mergeCell ref="AP64:AS64"/>
    <mergeCell ref="AP63:AS63"/>
    <mergeCell ref="AP62:AS62"/>
    <mergeCell ref="AT64:AV64"/>
    <mergeCell ref="AT63:AV63"/>
    <mergeCell ref="AT62:AV62"/>
    <mergeCell ref="AT69:AV69"/>
    <mergeCell ref="AT68:AV68"/>
    <mergeCell ref="AT67:AV67"/>
    <mergeCell ref="AP70:AS70"/>
    <mergeCell ref="AT66:AV66"/>
    <mergeCell ref="AT65:AV65"/>
    <mergeCell ref="AB56:AC56"/>
    <mergeCell ref="AT53:AV53"/>
    <mergeCell ref="AT54:AV54"/>
    <mergeCell ref="AT55:AV55"/>
    <mergeCell ref="AP53:AS53"/>
    <mergeCell ref="AP54:AS54"/>
    <mergeCell ref="AP55:AS55"/>
    <mergeCell ref="AP56:AV56"/>
    <mergeCell ref="AT59:AV59"/>
    <mergeCell ref="AT58:AV58"/>
    <mergeCell ref="AT57:AV57"/>
    <mergeCell ref="AP61:AS61"/>
    <mergeCell ref="AP60:AS60"/>
    <mergeCell ref="AP59:AS59"/>
    <mergeCell ref="AP58:AS58"/>
    <mergeCell ref="AT61:AV61"/>
    <mergeCell ref="AT60:AV60"/>
    <mergeCell ref="AP57:AS57"/>
    <mergeCell ref="EW5:FB5"/>
    <mergeCell ref="DV5:EA5"/>
    <mergeCell ref="EB5:EG5"/>
    <mergeCell ref="CK52:CO52"/>
    <mergeCell ref="CP52:CT52"/>
    <mergeCell ref="DD52:DH52"/>
    <mergeCell ref="DI52:DM52"/>
    <mergeCell ref="EP5:EU5"/>
    <mergeCell ref="DO52:DR52"/>
    <mergeCell ref="DS52:DU52"/>
    <mergeCell ref="BJ53:BM53"/>
    <mergeCell ref="BN53:BP53"/>
    <mergeCell ref="BJ54:BM54"/>
    <mergeCell ref="BN54:BP54"/>
    <mergeCell ref="BJ55:BM55"/>
    <mergeCell ref="BN55:BP55"/>
    <mergeCell ref="BJ56:BP56"/>
    <mergeCell ref="N52:T52"/>
    <mergeCell ref="U52:Z52"/>
    <mergeCell ref="AE52:AI52"/>
    <mergeCell ref="DE4:DF4"/>
    <mergeCell ref="DG4:DH4"/>
    <mergeCell ref="AJ52:AN52"/>
    <mergeCell ref="AY52:BC52"/>
    <mergeCell ref="BD52:BH52"/>
    <mergeCell ref="BR52:BV52"/>
    <mergeCell ref="BW52:CA52"/>
    <mergeCell ref="AA52:AB52"/>
    <mergeCell ref="BB4:BC4"/>
    <mergeCell ref="BF4:BG4"/>
    <mergeCell ref="BJ4:BK4"/>
    <mergeCell ref="BH4:BI4"/>
    <mergeCell ref="BS4:BT4"/>
    <mergeCell ref="BU4:BV4"/>
    <mergeCell ref="BY4:BZ4"/>
    <mergeCell ref="CC4:CD4"/>
    <mergeCell ref="CA4:CB4"/>
    <mergeCell ref="AT52:AV52"/>
    <mergeCell ref="AP52:AS52"/>
    <mergeCell ref="BJ52:BM52"/>
    <mergeCell ref="BN52:BP52"/>
    <mergeCell ref="DO4:DP4"/>
    <mergeCell ref="CL4:CM4"/>
    <mergeCell ref="CN4:CO4"/>
    <mergeCell ref="CR4:CS4"/>
    <mergeCell ref="CV4:CW4"/>
    <mergeCell ref="DM4:DN4"/>
    <mergeCell ref="CT4:CU4"/>
    <mergeCell ref="CJ2:DB2"/>
    <mergeCell ref="CJ3:DB3"/>
    <mergeCell ref="DC2:DU2"/>
    <mergeCell ref="DC3:DU3"/>
    <mergeCell ref="B4:H4"/>
    <mergeCell ref="I4:K4"/>
    <mergeCell ref="B2:K3"/>
    <mergeCell ref="DK4:DL4"/>
    <mergeCell ref="AX2:BP2"/>
    <mergeCell ref="AX3:BP3"/>
    <mergeCell ref="BQ2:CI2"/>
    <mergeCell ref="BQ3:CI3"/>
    <mergeCell ref="AZ4:BA4"/>
    <mergeCell ref="L2:AC2"/>
    <mergeCell ref="L3:AC3"/>
    <mergeCell ref="AD2:AW2"/>
    <mergeCell ref="AD3:AW3"/>
    <mergeCell ref="L62:M62"/>
    <mergeCell ref="L61:M61"/>
    <mergeCell ref="L60:M60"/>
    <mergeCell ref="L59:M59"/>
    <mergeCell ref="L58:M58"/>
    <mergeCell ref="L57:M57"/>
    <mergeCell ref="L56:M56"/>
    <mergeCell ref="L55:M55"/>
    <mergeCell ref="L54:M54"/>
    <mergeCell ref="L53:M53"/>
    <mergeCell ref="N60:O60"/>
    <mergeCell ref="N59:O59"/>
    <mergeCell ref="N58:O58"/>
    <mergeCell ref="N57:O57"/>
    <mergeCell ref="N56:O56"/>
    <mergeCell ref="N55:O55"/>
    <mergeCell ref="N54:O54"/>
    <mergeCell ref="N53:O53"/>
    <mergeCell ref="P55:Q55"/>
    <mergeCell ref="P54:Q54"/>
    <mergeCell ref="P53:Q53"/>
    <mergeCell ref="N62:O62"/>
    <mergeCell ref="N61:O61"/>
    <mergeCell ref="P57:Q57"/>
    <mergeCell ref="P56:Q56"/>
    <mergeCell ref="P58:Q58"/>
    <mergeCell ref="P62:Q62"/>
    <mergeCell ref="P61:Q61"/>
    <mergeCell ref="P60:Q60"/>
    <mergeCell ref="P59:Q59"/>
    <mergeCell ref="W62:X62"/>
    <mergeCell ref="W61:X61"/>
    <mergeCell ref="W60:X60"/>
    <mergeCell ref="W59:X59"/>
    <mergeCell ref="W58:X58"/>
    <mergeCell ref="W57:X57"/>
    <mergeCell ref="W56:X56"/>
    <mergeCell ref="W55:X55"/>
    <mergeCell ref="W54:X54"/>
    <mergeCell ref="N63:O63"/>
    <mergeCell ref="P69:Q69"/>
    <mergeCell ref="N69:O69"/>
    <mergeCell ref="P68:Q68"/>
    <mergeCell ref="N68:O68"/>
    <mergeCell ref="P67:Q67"/>
    <mergeCell ref="N67:O67"/>
    <mergeCell ref="P66:Q66"/>
    <mergeCell ref="N66:O66"/>
    <mergeCell ref="EH52:EN59"/>
    <mergeCell ref="EH2:EV3"/>
    <mergeCell ref="EW2:FM3"/>
    <mergeCell ref="EV52:FG70"/>
    <mergeCell ref="L69:M69"/>
    <mergeCell ref="L68:M68"/>
    <mergeCell ref="L67:M67"/>
    <mergeCell ref="L66:M66"/>
    <mergeCell ref="L65:M65"/>
    <mergeCell ref="L64:M64"/>
    <mergeCell ref="L63:M63"/>
    <mergeCell ref="W69:X69"/>
    <mergeCell ref="W68:X68"/>
    <mergeCell ref="W67:X67"/>
    <mergeCell ref="W66:X66"/>
    <mergeCell ref="W65:X65"/>
    <mergeCell ref="W64:X64"/>
    <mergeCell ref="W63:X63"/>
    <mergeCell ref="W53:X53"/>
    <mergeCell ref="P65:Q65"/>
    <mergeCell ref="N65:O65"/>
    <mergeCell ref="P64:Q64"/>
    <mergeCell ref="N64:O64"/>
    <mergeCell ref="P63:Q63"/>
  </mergeCells>
  <hyperlinks>
    <hyperlink ref="A1" location="DASHBOARD!A1" display="D"/>
  </hyperlinks>
  <pageMargins left="0.46" right="3.9370078740157501E-2" top="0.48" bottom="7.8740157480315001E-2" header="0.31496062992126" footer="0.31496062992126"/>
  <pageSetup paperSize="5" scale="43" fitToWidth="0" orientation="landscape" r:id="rId1"/>
  <rowBreaks count="1" manualBreakCount="1">
    <brk id="51" max="16383" man="1"/>
  </rowBreaks>
  <colBreaks count="2" manualBreakCount="2">
    <brk id="49" max="1048575" man="1"/>
    <brk id="106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C00000"/>
    <pageSetUpPr fitToPage="1"/>
  </sheetPr>
  <dimension ref="A1:AO76"/>
  <sheetViews>
    <sheetView showGridLines="0" topLeftCell="A20" workbookViewId="0">
      <selection activeCell="Q13" sqref="Q13:T13"/>
    </sheetView>
  </sheetViews>
  <sheetFormatPr defaultColWidth="0" defaultRowHeight="15.75" customHeight="1" zeroHeight="1" x14ac:dyDescent="0.3"/>
  <cols>
    <col min="1" max="1" width="3" style="4" customWidth="1"/>
    <col min="2" max="2" width="1.109375" style="4" customWidth="1"/>
    <col min="3" max="3" width="4.109375" style="21" customWidth="1"/>
    <col min="4" max="7" width="3.88671875" style="21" customWidth="1"/>
    <col min="8" max="8" width="4" style="21" customWidth="1"/>
    <col min="9" max="9" width="6" style="21" customWidth="1"/>
    <col min="10" max="10" width="4.33203125" style="21" customWidth="1"/>
    <col min="11" max="11" width="6.109375" style="21" customWidth="1"/>
    <col min="12" max="19" width="5.109375" style="21" customWidth="1"/>
    <col min="20" max="23" width="5.88671875" style="21" customWidth="1"/>
    <col min="24" max="25" width="3.33203125" style="21" customWidth="1"/>
    <col min="26" max="26" width="4.6640625" style="21" customWidth="1"/>
    <col min="27" max="27" width="4.33203125" style="440" customWidth="1"/>
    <col min="28" max="28" width="0.88671875" style="21" customWidth="1"/>
    <col min="29" max="29" width="2" style="4" customWidth="1"/>
    <col min="30" max="41" width="4.33203125" style="337" customWidth="1"/>
    <col min="42" max="16384" width="4.33203125" style="337" hidden="1"/>
  </cols>
  <sheetData>
    <row r="1" spans="1:30" ht="14.25" customHeight="1" thickBot="1" x14ac:dyDescent="0.35">
      <c r="B1" s="430"/>
      <c r="C1" s="1280"/>
      <c r="D1" s="1280"/>
      <c r="E1" s="1280"/>
      <c r="F1" s="1280"/>
      <c r="G1" s="1280"/>
      <c r="H1" s="1280"/>
      <c r="I1" s="1280"/>
      <c r="J1" s="1280"/>
      <c r="K1" s="1280"/>
      <c r="L1" s="1280"/>
      <c r="M1" s="1280"/>
      <c r="N1" s="1280"/>
      <c r="O1" s="1280"/>
      <c r="P1" s="1280"/>
      <c r="Q1" s="1280"/>
      <c r="R1" s="1280"/>
      <c r="S1" s="1280"/>
      <c r="T1" s="1280"/>
      <c r="U1" s="1280"/>
      <c r="V1" s="1280"/>
      <c r="W1" s="1280"/>
      <c r="X1" s="1280"/>
      <c r="Y1" s="1280"/>
      <c r="Z1" s="1280"/>
      <c r="AA1" s="1280"/>
      <c r="AB1" s="413"/>
      <c r="AC1" s="905"/>
    </row>
    <row r="2" spans="1:30" ht="5.25" customHeight="1" thickBot="1" x14ac:dyDescent="0.35">
      <c r="A2" s="6"/>
      <c r="B2" s="33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31"/>
      <c r="AB2" s="409"/>
      <c r="AC2" s="905"/>
    </row>
    <row r="3" spans="1:30" ht="23.25" customHeight="1" x14ac:dyDescent="0.3">
      <c r="B3" s="339"/>
      <c r="C3" s="90"/>
      <c r="D3" s="1040" t="str">
        <f>IF(DASHBOARD!B2="","",DASHBOARD!B2)</f>
        <v xml:space="preserve">SWAMI VIVEKANAND GOVT. MODEL SCHOOL,  </v>
      </c>
      <c r="E3" s="1040"/>
      <c r="F3" s="1040"/>
      <c r="G3" s="1040"/>
      <c r="H3" s="1040"/>
      <c r="I3" s="1040"/>
      <c r="J3" s="1040"/>
      <c r="K3" s="1040"/>
      <c r="L3" s="1040"/>
      <c r="M3" s="1040"/>
      <c r="N3" s="1040"/>
      <c r="O3" s="1040"/>
      <c r="P3" s="1040"/>
      <c r="Q3" s="1040"/>
      <c r="R3" s="1040"/>
      <c r="S3" s="1040"/>
      <c r="T3" s="1040"/>
      <c r="U3" s="1040"/>
      <c r="V3" s="1040"/>
      <c r="W3" s="1040"/>
      <c r="X3" s="1040"/>
      <c r="Y3" s="1040"/>
      <c r="Z3" s="1040"/>
      <c r="AA3" s="416"/>
      <c r="AB3" s="255"/>
      <c r="AC3" s="905"/>
    </row>
    <row r="4" spans="1:30" ht="25.5" customHeight="1" x14ac:dyDescent="0.3">
      <c r="B4" s="339"/>
      <c r="C4" s="91"/>
      <c r="D4" s="235"/>
      <c r="E4" s="235"/>
      <c r="F4" s="235"/>
      <c r="G4" s="922" t="str">
        <f>IF(DASHBOARD!B3="","",DASHBOARD!B3)</f>
        <v xml:space="preserve">AMET, BLOCK-AMET, RAJSAMAND                                                                </v>
      </c>
      <c r="H4" s="922"/>
      <c r="I4" s="922"/>
      <c r="J4" s="922"/>
      <c r="K4" s="922"/>
      <c r="L4" s="922"/>
      <c r="M4" s="922"/>
      <c r="N4" s="922"/>
      <c r="O4" s="922"/>
      <c r="P4" s="922"/>
      <c r="Q4" s="922"/>
      <c r="R4" s="922"/>
      <c r="S4" s="922"/>
      <c r="T4" s="922"/>
      <c r="U4" s="922"/>
      <c r="V4" s="922"/>
      <c r="W4" s="922"/>
      <c r="X4" s="922"/>
      <c r="Y4" s="235"/>
      <c r="Z4" s="235"/>
      <c r="AA4" s="261"/>
      <c r="AB4" s="149"/>
      <c r="AC4" s="905"/>
    </row>
    <row r="5" spans="1:30" ht="16.5" customHeight="1" x14ac:dyDescent="0.3">
      <c r="B5" s="339"/>
      <c r="C5" s="92"/>
      <c r="D5" s="93"/>
      <c r="E5" s="94"/>
      <c r="F5" s="95"/>
      <c r="G5" s="95"/>
      <c r="H5" s="889" t="s">
        <v>175</v>
      </c>
      <c r="I5" s="889"/>
      <c r="J5" s="889"/>
      <c r="K5" s="889"/>
      <c r="L5" s="889"/>
      <c r="M5" s="889"/>
      <c r="N5" s="889"/>
      <c r="O5" s="889"/>
      <c r="P5" s="889"/>
      <c r="Q5" s="889"/>
      <c r="R5" s="889"/>
      <c r="S5" s="889"/>
      <c r="T5" s="889"/>
      <c r="U5" s="889"/>
      <c r="V5" s="889"/>
      <c r="W5" s="95"/>
      <c r="X5" s="95"/>
      <c r="Y5" s="95"/>
      <c r="Z5" s="93"/>
      <c r="AA5" s="300"/>
      <c r="AB5" s="102"/>
      <c r="AC5" s="905"/>
    </row>
    <row r="6" spans="1:30" ht="15.75" customHeight="1" x14ac:dyDescent="0.3">
      <c r="B6" s="339"/>
      <c r="C6" s="92"/>
      <c r="D6" s="97"/>
      <c r="E6" s="142"/>
      <c r="F6" s="142"/>
      <c r="G6" s="142"/>
      <c r="H6" s="889" t="str">
        <f>IF(DASHBOARD!B5="","",DASHBOARD!B5&amp;DASHBOARD!C5)</f>
        <v>AFFILIATION NO. -1720024</v>
      </c>
      <c r="I6" s="889"/>
      <c r="J6" s="889"/>
      <c r="K6" s="889"/>
      <c r="L6" s="889"/>
      <c r="M6" s="889"/>
      <c r="N6" s="889"/>
      <c r="O6" s="889"/>
      <c r="P6" s="889"/>
      <c r="Q6" s="889"/>
      <c r="R6" s="889"/>
      <c r="S6" s="889"/>
      <c r="T6" s="889"/>
      <c r="U6" s="889"/>
      <c r="V6" s="889"/>
      <c r="W6" s="142"/>
      <c r="X6" s="142"/>
      <c r="Y6" s="142"/>
      <c r="Z6" s="97"/>
      <c r="AA6" s="300"/>
      <c r="AB6" s="96"/>
      <c r="AC6" s="905"/>
    </row>
    <row r="7" spans="1:30" ht="15.6" x14ac:dyDescent="0.3">
      <c r="B7" s="339"/>
      <c r="C7" s="92"/>
      <c r="D7" s="97"/>
      <c r="E7" s="142"/>
      <c r="F7" s="142"/>
      <c r="G7" s="142"/>
      <c r="H7" s="406"/>
      <c r="I7" s="406"/>
      <c r="J7" s="406"/>
      <c r="K7" s="889" t="str">
        <f>"       Email Id -" &amp;DASHBOARD!E5</f>
        <v xml:space="preserve">       Email Id -ametsvgms@gmail.com</v>
      </c>
      <c r="L7" s="889"/>
      <c r="M7" s="889"/>
      <c r="N7" s="889"/>
      <c r="O7" s="889"/>
      <c r="P7" s="889"/>
      <c r="Q7" s="889"/>
      <c r="R7" s="889"/>
      <c r="S7" s="889"/>
      <c r="T7" s="889"/>
      <c r="U7" s="406"/>
      <c r="V7" s="406"/>
      <c r="W7" s="142"/>
      <c r="X7" s="142"/>
      <c r="Y7" s="142"/>
      <c r="Z7" s="97"/>
      <c r="AA7" s="300"/>
      <c r="AB7" s="96"/>
      <c r="AC7" s="905"/>
    </row>
    <row r="8" spans="1:30" ht="15.6" x14ac:dyDescent="0.3">
      <c r="B8" s="339"/>
      <c r="C8" s="92"/>
      <c r="D8" s="97"/>
      <c r="E8" s="142"/>
      <c r="F8" s="142"/>
      <c r="G8" s="889" t="str">
        <f>"Website-   " &amp;DASHBOARD!E6</f>
        <v>Website-   https://www.svgmsamet.com</v>
      </c>
      <c r="H8" s="889"/>
      <c r="I8" s="889"/>
      <c r="J8" s="889"/>
      <c r="K8" s="889"/>
      <c r="L8" s="889"/>
      <c r="M8" s="889"/>
      <c r="N8" s="889"/>
      <c r="O8" s="889"/>
      <c r="P8" s="889"/>
      <c r="Q8" s="889"/>
      <c r="R8" s="889"/>
      <c r="S8" s="889"/>
      <c r="T8" s="889"/>
      <c r="U8" s="889"/>
      <c r="V8" s="889"/>
      <c r="W8" s="889"/>
      <c r="X8" s="142"/>
      <c r="Y8" s="142"/>
      <c r="Z8" s="97"/>
      <c r="AA8" s="300"/>
      <c r="AB8" s="96"/>
      <c r="AC8" s="905"/>
    </row>
    <row r="9" spans="1:30" s="406" customFormat="1" ht="21" customHeight="1" x14ac:dyDescent="0.3">
      <c r="A9" s="432"/>
      <c r="B9" s="414"/>
      <c r="C9" s="1010" t="s">
        <v>181</v>
      </c>
      <c r="D9" s="1011"/>
      <c r="E9" s="1011"/>
      <c r="F9" s="1011"/>
      <c r="G9" s="1011"/>
      <c r="H9" s="1012" t="str">
        <f>IF(DASHBOARD!C6="","",DASHBOARD!C6)</f>
        <v>08250315401</v>
      </c>
      <c r="I9" s="1012"/>
      <c r="J9" s="1012"/>
      <c r="K9" s="1012"/>
      <c r="L9" s="1012"/>
      <c r="M9" s="1012"/>
      <c r="N9" s="1012"/>
      <c r="O9" s="1012"/>
      <c r="P9" s="1012"/>
      <c r="Q9" s="1012"/>
      <c r="R9" s="1012"/>
      <c r="S9" s="1011" t="s">
        <v>182</v>
      </c>
      <c r="T9" s="1011"/>
      <c r="U9" s="1011"/>
      <c r="V9" s="1011"/>
      <c r="W9" s="1014">
        <f>IF(DASHBOARD!I5="","",DASHBOARD!I5)</f>
        <v>12016</v>
      </c>
      <c r="X9" s="1014"/>
      <c r="Y9" s="1014"/>
      <c r="Z9" s="1014"/>
      <c r="AA9" s="1015"/>
      <c r="AB9" s="422"/>
      <c r="AC9" s="905"/>
      <c r="AD9" s="337"/>
    </row>
    <row r="10" spans="1:30" ht="22.8" x14ac:dyDescent="0.3">
      <c r="B10" s="339"/>
      <c r="C10" s="92"/>
      <c r="D10" s="97"/>
      <c r="E10" s="892" t="s">
        <v>36</v>
      </c>
      <c r="F10" s="892"/>
      <c r="G10" s="892"/>
      <c r="H10" s="892"/>
      <c r="I10" s="892"/>
      <c r="J10" s="892"/>
      <c r="K10" s="892"/>
      <c r="L10" s="892"/>
      <c r="M10" s="892"/>
      <c r="N10" s="892"/>
      <c r="O10" s="892"/>
      <c r="P10" s="892"/>
      <c r="Q10" s="892"/>
      <c r="R10" s="892"/>
      <c r="S10" s="892"/>
      <c r="T10" s="892"/>
      <c r="U10" s="892"/>
      <c r="V10" s="892"/>
      <c r="W10" s="892"/>
      <c r="X10" s="892"/>
      <c r="Y10" s="892"/>
      <c r="Z10" s="97"/>
      <c r="AA10" s="300"/>
      <c r="AB10" s="96"/>
      <c r="AC10" s="905"/>
    </row>
    <row r="11" spans="1:30" ht="20.399999999999999" x14ac:dyDescent="0.3">
      <c r="B11" s="339"/>
      <c r="C11" s="92"/>
      <c r="D11" s="97"/>
      <c r="E11" s="1285" t="str">
        <f>"ACADEMIC  "&amp;DASHBOARD!B4</f>
        <v>ACADEMIC  SESSION    -  2025-26</v>
      </c>
      <c r="F11" s="1285"/>
      <c r="G11" s="1285"/>
      <c r="H11" s="1285"/>
      <c r="I11" s="1285"/>
      <c r="J11" s="1285"/>
      <c r="K11" s="1285"/>
      <c r="L11" s="1285"/>
      <c r="M11" s="1285"/>
      <c r="N11" s="1285"/>
      <c r="O11" s="1285"/>
      <c r="P11" s="1285"/>
      <c r="Q11" s="1285"/>
      <c r="R11" s="1285"/>
      <c r="S11" s="1285"/>
      <c r="T11" s="1285"/>
      <c r="U11" s="1285"/>
      <c r="V11" s="1285"/>
      <c r="W11" s="1285"/>
      <c r="X11" s="1285"/>
      <c r="Y11" s="1285"/>
      <c r="Z11" s="97"/>
      <c r="AA11" s="300"/>
      <c r="AB11" s="96"/>
      <c r="AC11" s="905"/>
    </row>
    <row r="12" spans="1:30" ht="16.2" customHeight="1" x14ac:dyDescent="0.3">
      <c r="B12" s="339"/>
      <c r="C12" s="92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8"/>
      <c r="Z12" s="97"/>
      <c r="AA12" s="300"/>
      <c r="AB12" s="96"/>
      <c r="AC12" s="905"/>
    </row>
    <row r="13" spans="1:30" ht="17.399999999999999" x14ac:dyDescent="0.3">
      <c r="B13" s="339"/>
      <c r="C13" s="1279" t="s">
        <v>323</v>
      </c>
      <c r="D13" s="939"/>
      <c r="E13" s="939"/>
      <c r="F13" s="939"/>
      <c r="G13" s="939"/>
      <c r="H13" s="939"/>
      <c r="I13" s="939"/>
      <c r="J13" s="939" t="str">
        <f>IF(Q13="","",DASHBOARD!B8&amp;DASHBOARD!C8)</f>
        <v>XI A</v>
      </c>
      <c r="K13" s="939"/>
      <c r="L13" s="939"/>
      <c r="M13" s="663"/>
      <c r="N13" s="1041" t="s">
        <v>130</v>
      </c>
      <c r="O13" s="1041"/>
      <c r="P13" s="1041"/>
      <c r="Q13" s="1042">
        <v>1101</v>
      </c>
      <c r="R13" s="1042"/>
      <c r="S13" s="1042"/>
      <c r="T13" s="1042"/>
      <c r="U13" s="143"/>
      <c r="V13" s="1041" t="s">
        <v>322</v>
      </c>
      <c r="W13" s="1041"/>
      <c r="X13" s="1041"/>
      <c r="Y13" s="1041">
        <f>IF(Q13="","",VLOOKUP(Q13,'GREEN SHEET'!C7:FK70,2,0))</f>
        <v>1168</v>
      </c>
      <c r="Z13" s="1041"/>
      <c r="AA13" s="342"/>
      <c r="AB13" s="342"/>
      <c r="AC13" s="905"/>
    </row>
    <row r="14" spans="1:30" ht="17.399999999999999" x14ac:dyDescent="0.3">
      <c r="B14" s="339"/>
      <c r="C14" s="1279" t="s">
        <v>74</v>
      </c>
      <c r="D14" s="939"/>
      <c r="E14" s="939"/>
      <c r="F14" s="939"/>
      <c r="G14" s="939"/>
      <c r="H14" s="939"/>
      <c r="I14" s="939"/>
      <c r="J14" s="939" t="str">
        <f>IF(Q13="","",UPPER(VLOOKUP(Q13,'GREEN SHEET'!C7:FK70,3,0)))</f>
        <v>DEVENDRA SHARMA</v>
      </c>
      <c r="K14" s="939"/>
      <c r="L14" s="939"/>
      <c r="M14" s="939"/>
      <c r="N14" s="939"/>
      <c r="O14" s="939"/>
      <c r="P14" s="939"/>
      <c r="Q14" s="939"/>
      <c r="R14" s="939"/>
      <c r="S14" s="939"/>
      <c r="T14" s="939"/>
      <c r="U14" s="939"/>
      <c r="V14" s="939"/>
      <c r="W14" s="939"/>
      <c r="X14" s="939"/>
      <c r="Y14" s="143"/>
      <c r="Z14" s="144"/>
      <c r="AA14" s="151"/>
      <c r="AB14" s="151"/>
      <c r="AC14" s="905"/>
    </row>
    <row r="15" spans="1:30" ht="17.399999999999999" x14ac:dyDescent="0.3">
      <c r="B15" s="339"/>
      <c r="C15" s="1279" t="s">
        <v>128</v>
      </c>
      <c r="D15" s="939"/>
      <c r="E15" s="939"/>
      <c r="F15" s="939"/>
      <c r="G15" s="939"/>
      <c r="H15" s="939"/>
      <c r="I15" s="939"/>
      <c r="J15" s="939" t="str">
        <f>IF(Q13="","",UPPER(VLOOKUP(Q13,'GREEN SHEET'!C7:FK70,4,0)))</f>
        <v>SURESH SHARMA</v>
      </c>
      <c r="K15" s="939"/>
      <c r="L15" s="939"/>
      <c r="M15" s="939"/>
      <c r="N15" s="939"/>
      <c r="O15" s="939"/>
      <c r="P15" s="939"/>
      <c r="Q15" s="939"/>
      <c r="R15" s="939"/>
      <c r="S15" s="939"/>
      <c r="T15" s="939"/>
      <c r="U15" s="939"/>
      <c r="V15" s="939"/>
      <c r="W15" s="939"/>
      <c r="X15" s="939"/>
      <c r="Y15" s="1281"/>
      <c r="Z15" s="1281"/>
      <c r="AA15" s="1282"/>
      <c r="AB15" s="420"/>
      <c r="AC15" s="905"/>
    </row>
    <row r="16" spans="1:30" ht="17.399999999999999" x14ac:dyDescent="0.3">
      <c r="B16" s="339"/>
      <c r="C16" s="1279" t="s">
        <v>79</v>
      </c>
      <c r="D16" s="939"/>
      <c r="E16" s="939"/>
      <c r="F16" s="939"/>
      <c r="G16" s="939"/>
      <c r="H16" s="939"/>
      <c r="I16" s="939"/>
      <c r="J16" s="943">
        <f>IF(Q13="","",VLOOKUP(Q13,'GREEN SHEET'!C7:FK70,6,0))</f>
        <v>39287</v>
      </c>
      <c r="K16" s="943"/>
      <c r="L16" s="943"/>
      <c r="M16" s="943"/>
      <c r="N16" s="943"/>
      <c r="O16" s="943"/>
      <c r="P16" s="943"/>
      <c r="Q16" s="943"/>
      <c r="R16" s="943"/>
      <c r="S16" s="943"/>
      <c r="T16" s="943"/>
      <c r="U16" s="943"/>
      <c r="V16" s="943"/>
      <c r="W16" s="943"/>
      <c r="X16" s="659"/>
      <c r="Y16" s="1281"/>
      <c r="Z16" s="1281"/>
      <c r="AA16" s="1282"/>
      <c r="AB16" s="420"/>
      <c r="AC16" s="905"/>
    </row>
    <row r="17" spans="1:29" ht="8.4" customHeight="1" thickBot="1" x14ac:dyDescent="0.35">
      <c r="B17" s="339"/>
      <c r="C17" s="1279"/>
      <c r="D17" s="939"/>
      <c r="E17" s="939"/>
      <c r="F17" s="939"/>
      <c r="G17" s="939"/>
      <c r="H17" s="939"/>
      <c r="I17" s="939"/>
      <c r="K17" s="662"/>
      <c r="L17" s="662"/>
      <c r="M17" s="662"/>
      <c r="N17" s="662"/>
      <c r="O17" s="662"/>
      <c r="P17" s="662"/>
      <c r="Q17" s="662"/>
      <c r="R17" s="662"/>
      <c r="S17" s="662"/>
      <c r="T17" s="662"/>
      <c r="U17" s="662"/>
      <c r="V17" s="662"/>
      <c r="W17" s="662"/>
      <c r="X17" s="268"/>
      <c r="Y17" s="1283"/>
      <c r="Z17" s="1283"/>
      <c r="AA17" s="1284"/>
      <c r="AB17" s="421"/>
      <c r="AC17" s="905"/>
    </row>
    <row r="18" spans="1:29" ht="21.75" customHeight="1" thickBot="1" x14ac:dyDescent="0.35">
      <c r="B18" s="339"/>
      <c r="C18" s="1110" t="s">
        <v>272</v>
      </c>
      <c r="D18" s="1111"/>
      <c r="E18" s="1111"/>
      <c r="F18" s="1111"/>
      <c r="G18" s="1111"/>
      <c r="H18" s="1111"/>
      <c r="I18" s="1111"/>
      <c r="J18" s="1111"/>
      <c r="K18" s="1111"/>
      <c r="L18" s="1111"/>
      <c r="M18" s="1111"/>
      <c r="N18" s="1111"/>
      <c r="O18" s="1111"/>
      <c r="P18" s="1111"/>
      <c r="Q18" s="1111"/>
      <c r="R18" s="1111"/>
      <c r="S18" s="1111"/>
      <c r="T18" s="1111"/>
      <c r="U18" s="1111"/>
      <c r="V18" s="1111"/>
      <c r="W18" s="1111"/>
      <c r="X18" s="1111"/>
      <c r="Y18" s="1111"/>
      <c r="Z18" s="1111"/>
      <c r="AA18" s="1112"/>
      <c r="AB18" s="245"/>
      <c r="AC18" s="905"/>
    </row>
    <row r="19" spans="1:29" ht="3.75" customHeight="1" thickBot="1" x14ac:dyDescent="0.35">
      <c r="B19" s="339"/>
      <c r="C19" s="414"/>
      <c r="D19" s="406"/>
      <c r="E19" s="406"/>
      <c r="F19" s="406"/>
      <c r="G19" s="406"/>
      <c r="H19" s="406"/>
      <c r="I19" s="406"/>
      <c r="J19" s="406"/>
      <c r="K19" s="406"/>
      <c r="L19" s="406"/>
      <c r="M19" s="406"/>
      <c r="N19" s="406"/>
      <c r="O19" s="406"/>
      <c r="P19" s="406"/>
      <c r="Q19" s="406"/>
      <c r="R19" s="406"/>
      <c r="S19" s="406"/>
      <c r="T19" s="406"/>
      <c r="U19" s="406"/>
      <c r="V19" s="406"/>
      <c r="W19" s="406"/>
      <c r="X19" s="406"/>
      <c r="Y19" s="406"/>
      <c r="Z19" s="406"/>
      <c r="AA19" s="245"/>
      <c r="AB19" s="245"/>
      <c r="AC19" s="905"/>
    </row>
    <row r="20" spans="1:29" ht="31.5" customHeight="1" x14ac:dyDescent="0.3">
      <c r="B20" s="339"/>
      <c r="C20" s="1293" t="s">
        <v>150</v>
      </c>
      <c r="D20" s="1294"/>
      <c r="E20" s="1294"/>
      <c r="F20" s="1294"/>
      <c r="G20" s="1295"/>
      <c r="H20" s="1296" t="s">
        <v>94</v>
      </c>
      <c r="I20" s="1298"/>
      <c r="J20" s="1296" t="s">
        <v>95</v>
      </c>
      <c r="K20" s="1298"/>
      <c r="L20" s="1296" t="s">
        <v>132</v>
      </c>
      <c r="M20" s="1297"/>
      <c r="N20" s="1297"/>
      <c r="O20" s="1298"/>
      <c r="P20" s="1296" t="s">
        <v>145</v>
      </c>
      <c r="Q20" s="1297"/>
      <c r="R20" s="1298"/>
      <c r="S20" s="1296" t="s">
        <v>148</v>
      </c>
      <c r="T20" s="1297"/>
      <c r="U20" s="1297"/>
      <c r="V20" s="1297"/>
      <c r="W20" s="1298"/>
      <c r="X20" s="1296" t="s">
        <v>131</v>
      </c>
      <c r="Y20" s="1297"/>
      <c r="Z20" s="1298"/>
      <c r="AA20" s="1113" t="s">
        <v>159</v>
      </c>
      <c r="AB20" s="256"/>
      <c r="AC20" s="905"/>
    </row>
    <row r="21" spans="1:29" ht="20.399999999999999" x14ac:dyDescent="0.3">
      <c r="B21" s="339"/>
      <c r="C21" s="1066" t="s">
        <v>93</v>
      </c>
      <c r="D21" s="1067"/>
      <c r="E21" s="1067"/>
      <c r="F21" s="1067"/>
      <c r="G21" s="1299"/>
      <c r="H21" s="1306">
        <v>5</v>
      </c>
      <c r="I21" s="1308"/>
      <c r="J21" s="1306">
        <v>5</v>
      </c>
      <c r="K21" s="1308"/>
      <c r="L21" s="1306">
        <v>30</v>
      </c>
      <c r="M21" s="1307"/>
      <c r="N21" s="1307"/>
      <c r="O21" s="1308"/>
      <c r="P21" s="1300">
        <v>20</v>
      </c>
      <c r="Q21" s="1301"/>
      <c r="R21" s="1302"/>
      <c r="S21" s="1300">
        <v>40</v>
      </c>
      <c r="T21" s="1301"/>
      <c r="U21" s="1301"/>
      <c r="V21" s="1301"/>
      <c r="W21" s="1302"/>
      <c r="X21" s="1300">
        <v>100</v>
      </c>
      <c r="Y21" s="1301"/>
      <c r="Z21" s="1302"/>
      <c r="AA21" s="1114"/>
      <c r="AB21" s="256"/>
      <c r="AC21" s="905"/>
    </row>
    <row r="22" spans="1:29" ht="18" thickBot="1" x14ac:dyDescent="0.35">
      <c r="B22" s="339"/>
      <c r="C22" s="1286" t="s">
        <v>1</v>
      </c>
      <c r="D22" s="1287"/>
      <c r="E22" s="1287"/>
      <c r="F22" s="1287"/>
      <c r="G22" s="1288"/>
      <c r="H22" s="1006">
        <f>IF(Q13="","",VLOOKUP(Q13,'GREEN SHEET'!C7:FK70,11,0))</f>
        <v>4</v>
      </c>
      <c r="I22" s="1007"/>
      <c r="J22" s="1006">
        <f>IF(Q13="","",VLOOKUP(Q13,'GREEN SHEET'!C7:FK70,15,0))</f>
        <v>5</v>
      </c>
      <c r="K22" s="1007"/>
      <c r="L22" s="1006">
        <f>IF(Q13="","",VLOOKUP(Q13,'GREEN SHEET'!C7:FK70,13,0))</f>
        <v>23</v>
      </c>
      <c r="M22" s="1289"/>
      <c r="N22" s="1289"/>
      <c r="O22" s="1007"/>
      <c r="P22" s="1006">
        <f>IF(Q13="","",VLOOKUP(Q13,'GREEN SHEET'!C7:FK70,20,0))</f>
        <v>20</v>
      </c>
      <c r="Q22" s="1289"/>
      <c r="R22" s="1007"/>
      <c r="S22" s="1006">
        <f>IF(VLOOKUP(Q13,'GREEN SHEET'!C7:FK70,25,0)="",VLOOKUP(Q13,'GREEN SHEET'!C7:FK70,22,0),VLOOKUP(Q13,'GREEN SHEET'!C7:FK70,25,0))</f>
        <v>0</v>
      </c>
      <c r="T22" s="1289"/>
      <c r="U22" s="1289"/>
      <c r="V22" s="1289"/>
      <c r="W22" s="1007"/>
      <c r="X22" s="1006">
        <f>IF(VLOOKUP(Q13,'GREEN SHEET'!C7:FK70,26,0)="",VLOOKUP(Q13,'GREEN SHEET'!C7:FK70,23,0),VLOOKUP(Q13,'GREEN SHEET'!C7:FK70,26,0))</f>
        <v>52</v>
      </c>
      <c r="Y22" s="1289"/>
      <c r="Z22" s="1007"/>
      <c r="AA22" s="303" t="str">
        <f>IF(X22="","",IF(Q13="","",IF(VLOOKUP(Q13,'GREEN SHEET'!C7:FK70,24,0)="","*",VLOOKUP(Q13,'GREEN SHEET'!C7:FK70,24,0))))</f>
        <v>*</v>
      </c>
      <c r="AB22" s="412"/>
      <c r="AC22" s="905"/>
    </row>
    <row r="23" spans="1:29" ht="3.75" customHeight="1" thickBot="1" x14ac:dyDescent="0.35">
      <c r="B23" s="339"/>
      <c r="C23" s="1290"/>
      <c r="D23" s="1291"/>
      <c r="E23" s="1291"/>
      <c r="F23" s="1291"/>
      <c r="G23" s="1291"/>
      <c r="H23" s="1291"/>
      <c r="I23" s="1291"/>
      <c r="J23" s="1291"/>
      <c r="K23" s="1291"/>
      <c r="L23" s="1291"/>
      <c r="M23" s="1291"/>
      <c r="N23" s="1291"/>
      <c r="O23" s="1291"/>
      <c r="P23" s="1291"/>
      <c r="Q23" s="1291"/>
      <c r="R23" s="1291"/>
      <c r="S23" s="1291"/>
      <c r="T23" s="1291"/>
      <c r="U23" s="1291"/>
      <c r="V23" s="1291"/>
      <c r="W23" s="1291"/>
      <c r="X23" s="1291"/>
      <c r="Y23" s="1291"/>
      <c r="Z23" s="1291"/>
      <c r="AA23" s="1292"/>
      <c r="AB23" s="415"/>
      <c r="AC23" s="905"/>
    </row>
    <row r="24" spans="1:29" ht="32.25" hidden="1" customHeight="1" x14ac:dyDescent="0.3">
      <c r="B24" s="339"/>
      <c r="C24" s="1293"/>
      <c r="D24" s="1294"/>
      <c r="E24" s="1294"/>
      <c r="F24" s="1294"/>
      <c r="G24" s="1295"/>
      <c r="H24" s="1309" t="s">
        <v>94</v>
      </c>
      <c r="I24" s="1310"/>
      <c r="J24" s="1309" t="s">
        <v>95</v>
      </c>
      <c r="K24" s="1310"/>
      <c r="L24" s="1296" t="s">
        <v>132</v>
      </c>
      <c r="M24" s="1297"/>
      <c r="N24" s="1297"/>
      <c r="O24" s="1298"/>
      <c r="P24" s="1296" t="s">
        <v>145</v>
      </c>
      <c r="Q24" s="1297"/>
      <c r="R24" s="1298"/>
      <c r="S24" s="1296" t="s">
        <v>148</v>
      </c>
      <c r="T24" s="1297"/>
      <c r="U24" s="1297"/>
      <c r="V24" s="1297"/>
      <c r="W24" s="1298"/>
      <c r="X24" s="1296" t="s">
        <v>131</v>
      </c>
      <c r="Y24" s="1297"/>
      <c r="Z24" s="1298"/>
      <c r="AA24" s="1113" t="s">
        <v>159</v>
      </c>
      <c r="AB24" s="256"/>
      <c r="AC24" s="905"/>
    </row>
    <row r="25" spans="1:29" ht="20.399999999999999" hidden="1" x14ac:dyDescent="0.3">
      <c r="B25" s="339"/>
      <c r="C25" s="1317" t="s">
        <v>93</v>
      </c>
      <c r="D25" s="1318"/>
      <c r="E25" s="1318"/>
      <c r="F25" s="1318"/>
      <c r="G25" s="1319"/>
      <c r="H25" s="1306">
        <v>5</v>
      </c>
      <c r="I25" s="1308"/>
      <c r="J25" s="1306">
        <v>5</v>
      </c>
      <c r="K25" s="1308"/>
      <c r="L25" s="1306">
        <v>30</v>
      </c>
      <c r="M25" s="1307"/>
      <c r="N25" s="1307"/>
      <c r="O25" s="1308"/>
      <c r="P25" s="1300">
        <v>10</v>
      </c>
      <c r="Q25" s="1301"/>
      <c r="R25" s="1302"/>
      <c r="S25" s="1300">
        <v>50</v>
      </c>
      <c r="T25" s="1301"/>
      <c r="U25" s="1301"/>
      <c r="V25" s="1301"/>
      <c r="W25" s="1302"/>
      <c r="X25" s="1303">
        <v>100</v>
      </c>
      <c r="Y25" s="1304"/>
      <c r="Z25" s="1305"/>
      <c r="AA25" s="1114"/>
      <c r="AB25" s="256"/>
      <c r="AC25" s="905"/>
    </row>
    <row r="26" spans="1:29" ht="18" hidden="1" thickBot="1" x14ac:dyDescent="0.35">
      <c r="B26" s="339"/>
      <c r="C26" s="1311" t="s">
        <v>86</v>
      </c>
      <c r="D26" s="1312"/>
      <c r="E26" s="1312"/>
      <c r="F26" s="1312"/>
      <c r="G26" s="1313"/>
      <c r="H26" s="1006" t="str">
        <f>IF(Q13="","",VLOOKUP(Q13,'GREEN SHEET'!C7:FK70,29,0))</f>
        <v/>
      </c>
      <c r="I26" s="1007"/>
      <c r="J26" s="1006" t="str">
        <f>IF(Q13="","",VLOOKUP(Q13,'GREEN SHEET'!C7:FK70,33,0))</f>
        <v/>
      </c>
      <c r="K26" s="1007"/>
      <c r="L26" s="1006" t="str">
        <f>IF(Q13="","",VLOOKUP(Q13,'GREEN SHEET'!C7:FK70,31,0))</f>
        <v/>
      </c>
      <c r="M26" s="1289"/>
      <c r="N26" s="1289"/>
      <c r="O26" s="1007"/>
      <c r="P26" s="1006" t="str">
        <f>IF(Q13="","",VLOOKUP(Q13,'GREEN SHEET'!C7:FK70,40,0))</f>
        <v/>
      </c>
      <c r="Q26" s="1289"/>
      <c r="R26" s="1007"/>
      <c r="S26" s="1006" t="str">
        <f>IF(VLOOKUP(Q13,'GREEN SHEET'!C7:FK70,45,0)="",VLOOKUP(Q13,'GREEN SHEET'!C7:FK70,42,0),VLOOKUP(Q13,'GREEN SHEET'!C7:FK70,45,0))</f>
        <v/>
      </c>
      <c r="T26" s="1289"/>
      <c r="U26" s="1289"/>
      <c r="V26" s="1289"/>
      <c r="W26" s="1007"/>
      <c r="X26" s="1314" t="str">
        <f>IF(Q13="","",IF(VLOOKUP(Q13,'GREEN SHEET'!C7:FK70,46,0)="",VLOOKUP(Q13,'GREEN SHEET'!C7:FK70,43,0),VLOOKUP(Q13,'GREEN SHEET'!C7:FK70,46,0)))</f>
        <v/>
      </c>
      <c r="Y26" s="1315"/>
      <c r="Z26" s="1316"/>
      <c r="AA26" s="304" t="str">
        <f>IF(X26="","",IF(Q13="","",IF(VLOOKUP(Q13,'GREEN SHEET'!C7:FK70,44,0)="","*",VLOOKUP(Q13,'GREEN SHEET'!C7:FK70,44,0))))</f>
        <v/>
      </c>
      <c r="AB26" s="258"/>
      <c r="AC26" s="905"/>
    </row>
    <row r="27" spans="1:29" ht="4.5" customHeight="1" thickBot="1" x14ac:dyDescent="0.35">
      <c r="B27" s="339"/>
      <c r="C27" s="1324"/>
      <c r="D27" s="1325"/>
      <c r="E27" s="1325"/>
      <c r="F27" s="1325"/>
      <c r="G27" s="1325"/>
      <c r="H27" s="1325"/>
      <c r="I27" s="1325"/>
      <c r="J27" s="1325"/>
      <c r="K27" s="1325"/>
      <c r="L27" s="1325"/>
      <c r="M27" s="1325"/>
      <c r="N27" s="1325"/>
      <c r="O27" s="1325"/>
      <c r="P27" s="1325"/>
      <c r="Q27" s="1325"/>
      <c r="R27" s="1325"/>
      <c r="S27" s="1325"/>
      <c r="T27" s="1325"/>
      <c r="U27" s="1325"/>
      <c r="V27" s="1325"/>
      <c r="W27" s="1325"/>
      <c r="X27" s="1325"/>
      <c r="Y27" s="1325"/>
      <c r="Z27" s="1325"/>
      <c r="AA27" s="1326"/>
      <c r="AB27" s="418"/>
      <c r="AC27" s="905"/>
    </row>
    <row r="28" spans="1:29" s="434" customFormat="1" ht="15.6" x14ac:dyDescent="0.3">
      <c r="A28" s="433"/>
      <c r="B28" s="275"/>
      <c r="C28" s="885" t="s">
        <v>87</v>
      </c>
      <c r="D28" s="886"/>
      <c r="E28" s="886"/>
      <c r="F28" s="886"/>
      <c r="G28" s="887"/>
      <c r="H28" s="1327" t="s">
        <v>126</v>
      </c>
      <c r="I28" s="1294"/>
      <c r="J28" s="1294"/>
      <c r="K28" s="1294"/>
      <c r="L28" s="1294"/>
      <c r="M28" s="1294"/>
      <c r="N28" s="1294"/>
      <c r="O28" s="1294"/>
      <c r="P28" s="1294"/>
      <c r="Q28" s="1294"/>
      <c r="R28" s="1294"/>
      <c r="S28" s="1294"/>
      <c r="T28" s="1294"/>
      <c r="U28" s="1294"/>
      <c r="V28" s="1294"/>
      <c r="W28" s="1294"/>
      <c r="X28" s="1294"/>
      <c r="Y28" s="1294"/>
      <c r="Z28" s="1295"/>
      <c r="AA28" s="1107" t="s">
        <v>159</v>
      </c>
      <c r="AB28" s="259"/>
      <c r="AC28" s="905"/>
    </row>
    <row r="29" spans="1:29" s="434" customFormat="1" ht="14.4" x14ac:dyDescent="0.3">
      <c r="A29" s="433"/>
      <c r="B29" s="275"/>
      <c r="C29" s="888"/>
      <c r="D29" s="889"/>
      <c r="E29" s="889"/>
      <c r="F29" s="889"/>
      <c r="G29" s="986"/>
      <c r="H29" s="1328" t="s">
        <v>97</v>
      </c>
      <c r="I29" s="1067"/>
      <c r="J29" s="1067"/>
      <c r="K29" s="1067"/>
      <c r="L29" s="1067"/>
      <c r="M29" s="1067"/>
      <c r="N29" s="1067"/>
      <c r="O29" s="1299"/>
      <c r="P29" s="1328" t="s">
        <v>97</v>
      </c>
      <c r="Q29" s="1067"/>
      <c r="R29" s="1067"/>
      <c r="S29" s="1299"/>
      <c r="T29" s="1329" t="s">
        <v>125</v>
      </c>
      <c r="U29" s="1330"/>
      <c r="V29" s="1330"/>
      <c r="W29" s="1331"/>
      <c r="X29" s="1335" t="s">
        <v>131</v>
      </c>
      <c r="Y29" s="1336"/>
      <c r="Z29" s="1337"/>
      <c r="AA29" s="1108"/>
      <c r="AB29" s="259"/>
      <c r="AC29" s="905"/>
    </row>
    <row r="30" spans="1:29" ht="14.4" x14ac:dyDescent="0.3">
      <c r="B30" s="339"/>
      <c r="C30" s="888"/>
      <c r="D30" s="889"/>
      <c r="E30" s="889"/>
      <c r="F30" s="889"/>
      <c r="G30" s="986"/>
      <c r="H30" s="1320" t="s">
        <v>94</v>
      </c>
      <c r="I30" s="1322"/>
      <c r="J30" s="1320" t="s">
        <v>95</v>
      </c>
      <c r="K30" s="1322"/>
      <c r="L30" s="1320" t="s">
        <v>132</v>
      </c>
      <c r="M30" s="1321"/>
      <c r="N30" s="1321"/>
      <c r="O30" s="1322"/>
      <c r="P30" s="1320" t="s">
        <v>96</v>
      </c>
      <c r="Q30" s="1321"/>
      <c r="R30" s="1321"/>
      <c r="S30" s="1322"/>
      <c r="T30" s="1332"/>
      <c r="U30" s="1333"/>
      <c r="V30" s="1333"/>
      <c r="W30" s="1334"/>
      <c r="X30" s="1338"/>
      <c r="Y30" s="1339"/>
      <c r="Z30" s="1340"/>
      <c r="AA30" s="1108"/>
      <c r="AB30" s="259"/>
      <c r="AC30" s="905"/>
    </row>
    <row r="31" spans="1:29" ht="23.25" customHeight="1" x14ac:dyDescent="0.3">
      <c r="B31" s="339"/>
      <c r="C31" s="1057"/>
      <c r="D31" s="1058"/>
      <c r="E31" s="1058"/>
      <c r="F31" s="1058"/>
      <c r="G31" s="1059"/>
      <c r="H31" s="1022" t="s">
        <v>77</v>
      </c>
      <c r="I31" s="1323"/>
      <c r="J31" s="1022" t="s">
        <v>77</v>
      </c>
      <c r="K31" s="1323"/>
      <c r="L31" s="1022" t="s">
        <v>77</v>
      </c>
      <c r="M31" s="1323"/>
      <c r="N31" s="1022" t="s">
        <v>78</v>
      </c>
      <c r="O31" s="1323"/>
      <c r="P31" s="1022" t="s">
        <v>77</v>
      </c>
      <c r="Q31" s="1323"/>
      <c r="R31" s="1022" t="s">
        <v>78</v>
      </c>
      <c r="S31" s="1323"/>
      <c r="T31" s="1022" t="s">
        <v>77</v>
      </c>
      <c r="U31" s="1323"/>
      <c r="V31" s="1022" t="s">
        <v>78</v>
      </c>
      <c r="W31" s="1323"/>
      <c r="X31" s="1341" t="s">
        <v>133</v>
      </c>
      <c r="Y31" s="1342"/>
      <c r="Z31" s="1343"/>
      <c r="AA31" s="1108"/>
      <c r="AB31" s="259"/>
      <c r="AC31" s="905"/>
    </row>
    <row r="32" spans="1:29" ht="17.399999999999999" x14ac:dyDescent="0.3">
      <c r="B32" s="339"/>
      <c r="C32" s="1066" t="s">
        <v>93</v>
      </c>
      <c r="D32" s="1067"/>
      <c r="E32" s="1067"/>
      <c r="F32" s="1067"/>
      <c r="G32" s="1299"/>
      <c r="H32" s="1068">
        <v>10</v>
      </c>
      <c r="I32" s="1344"/>
      <c r="J32" s="1068">
        <v>10</v>
      </c>
      <c r="K32" s="1344"/>
      <c r="L32" s="1034">
        <v>21</v>
      </c>
      <c r="M32" s="1036"/>
      <c r="N32" s="995">
        <v>9</v>
      </c>
      <c r="O32" s="1345"/>
      <c r="P32" s="1034">
        <v>35</v>
      </c>
      <c r="Q32" s="1036"/>
      <c r="R32" s="1034">
        <v>15</v>
      </c>
      <c r="S32" s="1036"/>
      <c r="T32" s="1034">
        <v>76</v>
      </c>
      <c r="U32" s="1036"/>
      <c r="V32" s="1034">
        <v>24</v>
      </c>
      <c r="W32" s="1036"/>
      <c r="X32" s="1034">
        <v>100</v>
      </c>
      <c r="Y32" s="1035"/>
      <c r="Z32" s="1036"/>
      <c r="AA32" s="1109"/>
      <c r="AB32" s="259"/>
      <c r="AC32" s="905"/>
    </row>
    <row r="33" spans="1:29" ht="17.399999999999999" x14ac:dyDescent="0.3">
      <c r="B33" s="339"/>
      <c r="C33" s="910" t="s">
        <v>88</v>
      </c>
      <c r="D33" s="911"/>
      <c r="E33" s="911"/>
      <c r="F33" s="911"/>
      <c r="G33" s="948"/>
      <c r="H33" s="1346">
        <f>IF(Q13="","",VLOOKUP(Q13,'GREEN SHEET'!C7:FK70,49,0))</f>
        <v>9</v>
      </c>
      <c r="I33" s="1347"/>
      <c r="J33" s="1346">
        <f>IF(Q13="","",VLOOKUP(Q13,'GREEN SHEET'!C7:FK70,55,0))</f>
        <v>10</v>
      </c>
      <c r="K33" s="1347"/>
      <c r="L33" s="1346">
        <f>IF(Q13="","",VLOOKUP(Q13,'GREEN SHEET'!C7:FK70,52,0))</f>
        <v>19</v>
      </c>
      <c r="M33" s="1347"/>
      <c r="N33" s="1348">
        <f>IF(Q13="","",VLOOKUP(Q13,'GREEN SHEET'!C7:FK70,53,0))</f>
        <v>9</v>
      </c>
      <c r="O33" s="1349"/>
      <c r="P33" s="1346">
        <f>IF(VLOOKUP(Q13,'GREEN SHEET'!C7:FK70,64,0)="",VLOOKUP(Q13,'GREEN SHEET'!C7:FK70,58,0),VLOOKUP(Q13,'GREEN SHEET'!C7:FK70,64,0))</f>
        <v>18</v>
      </c>
      <c r="Q33" s="1347"/>
      <c r="R33" s="1346">
        <f>IF(Q13="","",VLOOKUP(Q13,'GREEN SHEET'!C7:FK70,59,0))</f>
        <v>15</v>
      </c>
      <c r="S33" s="1347"/>
      <c r="T33" s="1346">
        <f t="shared" ref="T33" si="0">IF(P33="","",SUM(H33:M33,P33))</f>
        <v>56</v>
      </c>
      <c r="U33" s="1347"/>
      <c r="V33" s="1346">
        <f>IF(Q13="","",VLOOKUP(Q13,'GREEN SHEET'!C7:FK70,61,0))</f>
        <v>24</v>
      </c>
      <c r="W33" s="1347"/>
      <c r="X33" s="1346">
        <f>IF(T33="","",SUM(T33:W33))</f>
        <v>80</v>
      </c>
      <c r="Y33" s="1350"/>
      <c r="Z33" s="1347"/>
      <c r="AA33" s="371" t="str">
        <f>IF(X33="","",IF(VLOOKUP(Q13,'GREEN SHEET'!C7:FK70,63,0)="","*",VLOOKUP(Q13,'GREEN SHEET'!C7:FK70,63,0)))</f>
        <v>B1</v>
      </c>
      <c r="AB33" s="407"/>
      <c r="AC33" s="905"/>
    </row>
    <row r="34" spans="1:29" ht="17.399999999999999" x14ac:dyDescent="0.3">
      <c r="B34" s="339"/>
      <c r="C34" s="910" t="s">
        <v>83</v>
      </c>
      <c r="D34" s="911"/>
      <c r="E34" s="911"/>
      <c r="F34" s="911"/>
      <c r="G34" s="948"/>
      <c r="H34" s="1346">
        <f>IF(Q13="","",VLOOKUP(Q13,'GREEN SHEET'!C7:FK70,68,0))</f>
        <v>10</v>
      </c>
      <c r="I34" s="1347"/>
      <c r="J34" s="1346">
        <f>IF(Q13="","",VLOOKUP(Q13,'GREEN SHEET'!C7:FK70,74,0))</f>
        <v>10</v>
      </c>
      <c r="K34" s="1347"/>
      <c r="L34" s="1346">
        <f>IF(Q13="","",VLOOKUP(Q13,'GREEN SHEET'!C7:FK70,71,0))</f>
        <v>19</v>
      </c>
      <c r="M34" s="1347"/>
      <c r="N34" s="1348">
        <f>IF(Q13="","",VLOOKUP(Q13,'GREEN SHEET'!C7:FK70,72,0))</f>
        <v>9</v>
      </c>
      <c r="O34" s="1349"/>
      <c r="P34" s="1346">
        <f>IF(VLOOKUP(Q13,'GREEN SHEET'!C7:FK70,83,0)="",VLOOKUP(Q13,'GREEN SHEET'!C7:FK70,77,0),VLOOKUP(Q13,'GREEN SHEET'!C7:FK70,83,0))</f>
        <v>23</v>
      </c>
      <c r="Q34" s="1347"/>
      <c r="R34" s="1346">
        <f>IF(Q13="","",VLOOKUP(Q13,'GREEN SHEET'!C7:FK70,78,0))</f>
        <v>8</v>
      </c>
      <c r="S34" s="1347"/>
      <c r="T34" s="1346">
        <f t="shared" ref="T34:T36" si="1">IF(P34="","",SUM(H34:M34,P34))</f>
        <v>62</v>
      </c>
      <c r="U34" s="1347"/>
      <c r="V34" s="1346">
        <f>IF(Q13="","",VLOOKUP(Q13,'GREEN SHEET'!C7:FK70,80,0))</f>
        <v>17</v>
      </c>
      <c r="W34" s="1347"/>
      <c r="X34" s="1346">
        <f t="shared" ref="X34:X36" si="2">IF(T34="","",SUM(T34:W34))</f>
        <v>79</v>
      </c>
      <c r="Y34" s="1350"/>
      <c r="Z34" s="1347"/>
      <c r="AA34" s="371" t="str">
        <f>IF(X34="","",IF(VLOOKUP(Q13,'GREEN SHEET'!C7:FK70,82,0)="","*",VLOOKUP(Q13,'GREEN SHEET'!C7:FK70,82,0)))</f>
        <v>B1</v>
      </c>
      <c r="AB34" s="407"/>
      <c r="AC34" s="905"/>
    </row>
    <row r="35" spans="1:29" ht="17.399999999999999" x14ac:dyDescent="0.3">
      <c r="B35" s="339"/>
      <c r="C35" s="910" t="s">
        <v>89</v>
      </c>
      <c r="D35" s="911"/>
      <c r="E35" s="911"/>
      <c r="F35" s="911"/>
      <c r="G35" s="948"/>
      <c r="H35" s="1346">
        <f>IF(Q13="","",VLOOKUP(Q13,'GREEN SHEET'!C7:FK70,87,0))</f>
        <v>10</v>
      </c>
      <c r="I35" s="1347"/>
      <c r="J35" s="1346">
        <f>IF(Q13="","",VLOOKUP(Q13,'GREEN SHEET'!C7:FK70,93,0))</f>
        <v>9</v>
      </c>
      <c r="K35" s="1347"/>
      <c r="L35" s="1346">
        <f>IF(Q13="","",VLOOKUP(Q13,'GREEN SHEET'!C7:FK70,90,0))</f>
        <v>20</v>
      </c>
      <c r="M35" s="1347"/>
      <c r="N35" s="1348">
        <f>IF(Q13="","",VLOOKUP(Q13,'GREEN SHEET'!C7:FK70,91,0))</f>
        <v>8</v>
      </c>
      <c r="O35" s="1349"/>
      <c r="P35" s="1346">
        <f>IF(VLOOKUP(Q13,'GREEN SHEET'!C7:FK70,102,0)="",VLOOKUP(Q13,'GREEN SHEET'!C7:FK70,96,0),VLOOKUP(Q13,'GREEN SHEET'!C7:FK70,102,0))</f>
        <v>0</v>
      </c>
      <c r="Q35" s="1347"/>
      <c r="R35" s="1346">
        <f>IF(Q13="","",VLOOKUP(Q13,'GREEN SHEET'!C7:FK70,97,0))</f>
        <v>12</v>
      </c>
      <c r="S35" s="1347"/>
      <c r="T35" s="1346">
        <f t="shared" si="1"/>
        <v>39</v>
      </c>
      <c r="U35" s="1347"/>
      <c r="V35" s="1346">
        <f>IF(Q13="","",VLOOKUP(Q13,'GREEN SHEET'!C7:FK70,99,0))</f>
        <v>20</v>
      </c>
      <c r="W35" s="1347"/>
      <c r="X35" s="1346">
        <f t="shared" si="2"/>
        <v>59</v>
      </c>
      <c r="Y35" s="1350"/>
      <c r="Z35" s="1347"/>
      <c r="AA35" s="372" t="str">
        <f>IF(X35="","",IF(VLOOKUP(Q13,'GREEN SHEET'!C7:FK70,101,0)="","*",VLOOKUP(Q13,'GREEN SHEET'!C7:FK70,101,0)))</f>
        <v>*</v>
      </c>
      <c r="AB35" s="407"/>
      <c r="AC35" s="905"/>
    </row>
    <row r="36" spans="1:29" ht="18" thickBot="1" x14ac:dyDescent="0.35">
      <c r="B36" s="339"/>
      <c r="C36" s="890" t="s">
        <v>134</v>
      </c>
      <c r="D36" s="891"/>
      <c r="E36" s="891"/>
      <c r="F36" s="891"/>
      <c r="G36" s="1005"/>
      <c r="H36" s="1351">
        <f>IF(Q13="","",VLOOKUP(Q13,'GREEN SHEET'!C7:FK70,106,0))</f>
        <v>7</v>
      </c>
      <c r="I36" s="1353"/>
      <c r="J36" s="1351">
        <f>IF(Q13="","",VLOOKUP(Q13,'GREEN SHEET'!C7:FK70,112,0))</f>
        <v>9</v>
      </c>
      <c r="K36" s="1353"/>
      <c r="L36" s="1351">
        <f>IF(Q13="","",VLOOKUP(Q13,'GREEN SHEET'!C7:FK70,109,0))</f>
        <v>17</v>
      </c>
      <c r="M36" s="1353"/>
      <c r="N36" s="1357">
        <f>IF(Q13="","",VLOOKUP(Q13,'GREEN SHEET'!C7:FK70,110,0))</f>
        <v>9</v>
      </c>
      <c r="O36" s="1358"/>
      <c r="P36" s="1351">
        <f>IF(VLOOKUP(Q13,'GREEN SHEET'!C7:FK70,121,0)="",VLOOKUP(Q13,'GREEN SHEET'!C7:FK70,115,0),VLOOKUP(Q13,'GREEN SHEET'!C7:FK70,121,0))</f>
        <v>30</v>
      </c>
      <c r="Q36" s="1353"/>
      <c r="R36" s="1351">
        <f>IF(Q13="","",VLOOKUP(Q13,'GREEN SHEET'!C7:FK70,116,0))</f>
        <v>13</v>
      </c>
      <c r="S36" s="1353"/>
      <c r="T36" s="1351">
        <f t="shared" si="1"/>
        <v>63</v>
      </c>
      <c r="U36" s="1353"/>
      <c r="V36" s="1351">
        <f>IF(Q13="","",VLOOKUP(Q13,'GREEN SHEET'!C7:FK70,118,0))</f>
        <v>22</v>
      </c>
      <c r="W36" s="1353"/>
      <c r="X36" s="1351">
        <f t="shared" si="2"/>
        <v>85</v>
      </c>
      <c r="Y36" s="1352"/>
      <c r="Z36" s="1353"/>
      <c r="AA36" s="373" t="str">
        <f>IF(X36="","",IF(VLOOKUP(Q13,'GREEN SHEET'!C7:FK70,120,0)="","*",VLOOKUP(Q13,'GREEN SHEET'!C7:FK70,120,0)))</f>
        <v>A2</v>
      </c>
      <c r="AB36" s="407"/>
      <c r="AC36" s="905"/>
    </row>
    <row r="37" spans="1:29" ht="18" hidden="1" thickBot="1" x14ac:dyDescent="0.35">
      <c r="B37" s="339"/>
      <c r="C37" s="1354" t="str">
        <f>"ADDITIONAL "&amp;"("&amp;VLOOKUP(Q13,ADDITIONAL!D8:T52,2,FALSE)&amp;")"</f>
        <v>ADDITIONAL ()</v>
      </c>
      <c r="D37" s="1355"/>
      <c r="E37" s="1355"/>
      <c r="F37" s="1355"/>
      <c r="G37" s="1356"/>
      <c r="H37" s="1351" t="str">
        <f>VLOOKUP(Q13,ADDITIONAL!D8:U52,9,FALSE)</f>
        <v/>
      </c>
      <c r="I37" s="1353"/>
      <c r="J37" s="1351" t="str">
        <f>VLOOKUP(Q13,ADDITIONAL!D8:U52,12,FALSE)</f>
        <v/>
      </c>
      <c r="K37" s="1353"/>
      <c r="L37" s="1351" t="str">
        <f>VLOOKUP(Q13,ADDITIONAL!D8:U52,10,FALSE)</f>
        <v/>
      </c>
      <c r="M37" s="1353"/>
      <c r="N37" s="1357" t="str">
        <f>VLOOKUP(Q13,ADDITIONAL!D8:U52,11,FALSE)</f>
        <v/>
      </c>
      <c r="O37" s="1358"/>
      <c r="P37" s="1351" t="str">
        <f>VLOOKUP(Q13,ADDITIONAL!D8:U52,13,FALSE)</f>
        <v/>
      </c>
      <c r="Q37" s="1353"/>
      <c r="R37" s="1351" t="str">
        <f>VLOOKUP(Q13,ADDITIONAL!D8:U52,14,FALSE)</f>
        <v/>
      </c>
      <c r="S37" s="1353"/>
      <c r="T37" s="1351" t="str">
        <f>VLOOKUP(Q13,ADDITIONAL!D8:U52,15,FALSE)</f>
        <v/>
      </c>
      <c r="U37" s="1353"/>
      <c r="V37" s="1351" t="str">
        <f>VLOOKUP(Q13,ADDITIONAL!D8:U52,16,FALSE)</f>
        <v/>
      </c>
      <c r="W37" s="1353"/>
      <c r="X37" s="1351" t="str">
        <f>VLOOKUP(Q13,ADDITIONAL!D8:U52,17,FALSE)</f>
        <v/>
      </c>
      <c r="Y37" s="1352"/>
      <c r="Z37" s="1353"/>
      <c r="AA37" s="373" t="str">
        <f>VLOOKUP(Q13,ADDITIONAL!D8:U52,18,FALSE)</f>
        <v/>
      </c>
      <c r="AB37" s="407"/>
      <c r="AC37" s="905"/>
    </row>
    <row r="38" spans="1:29" ht="4.5" customHeight="1" thickBot="1" x14ac:dyDescent="0.35">
      <c r="B38" s="339"/>
      <c r="C38" s="367"/>
      <c r="D38" s="368"/>
      <c r="E38" s="368"/>
      <c r="F38" s="368"/>
      <c r="G38" s="368"/>
      <c r="H38" s="369"/>
      <c r="I38" s="369"/>
      <c r="J38" s="369"/>
      <c r="K38" s="369"/>
      <c r="L38" s="369"/>
      <c r="M38" s="369"/>
      <c r="N38" s="435"/>
      <c r="O38" s="435"/>
      <c r="P38" s="369"/>
      <c r="Q38" s="369"/>
      <c r="R38" s="369"/>
      <c r="S38" s="369"/>
      <c r="T38" s="369"/>
      <c r="U38" s="369"/>
      <c r="V38" s="369"/>
      <c r="W38" s="369"/>
      <c r="X38" s="369"/>
      <c r="Y38" s="369"/>
      <c r="Z38" s="369"/>
      <c r="AA38" s="370"/>
      <c r="AB38" s="407"/>
      <c r="AC38" s="905"/>
    </row>
    <row r="39" spans="1:29" ht="6" customHeight="1" thickBot="1" x14ac:dyDescent="0.35">
      <c r="B39" s="339"/>
      <c r="C39" s="365"/>
      <c r="D39" s="366"/>
      <c r="E39" s="366"/>
      <c r="F39" s="366"/>
      <c r="G39" s="366"/>
      <c r="H39" s="366"/>
      <c r="I39" s="366"/>
      <c r="J39" s="366"/>
      <c r="K39" s="366"/>
      <c r="L39" s="366"/>
      <c r="M39" s="366"/>
      <c r="N39" s="366"/>
      <c r="O39" s="366"/>
      <c r="P39" s="366"/>
      <c r="Q39" s="366"/>
      <c r="R39" s="366"/>
      <c r="S39" s="366"/>
      <c r="T39" s="366"/>
      <c r="U39" s="366"/>
      <c r="V39" s="366"/>
      <c r="W39" s="366"/>
      <c r="X39" s="366"/>
      <c r="Y39" s="366"/>
      <c r="Z39" s="366"/>
      <c r="AA39" s="261"/>
      <c r="AB39" s="261"/>
      <c r="AC39" s="905"/>
    </row>
    <row r="40" spans="1:29" s="438" customFormat="1" ht="15" thickBot="1" x14ac:dyDescent="0.35">
      <c r="A40" s="436"/>
      <c r="B40" s="437"/>
      <c r="C40" s="104"/>
      <c r="D40" s="1359" t="s">
        <v>257</v>
      </c>
      <c r="E40" s="1360"/>
      <c r="F40" s="1360"/>
      <c r="G40" s="1360"/>
      <c r="H40" s="1360"/>
      <c r="I40" s="1360"/>
      <c r="J40" s="1361"/>
      <c r="K40" s="105"/>
      <c r="L40" s="1368" t="s">
        <v>90</v>
      </c>
      <c r="M40" s="1369"/>
      <c r="N40" s="1369"/>
      <c r="O40" s="1369"/>
      <c r="P40" s="1369"/>
      <c r="Q40" s="1369"/>
      <c r="R40" s="1369"/>
      <c r="S40" s="1369"/>
      <c r="T40" s="1369"/>
      <c r="U40" s="1369"/>
      <c r="V40" s="1369"/>
      <c r="W40" s="1369"/>
      <c r="X40" s="1369"/>
      <c r="Y40" s="1369"/>
      <c r="Z40" s="1370"/>
      <c r="AA40" s="418"/>
      <c r="AB40" s="418"/>
      <c r="AC40" s="905"/>
    </row>
    <row r="41" spans="1:29" s="438" customFormat="1" ht="18.75" customHeight="1" x14ac:dyDescent="0.3">
      <c r="A41" s="436"/>
      <c r="B41" s="437"/>
      <c r="C41" s="103"/>
      <c r="D41" s="1362"/>
      <c r="E41" s="1363"/>
      <c r="F41" s="1363"/>
      <c r="G41" s="1363"/>
      <c r="H41" s="1363"/>
      <c r="I41" s="1363"/>
      <c r="J41" s="1364"/>
      <c r="K41" s="105"/>
      <c r="L41" s="1371" t="s">
        <v>150</v>
      </c>
      <c r="M41" s="1372"/>
      <c r="N41" s="1372"/>
      <c r="O41" s="1372"/>
      <c r="P41" s="1372"/>
      <c r="Q41" s="1372"/>
      <c r="R41" s="1372"/>
      <c r="S41" s="1372"/>
      <c r="T41" s="1372"/>
      <c r="U41" s="1373"/>
      <c r="V41" s="1374" t="s">
        <v>159</v>
      </c>
      <c r="W41" s="1375"/>
      <c r="X41" s="1375"/>
      <c r="Y41" s="1375"/>
      <c r="Z41" s="1376"/>
      <c r="AA41" s="418"/>
      <c r="AB41" s="418"/>
      <c r="AC41" s="905"/>
    </row>
    <row r="42" spans="1:29" s="438" customFormat="1" ht="18.75" customHeight="1" thickBot="1" x14ac:dyDescent="0.35">
      <c r="A42" s="436"/>
      <c r="B42" s="437"/>
      <c r="C42" s="100"/>
      <c r="D42" s="1365"/>
      <c r="E42" s="1366"/>
      <c r="F42" s="1366"/>
      <c r="G42" s="1366"/>
      <c r="H42" s="1366"/>
      <c r="I42" s="1366"/>
      <c r="J42" s="1367"/>
      <c r="K42" s="105"/>
      <c r="L42" s="1066" t="s">
        <v>91</v>
      </c>
      <c r="M42" s="1067"/>
      <c r="N42" s="1067"/>
      <c r="O42" s="1067"/>
      <c r="P42" s="1067"/>
      <c r="Q42" s="1067"/>
      <c r="R42" s="1067"/>
      <c r="S42" s="1067"/>
      <c r="T42" s="1067"/>
      <c r="U42" s="1299"/>
      <c r="V42" s="1328" t="str">
        <f>IF(VLOOKUP(Q13,'CO-SCHOLOSTIC'!D7:H51,2,0)="","",VLOOKUP(Q13,'CO-SCHOLOSTIC'!D7:H51,2,0))</f>
        <v>A</v>
      </c>
      <c r="W42" s="1067"/>
      <c r="X42" s="1067"/>
      <c r="Y42" s="1067"/>
      <c r="Z42" s="1377"/>
      <c r="AA42" s="418"/>
      <c r="AB42" s="418"/>
      <c r="AC42" s="905"/>
    </row>
    <row r="43" spans="1:29" s="438" customFormat="1" ht="18.75" customHeight="1" x14ac:dyDescent="0.3">
      <c r="A43" s="436"/>
      <c r="B43" s="437"/>
      <c r="C43" s="100"/>
      <c r="D43" s="1359" t="str">
        <f>IF(Q13="","",IF(VLOOKUP(Q13,ADDITIONAL!D8:E52,2,0)="","NIL",VLOOKUP(Q13,ADDITIONAL!D8:E52,2,0)))</f>
        <v>NIL</v>
      </c>
      <c r="E43" s="1360"/>
      <c r="F43" s="1360"/>
      <c r="G43" s="1360"/>
      <c r="H43" s="1360"/>
      <c r="I43" s="1360"/>
      <c r="J43" s="1361"/>
      <c r="K43" s="105"/>
      <c r="L43" s="1066" t="s">
        <v>37</v>
      </c>
      <c r="M43" s="1067"/>
      <c r="N43" s="1067"/>
      <c r="O43" s="1067"/>
      <c r="P43" s="1067"/>
      <c r="Q43" s="1067"/>
      <c r="R43" s="1067"/>
      <c r="S43" s="1067"/>
      <c r="T43" s="1067"/>
      <c r="U43" s="1299"/>
      <c r="V43" s="1328" t="str">
        <f>IF(VLOOKUP(Q13,'CO-SCHOLOSTIC'!D7:H51,3,0)="","",VLOOKUP(Q13,'CO-SCHOLOSTIC'!D7:H51,3,0))</f>
        <v>A</v>
      </c>
      <c r="W43" s="1067"/>
      <c r="X43" s="1067"/>
      <c r="Y43" s="1067"/>
      <c r="Z43" s="1377"/>
      <c r="AA43" s="102"/>
      <c r="AB43" s="96"/>
      <c r="AC43" s="905"/>
    </row>
    <row r="44" spans="1:29" s="438" customFormat="1" ht="18.75" customHeight="1" x14ac:dyDescent="0.3">
      <c r="A44" s="436"/>
      <c r="B44" s="437"/>
      <c r="C44" s="100"/>
      <c r="D44" s="1362"/>
      <c r="E44" s="1363"/>
      <c r="F44" s="1363"/>
      <c r="G44" s="1363"/>
      <c r="H44" s="1363"/>
      <c r="I44" s="1363"/>
      <c r="J44" s="1364"/>
      <c r="K44" s="105"/>
      <c r="L44" s="1066" t="s">
        <v>76</v>
      </c>
      <c r="M44" s="1067"/>
      <c r="N44" s="1067"/>
      <c r="O44" s="1067"/>
      <c r="P44" s="1067"/>
      <c r="Q44" s="1067"/>
      <c r="R44" s="1067"/>
      <c r="S44" s="1067"/>
      <c r="T44" s="1067"/>
      <c r="U44" s="1299"/>
      <c r="V44" s="1328" t="str">
        <f>IF(VLOOKUP(Q13,'CO-SCHOLOSTIC'!D7:H51,4,0)="","",VLOOKUP(Q13,'CO-SCHOLOSTIC'!D7:H51,4,0))</f>
        <v xml:space="preserve">A </v>
      </c>
      <c r="W44" s="1067"/>
      <c r="X44" s="1067"/>
      <c r="Y44" s="1067"/>
      <c r="Z44" s="1377"/>
      <c r="AA44" s="423"/>
      <c r="AB44" s="101"/>
      <c r="AC44" s="905"/>
    </row>
    <row r="45" spans="1:29" s="438" customFormat="1" ht="18.75" customHeight="1" thickBot="1" x14ac:dyDescent="0.35">
      <c r="A45" s="436"/>
      <c r="B45" s="437"/>
      <c r="C45" s="100"/>
      <c r="D45" s="1365"/>
      <c r="E45" s="1366"/>
      <c r="F45" s="1366"/>
      <c r="G45" s="1366"/>
      <c r="H45" s="1366"/>
      <c r="I45" s="1366"/>
      <c r="J45" s="1367"/>
      <c r="K45" s="105"/>
      <c r="L45" s="1381" t="s">
        <v>92</v>
      </c>
      <c r="M45" s="1382"/>
      <c r="N45" s="1382"/>
      <c r="O45" s="1382"/>
      <c r="P45" s="1382"/>
      <c r="Q45" s="1382"/>
      <c r="R45" s="1382"/>
      <c r="S45" s="1382"/>
      <c r="T45" s="1382"/>
      <c r="U45" s="1383"/>
      <c r="V45" s="1384" t="str">
        <f>IF(VLOOKUP(Q13,'CO-SCHOLOSTIC'!D7:H51,5,0)="","",VLOOKUP(Q13,'CO-SCHOLOSTIC'!D7:H51,5,0))</f>
        <v>A</v>
      </c>
      <c r="W45" s="1382"/>
      <c r="X45" s="1382"/>
      <c r="Y45" s="1382"/>
      <c r="Z45" s="1385"/>
      <c r="AA45" s="423"/>
      <c r="AB45" s="101"/>
      <c r="AC45" s="905"/>
    </row>
    <row r="46" spans="1:29" ht="4.8" customHeight="1" thickBot="1" x14ac:dyDescent="0.35">
      <c r="B46" s="339"/>
      <c r="C46" s="100"/>
      <c r="D46" s="99"/>
      <c r="E46" s="99"/>
      <c r="F46" s="99"/>
      <c r="G46" s="99"/>
      <c r="H46" s="99"/>
      <c r="I46" s="99"/>
      <c r="J46" s="99"/>
      <c r="K46" s="99"/>
      <c r="L46" s="99"/>
      <c r="M46" s="410"/>
      <c r="N46" s="410"/>
      <c r="O46" s="410"/>
      <c r="P46" s="410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300"/>
      <c r="AB46" s="96"/>
      <c r="AC46" s="905"/>
    </row>
    <row r="47" spans="1:29" s="438" customFormat="1" ht="18" customHeight="1" thickBot="1" x14ac:dyDescent="0.35">
      <c r="A47" s="436"/>
      <c r="B47" s="437"/>
      <c r="C47" s="1386" t="s">
        <v>198</v>
      </c>
      <c r="D47" s="1387"/>
      <c r="E47" s="1387"/>
      <c r="F47" s="1405" t="str">
        <f>IF(VLOOKUP(Q13,'GREEN SHEET'!C7:FK70,161,0)="",VLOOKUP(Q13,'GREEN SHEET'!C7:FK70,139,0),VLOOKUP(Q13,'GREEN SHEET'!C7:FK70,161,0))</f>
        <v>COMPARTMENT</v>
      </c>
      <c r="G47" s="1405"/>
      <c r="H47" s="1405"/>
      <c r="I47" s="1405"/>
      <c r="J47" s="1405"/>
      <c r="K47" s="1406"/>
      <c r="L47" s="1401" t="str">
        <f>IF(F47="PASS", "Marks Obtained","")</f>
        <v/>
      </c>
      <c r="M47" s="1402"/>
      <c r="N47" s="1402"/>
      <c r="O47" s="1402" t="str">
        <f>IF(L47="","",CONCATENATE(VLOOKUP(Q13,'GREEN SHEET'!C7:FK70,136,0),"/",'GREEN SHEET'!$EH$6))</f>
        <v/>
      </c>
      <c r="P47" s="1404"/>
      <c r="Q47" s="1401" t="str">
        <f>IF(F47="PASS", "Percent","")</f>
        <v/>
      </c>
      <c r="R47" s="1402"/>
      <c r="S47" s="1402"/>
      <c r="T47" s="1403" t="str">
        <f>IF(L47="","",CONCATENATE(VLOOKUP(Q13,'GREEN SHEET'!C7:FK70,137,0),"%"))</f>
        <v/>
      </c>
      <c r="U47" s="1403"/>
      <c r="V47" s="1401" t="str">
        <f>IF(F47="PASS", "Overall Grade","")</f>
        <v/>
      </c>
      <c r="W47" s="1402"/>
      <c r="X47" s="1402"/>
      <c r="Y47" s="1402" t="str">
        <f>IF(L47="","",VLOOKUP(Q13,'GREEN SHEET'!C7:FK70,138,0))</f>
        <v/>
      </c>
      <c r="Z47" s="1402"/>
      <c r="AA47" s="1404"/>
      <c r="AB47" s="745"/>
      <c r="AC47" s="905"/>
    </row>
    <row r="48" spans="1:29" ht="18.600000000000001" thickBot="1" x14ac:dyDescent="0.35">
      <c r="B48" s="339"/>
      <c r="C48" s="1407" t="str">
        <f>IF(F47="COMPARTMENT","COMPARTMENT IN SUBJECT:-","")</f>
        <v>COMPARTMENT IN SUBJECT:-</v>
      </c>
      <c r="D48" s="1408"/>
      <c r="E48" s="1408"/>
      <c r="F48" s="1408"/>
      <c r="G48" s="1408"/>
      <c r="H48" s="1408"/>
      <c r="I48" s="1408"/>
      <c r="J48" s="1409" t="str">
        <f>IF(C48="","",VLOOKUP(Q13,'GREEN SHEET'!C7:FK70,150,0))</f>
        <v>ENGLISH,BIOLOGY ,</v>
      </c>
      <c r="K48" s="1409"/>
      <c r="L48" s="1409"/>
      <c r="M48" s="1409"/>
      <c r="N48" s="1409"/>
      <c r="O48" s="1409"/>
      <c r="P48" s="1409"/>
      <c r="Q48" s="1409"/>
      <c r="R48" s="1409"/>
      <c r="S48" s="1409"/>
      <c r="T48" s="1409"/>
      <c r="U48" s="1409"/>
      <c r="V48" s="1409"/>
      <c r="W48" s="1409"/>
      <c r="X48" s="1409"/>
      <c r="Y48" s="1409"/>
      <c r="Z48" s="1409"/>
      <c r="AA48" s="1410"/>
      <c r="AB48" s="419"/>
      <c r="AC48" s="905"/>
    </row>
    <row r="49" spans="1:29" ht="32.25" customHeight="1" x14ac:dyDescent="0.3">
      <c r="B49" s="339"/>
      <c r="C49" s="1378" t="s">
        <v>174</v>
      </c>
      <c r="D49" s="1379"/>
      <c r="E49" s="1380" t="str">
        <f>IF(DASHBOARD!E17="","",DASHBOARD!E17)</f>
        <v>SVGMS, AMET</v>
      </c>
      <c r="F49" s="1380"/>
      <c r="G49" s="1380"/>
      <c r="H49" s="1380"/>
      <c r="I49" s="1380"/>
      <c r="J49" s="743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315"/>
      <c r="AB49" s="96"/>
      <c r="AC49" s="905"/>
    </row>
    <row r="50" spans="1:29" ht="15.75" customHeight="1" x14ac:dyDescent="0.3">
      <c r="B50" s="339"/>
      <c r="C50" s="969" t="s">
        <v>256</v>
      </c>
      <c r="D50" s="970"/>
      <c r="E50" s="889" t="str">
        <f>IF(F47="PASSED WITH COMPARTMENT",DASHBOARD!C18,DASHBOARD!C17)</f>
        <v>30.03.2026</v>
      </c>
      <c r="F50" s="889"/>
      <c r="G50" s="889"/>
      <c r="H50" s="889"/>
      <c r="I50" s="968" t="s">
        <v>231</v>
      </c>
      <c r="J50" s="968"/>
      <c r="K50" s="968"/>
      <c r="L50" s="968"/>
      <c r="M50" s="968"/>
      <c r="N50" s="968"/>
      <c r="O50" s="968"/>
      <c r="P50" s="145"/>
      <c r="Q50" s="968" t="s">
        <v>232</v>
      </c>
      <c r="R50" s="968"/>
      <c r="S50" s="968"/>
      <c r="T50" s="968"/>
      <c r="U50" s="968"/>
      <c r="V50" s="968" t="s">
        <v>233</v>
      </c>
      <c r="W50" s="968"/>
      <c r="X50" s="968"/>
      <c r="Y50" s="968"/>
      <c r="Z50" s="968"/>
      <c r="AA50" s="1056"/>
      <c r="AB50" s="411"/>
      <c r="AC50" s="905"/>
    </row>
    <row r="51" spans="1:29" s="350" customFormat="1" ht="17.25" customHeight="1" thickBot="1" x14ac:dyDescent="0.35">
      <c r="A51" s="348"/>
      <c r="B51" s="349"/>
      <c r="C51" s="349"/>
      <c r="E51" s="889"/>
      <c r="F51" s="889"/>
      <c r="G51" s="889"/>
      <c r="H51" s="889"/>
      <c r="I51" s="889" t="str">
        <f>IF(DASHBOARD!G8="","",DASHBOARD!G8)</f>
        <v>SUREKHA</v>
      </c>
      <c r="J51" s="889"/>
      <c r="K51" s="889"/>
      <c r="L51" s="889"/>
      <c r="M51" s="889"/>
      <c r="N51" s="889"/>
      <c r="O51" s="889"/>
      <c r="P51" s="742"/>
      <c r="Q51" s="889" t="str">
        <f>IF(DASHBOARD!H8="","",DASHBOARD!H8)</f>
        <v>SUREKHA</v>
      </c>
      <c r="R51" s="889"/>
      <c r="S51" s="889"/>
      <c r="T51" s="889"/>
      <c r="U51" s="889"/>
      <c r="V51" s="1146" t="str">
        <f>IF(DASHBOARD!D8="","",DASHBOARD!D8)</f>
        <v>NILESH KUMAR KHATIK</v>
      </c>
      <c r="W51" s="1146"/>
      <c r="X51" s="1146"/>
      <c r="Y51" s="1146"/>
      <c r="Z51" s="1146"/>
      <c r="AA51" s="1147"/>
      <c r="AB51" s="417"/>
      <c r="AC51" s="905"/>
    </row>
    <row r="52" spans="1:29" ht="12" hidden="1" customHeight="1" x14ac:dyDescent="0.3">
      <c r="B52" s="339"/>
      <c r="C52" s="141"/>
      <c r="D52" s="93"/>
      <c r="E52" s="93"/>
      <c r="F52" s="93"/>
      <c r="G52" s="93"/>
      <c r="H52" s="93"/>
      <c r="I52" s="218"/>
      <c r="J52" s="218"/>
      <c r="K52" s="218"/>
      <c r="L52" s="218"/>
      <c r="M52" s="218"/>
      <c r="N52" s="218"/>
      <c r="O52" s="218"/>
      <c r="P52" s="145"/>
      <c r="Q52" s="218"/>
      <c r="R52" s="218"/>
      <c r="S52" s="218"/>
      <c r="T52" s="218"/>
      <c r="U52" s="218"/>
      <c r="V52" s="145"/>
      <c r="W52" s="218"/>
      <c r="X52" s="218"/>
      <c r="Y52" s="218"/>
      <c r="Z52" s="218"/>
      <c r="AA52" s="302"/>
      <c r="AB52" s="411"/>
      <c r="AC52" s="905"/>
    </row>
    <row r="53" spans="1:29" ht="45" hidden="1" customHeight="1" thickBot="1" x14ac:dyDescent="0.35">
      <c r="B53" s="339"/>
      <c r="C53" s="146"/>
      <c r="D53" s="147"/>
      <c r="E53" s="147"/>
      <c r="F53" s="147"/>
      <c r="G53" s="147"/>
      <c r="H53" s="147"/>
      <c r="I53" s="148"/>
      <c r="J53" s="148"/>
      <c r="K53" s="148"/>
      <c r="L53" s="148"/>
      <c r="M53" s="148"/>
      <c r="N53" s="148"/>
      <c r="O53" s="148"/>
      <c r="P53" s="147"/>
      <c r="Q53" s="148"/>
      <c r="R53" s="148"/>
      <c r="S53" s="148"/>
      <c r="T53" s="148"/>
      <c r="U53" s="148"/>
      <c r="V53" s="147"/>
      <c r="W53" s="148"/>
      <c r="X53" s="148"/>
      <c r="Y53" s="148"/>
      <c r="Z53" s="148"/>
      <c r="AA53" s="307"/>
      <c r="AB53" s="418"/>
      <c r="AC53" s="905"/>
    </row>
    <row r="54" spans="1:29" ht="5.25" hidden="1" customHeight="1" thickBot="1" x14ac:dyDescent="0.35">
      <c r="B54" s="351"/>
      <c r="C54" s="746"/>
      <c r="D54" s="439"/>
      <c r="E54" s="439"/>
      <c r="F54" s="439"/>
      <c r="G54" s="439"/>
      <c r="H54" s="439"/>
      <c r="I54" s="439"/>
      <c r="J54" s="439"/>
      <c r="K54" s="439"/>
      <c r="L54" s="439"/>
      <c r="M54" s="439"/>
      <c r="N54" s="439"/>
      <c r="O54" s="439"/>
      <c r="P54" s="439"/>
      <c r="Q54" s="439"/>
      <c r="R54" s="439"/>
      <c r="S54" s="439"/>
      <c r="T54" s="439"/>
      <c r="U54" s="439"/>
      <c r="V54" s="439"/>
      <c r="W54" s="439"/>
      <c r="X54" s="439"/>
      <c r="Y54" s="439"/>
      <c r="Z54" s="439"/>
      <c r="AA54" s="747"/>
      <c r="AB54" s="352"/>
      <c r="AC54" s="905"/>
    </row>
    <row r="55" spans="1:29" ht="18" hidden="1" customHeight="1" x14ac:dyDescent="0.3">
      <c r="C55" s="748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228"/>
      <c r="Q55" s="228"/>
      <c r="R55" s="228"/>
      <c r="S55" s="228"/>
      <c r="T55" s="228"/>
      <c r="U55" s="228"/>
      <c r="V55" s="228"/>
      <c r="W55" s="228"/>
      <c r="X55" s="228"/>
      <c r="Y55" s="228"/>
      <c r="Z55" s="228"/>
      <c r="AA55" s="749"/>
      <c r="AB55" s="353"/>
    </row>
    <row r="56" spans="1:29" ht="14.25" hidden="1" customHeight="1" x14ac:dyDescent="0.3">
      <c r="A56" s="441"/>
      <c r="B56" s="441"/>
      <c r="C56" s="92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443"/>
      <c r="Q56" s="443"/>
      <c r="R56" s="443"/>
      <c r="S56" s="443"/>
      <c r="T56" s="443"/>
      <c r="U56" s="443"/>
      <c r="V56" s="443"/>
      <c r="W56" s="443"/>
      <c r="X56" s="443"/>
      <c r="Y56" s="443"/>
      <c r="Z56" s="443"/>
      <c r="AA56" s="750"/>
      <c r="AB56" s="443"/>
      <c r="AC56" s="441"/>
    </row>
    <row r="57" spans="1:29" ht="16.5" hidden="1" customHeight="1" thickBot="1" x14ac:dyDescent="0.35">
      <c r="C57" s="748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751"/>
      <c r="AB57" s="22"/>
    </row>
    <row r="58" spans="1:29" s="238" customFormat="1" ht="5.25" hidden="1" customHeight="1" thickBot="1" x14ac:dyDescent="0.35">
      <c r="A58" s="229"/>
      <c r="B58" s="271"/>
      <c r="C58" s="231"/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240"/>
      <c r="P58" s="240"/>
      <c r="Q58" s="240"/>
      <c r="R58" s="240"/>
      <c r="S58" s="240"/>
      <c r="T58" s="240"/>
      <c r="U58" s="240"/>
      <c r="V58" s="240"/>
      <c r="W58" s="240"/>
      <c r="X58" s="240"/>
      <c r="Y58" s="240"/>
      <c r="Z58" s="240"/>
      <c r="AA58" s="744"/>
      <c r="AB58" s="241"/>
      <c r="AC58" s="229"/>
    </row>
    <row r="59" spans="1:29" s="238" customFormat="1" ht="18" hidden="1" customHeight="1" thickBot="1" x14ac:dyDescent="0.35">
      <c r="A59" s="229"/>
      <c r="B59" s="275"/>
      <c r="C59" s="231"/>
      <c r="D59" s="232"/>
      <c r="E59" s="232"/>
      <c r="F59" s="232"/>
      <c r="G59" s="232"/>
      <c r="H59" s="232"/>
      <c r="I59" s="232"/>
      <c r="J59" s="232"/>
      <c r="K59" s="232"/>
      <c r="L59" s="232"/>
      <c r="M59" s="232"/>
      <c r="N59" s="232"/>
      <c r="O59" s="240"/>
      <c r="P59" s="240"/>
      <c r="Q59" s="240"/>
      <c r="R59" s="240"/>
      <c r="S59" s="240"/>
      <c r="T59" s="240"/>
      <c r="U59" s="240"/>
      <c r="V59" s="240"/>
      <c r="W59" s="240"/>
      <c r="X59" s="240"/>
      <c r="Y59" s="240"/>
      <c r="Z59" s="240"/>
      <c r="AA59" s="744"/>
      <c r="AB59" s="276"/>
      <c r="AC59" s="229"/>
    </row>
    <row r="60" spans="1:29" s="428" customFormat="1" ht="15" customHeight="1" thickBot="1" x14ac:dyDescent="0.35">
      <c r="A60" s="424"/>
      <c r="B60" s="425"/>
      <c r="C60" s="92"/>
      <c r="D60" s="228"/>
      <c r="E60" s="426"/>
      <c r="F60" s="1396" t="s">
        <v>234</v>
      </c>
      <c r="G60" s="1397"/>
      <c r="H60" s="1397"/>
      <c r="I60" s="1397"/>
      <c r="J60" s="1397"/>
      <c r="K60" s="1397"/>
      <c r="L60" s="1397"/>
      <c r="M60" s="1397"/>
      <c r="N60" s="1397"/>
      <c r="O60" s="1397"/>
      <c r="P60" s="1397"/>
      <c r="Q60" s="1397"/>
      <c r="R60" s="1397"/>
      <c r="S60" s="1397"/>
      <c r="T60" s="1397"/>
      <c r="U60" s="1397"/>
      <c r="V60" s="1397"/>
      <c r="W60" s="1397"/>
      <c r="X60" s="1397"/>
      <c r="Y60" s="1397"/>
      <c r="Z60" s="1398"/>
      <c r="AA60" s="427"/>
      <c r="AB60" s="427"/>
      <c r="AC60" s="424"/>
    </row>
    <row r="61" spans="1:29" s="428" customFormat="1" ht="18" customHeight="1" x14ac:dyDescent="0.3">
      <c r="A61" s="424"/>
      <c r="B61" s="425"/>
      <c r="C61" s="92"/>
      <c r="D61" s="228"/>
      <c r="E61" s="429"/>
      <c r="F61" s="1389" t="s">
        <v>235</v>
      </c>
      <c r="G61" s="960"/>
      <c r="H61" s="960"/>
      <c r="I61" s="960"/>
      <c r="J61" s="960"/>
      <c r="K61" s="960" t="s">
        <v>236</v>
      </c>
      <c r="L61" s="960"/>
      <c r="M61" s="960"/>
      <c r="N61" s="960"/>
      <c r="O61" s="960"/>
      <c r="P61" s="1399" t="s">
        <v>237</v>
      </c>
      <c r="Q61" s="1399"/>
      <c r="R61" s="1399"/>
      <c r="S61" s="1399"/>
      <c r="T61" s="1399"/>
      <c r="U61" s="1399"/>
      <c r="V61" s="1399"/>
      <c r="W61" s="1399"/>
      <c r="X61" s="1399"/>
      <c r="Y61" s="1399"/>
      <c r="Z61" s="1400"/>
      <c r="AA61" s="427"/>
      <c r="AB61" s="427"/>
      <c r="AC61" s="424"/>
    </row>
    <row r="62" spans="1:29" s="428" customFormat="1" ht="18" customHeight="1" x14ac:dyDescent="0.3">
      <c r="A62" s="424"/>
      <c r="B62" s="425"/>
      <c r="C62" s="92"/>
      <c r="D62" s="228"/>
      <c r="E62" s="429"/>
      <c r="F62" s="1389" t="s">
        <v>38</v>
      </c>
      <c r="G62" s="960"/>
      <c r="H62" s="960"/>
      <c r="I62" s="960"/>
      <c r="J62" s="960"/>
      <c r="K62" s="960" t="s">
        <v>173</v>
      </c>
      <c r="L62" s="960"/>
      <c r="M62" s="960"/>
      <c r="N62" s="960"/>
      <c r="O62" s="960"/>
      <c r="P62" s="960" t="s">
        <v>238</v>
      </c>
      <c r="Q62" s="960"/>
      <c r="R62" s="960"/>
      <c r="S62" s="960"/>
      <c r="T62" s="960"/>
      <c r="U62" s="960"/>
      <c r="V62" s="960"/>
      <c r="W62" s="960"/>
      <c r="X62" s="960"/>
      <c r="Y62" s="960"/>
      <c r="Z62" s="1390"/>
      <c r="AA62" s="427"/>
      <c r="AB62" s="427"/>
      <c r="AC62" s="424"/>
    </row>
    <row r="63" spans="1:29" s="428" customFormat="1" ht="18" customHeight="1" x14ac:dyDescent="0.3">
      <c r="A63" s="424"/>
      <c r="B63" s="425"/>
      <c r="C63" s="92"/>
      <c r="D63" s="228"/>
      <c r="E63" s="429"/>
      <c r="F63" s="1389" t="s">
        <v>39</v>
      </c>
      <c r="G63" s="960"/>
      <c r="H63" s="960"/>
      <c r="I63" s="960"/>
      <c r="J63" s="960"/>
      <c r="K63" s="960" t="s">
        <v>239</v>
      </c>
      <c r="L63" s="960"/>
      <c r="M63" s="960"/>
      <c r="N63" s="960"/>
      <c r="O63" s="960"/>
      <c r="P63" s="960" t="s">
        <v>236</v>
      </c>
      <c r="Q63" s="960"/>
      <c r="R63" s="960"/>
      <c r="S63" s="960"/>
      <c r="T63" s="960"/>
      <c r="U63" s="960"/>
      <c r="V63" s="960"/>
      <c r="W63" s="960"/>
      <c r="X63" s="960"/>
      <c r="Y63" s="960"/>
      <c r="Z63" s="1390"/>
      <c r="AA63" s="427"/>
      <c r="AB63" s="427"/>
      <c r="AC63" s="424"/>
    </row>
    <row r="64" spans="1:29" s="428" customFormat="1" ht="18" customHeight="1" x14ac:dyDescent="0.3">
      <c r="A64" s="424"/>
      <c r="B64" s="425"/>
      <c r="C64" s="92"/>
      <c r="D64" s="228"/>
      <c r="E64" s="429"/>
      <c r="F64" s="1389" t="s">
        <v>240</v>
      </c>
      <c r="G64" s="960"/>
      <c r="H64" s="960"/>
      <c r="I64" s="960"/>
      <c r="J64" s="960"/>
      <c r="K64" s="960" t="s">
        <v>228</v>
      </c>
      <c r="L64" s="960"/>
      <c r="M64" s="960"/>
      <c r="N64" s="960"/>
      <c r="O64" s="960"/>
      <c r="P64" s="960" t="s">
        <v>0</v>
      </c>
      <c r="Q64" s="960"/>
      <c r="R64" s="960"/>
      <c r="S64" s="960"/>
      <c r="T64" s="960"/>
      <c r="U64" s="960" t="s">
        <v>241</v>
      </c>
      <c r="V64" s="960"/>
      <c r="W64" s="960"/>
      <c r="X64" s="960"/>
      <c r="Y64" s="960"/>
      <c r="Z64" s="1390"/>
      <c r="AA64" s="427"/>
      <c r="AB64" s="427"/>
      <c r="AC64" s="424"/>
    </row>
    <row r="65" spans="1:29" s="428" customFormat="1" ht="18" customHeight="1" x14ac:dyDescent="0.3">
      <c r="A65" s="424"/>
      <c r="B65" s="425"/>
      <c r="C65" s="92"/>
      <c r="D65" s="228"/>
      <c r="E65" s="429"/>
      <c r="F65" s="1389" t="s">
        <v>242</v>
      </c>
      <c r="G65" s="960"/>
      <c r="H65" s="960"/>
      <c r="I65" s="960"/>
      <c r="J65" s="960"/>
      <c r="K65" s="960" t="s">
        <v>243</v>
      </c>
      <c r="L65" s="960"/>
      <c r="M65" s="960"/>
      <c r="N65" s="960"/>
      <c r="O65" s="960"/>
      <c r="P65" s="960" t="s">
        <v>244</v>
      </c>
      <c r="Q65" s="960"/>
      <c r="R65" s="960"/>
      <c r="S65" s="960"/>
      <c r="T65" s="960"/>
      <c r="U65" s="960" t="s">
        <v>245</v>
      </c>
      <c r="V65" s="960"/>
      <c r="W65" s="960"/>
      <c r="X65" s="960"/>
      <c r="Y65" s="960"/>
      <c r="Z65" s="1390"/>
      <c r="AA65" s="427"/>
      <c r="AB65" s="427"/>
      <c r="AC65" s="424"/>
    </row>
    <row r="66" spans="1:29" s="428" customFormat="1" ht="18" customHeight="1" x14ac:dyDescent="0.3">
      <c r="A66" s="424"/>
      <c r="B66" s="425"/>
      <c r="C66" s="92"/>
      <c r="D66" s="228"/>
      <c r="E66" s="429"/>
      <c r="F66" s="1389" t="s">
        <v>246</v>
      </c>
      <c r="G66" s="960"/>
      <c r="H66" s="960"/>
      <c r="I66" s="960"/>
      <c r="J66" s="960"/>
      <c r="K66" s="960" t="s">
        <v>247</v>
      </c>
      <c r="L66" s="960"/>
      <c r="M66" s="960"/>
      <c r="N66" s="960"/>
      <c r="O66" s="960"/>
      <c r="P66" s="960" t="s">
        <v>248</v>
      </c>
      <c r="Q66" s="960"/>
      <c r="R66" s="960"/>
      <c r="S66" s="960"/>
      <c r="T66" s="960"/>
      <c r="U66" s="960" t="s">
        <v>249</v>
      </c>
      <c r="V66" s="960"/>
      <c r="W66" s="960"/>
      <c r="X66" s="960"/>
      <c r="Y66" s="960"/>
      <c r="Z66" s="1390"/>
      <c r="AA66" s="427"/>
      <c r="AB66" s="427"/>
      <c r="AC66" s="424"/>
    </row>
    <row r="67" spans="1:29" s="428" customFormat="1" ht="18" customHeight="1" x14ac:dyDescent="0.3">
      <c r="A67" s="424"/>
      <c r="B67" s="425"/>
      <c r="C67" s="92"/>
      <c r="D67" s="228"/>
      <c r="E67" s="429"/>
      <c r="F67" s="1389" t="s">
        <v>40</v>
      </c>
      <c r="G67" s="960"/>
      <c r="H67" s="960"/>
      <c r="I67" s="960"/>
      <c r="J67" s="960"/>
      <c r="K67" s="960" t="s">
        <v>250</v>
      </c>
      <c r="L67" s="960"/>
      <c r="M67" s="960"/>
      <c r="N67" s="960"/>
      <c r="O67" s="960"/>
      <c r="P67" s="960" t="s">
        <v>251</v>
      </c>
      <c r="Q67" s="960"/>
      <c r="R67" s="960"/>
      <c r="S67" s="960"/>
      <c r="T67" s="960"/>
      <c r="U67" s="1391" t="s">
        <v>252</v>
      </c>
      <c r="V67" s="1391"/>
      <c r="W67" s="1391"/>
      <c r="X67" s="1391"/>
      <c r="Y67" s="1391"/>
      <c r="Z67" s="1392"/>
      <c r="AA67" s="427"/>
      <c r="AB67" s="427"/>
      <c r="AC67" s="424"/>
    </row>
    <row r="68" spans="1:29" s="428" customFormat="1" ht="18" customHeight="1" x14ac:dyDescent="0.3">
      <c r="A68" s="424"/>
      <c r="B68" s="425"/>
      <c r="C68" s="92"/>
      <c r="D68" s="228"/>
      <c r="E68" s="429"/>
      <c r="F68" s="1389" t="s">
        <v>253</v>
      </c>
      <c r="G68" s="960"/>
      <c r="H68" s="960"/>
      <c r="I68" s="960"/>
      <c r="J68" s="960"/>
      <c r="K68" s="960" t="s">
        <v>20</v>
      </c>
      <c r="L68" s="960"/>
      <c r="M68" s="960"/>
      <c r="N68" s="960"/>
      <c r="O68" s="960"/>
      <c r="P68" s="960"/>
      <c r="Q68" s="960"/>
      <c r="R68" s="960"/>
      <c r="S68" s="960"/>
      <c r="T68" s="960"/>
      <c r="U68" s="1391"/>
      <c r="V68" s="1391"/>
      <c r="W68" s="1391"/>
      <c r="X68" s="1391"/>
      <c r="Y68" s="1391"/>
      <c r="Z68" s="1392"/>
      <c r="AA68" s="427"/>
      <c r="AB68" s="427"/>
      <c r="AC68" s="424"/>
    </row>
    <row r="69" spans="1:29" s="428" customFormat="1" ht="18" customHeight="1" thickBot="1" x14ac:dyDescent="0.35">
      <c r="A69" s="424"/>
      <c r="B69" s="425"/>
      <c r="C69" s="277"/>
      <c r="D69" s="230"/>
      <c r="E69" s="752"/>
      <c r="F69" s="1395" t="s">
        <v>254</v>
      </c>
      <c r="G69" s="894"/>
      <c r="H69" s="894"/>
      <c r="I69" s="894"/>
      <c r="J69" s="894"/>
      <c r="K69" s="894" t="s">
        <v>255</v>
      </c>
      <c r="L69" s="894"/>
      <c r="M69" s="894"/>
      <c r="N69" s="894"/>
      <c r="O69" s="894"/>
      <c r="P69" s="894"/>
      <c r="Q69" s="894"/>
      <c r="R69" s="894"/>
      <c r="S69" s="894"/>
      <c r="T69" s="894"/>
      <c r="U69" s="1393"/>
      <c r="V69" s="1393"/>
      <c r="W69" s="1393"/>
      <c r="X69" s="1393"/>
      <c r="Y69" s="1393"/>
      <c r="Z69" s="1394"/>
      <c r="AA69" s="753"/>
      <c r="AB69" s="427"/>
      <c r="AC69" s="424"/>
    </row>
    <row r="70" spans="1:29" s="239" customFormat="1" ht="18.75" hidden="1" customHeight="1" thickBot="1" x14ac:dyDescent="0.35">
      <c r="A70" s="227"/>
      <c r="B70" s="272"/>
      <c r="C70" s="277"/>
      <c r="D70" s="230"/>
      <c r="E70" s="278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69"/>
      <c r="Q70" s="269"/>
      <c r="R70" s="269"/>
      <c r="S70" s="269"/>
      <c r="T70" s="269"/>
      <c r="U70" s="270"/>
      <c r="V70" s="270"/>
      <c r="W70" s="270"/>
      <c r="X70" s="270"/>
      <c r="Y70" s="270"/>
      <c r="Z70" s="270"/>
      <c r="AA70" s="309"/>
      <c r="AB70" s="242"/>
      <c r="AC70" s="227"/>
    </row>
    <row r="71" spans="1:29" s="239" customFormat="1" ht="4.5" customHeight="1" thickBot="1" x14ac:dyDescent="0.35">
      <c r="A71" s="227"/>
      <c r="B71" s="273"/>
      <c r="C71" s="274"/>
      <c r="D71" s="230"/>
      <c r="E71" s="234"/>
      <c r="F71" s="234"/>
      <c r="G71" s="234"/>
      <c r="H71" s="234"/>
      <c r="I71" s="230"/>
      <c r="J71" s="230"/>
      <c r="K71" s="230"/>
      <c r="L71" s="230"/>
      <c r="M71" s="230"/>
      <c r="N71" s="230"/>
      <c r="O71" s="243"/>
      <c r="P71" s="243"/>
      <c r="Q71" s="243"/>
      <c r="R71" s="243"/>
      <c r="S71" s="243"/>
      <c r="T71" s="243"/>
      <c r="U71" s="243"/>
      <c r="V71" s="243"/>
      <c r="W71" s="243"/>
      <c r="X71" s="243"/>
      <c r="Y71" s="243"/>
      <c r="Z71" s="243"/>
      <c r="AA71" s="310"/>
      <c r="AB71" s="244"/>
      <c r="AC71" s="227"/>
    </row>
    <row r="72" spans="1:29" s="239" customFormat="1" ht="15.75" customHeight="1" x14ac:dyDescent="0.3">
      <c r="A72" s="227"/>
      <c r="B72" s="4"/>
      <c r="C72" s="49"/>
      <c r="D72" s="49"/>
      <c r="E72" s="49"/>
      <c r="F72" s="49"/>
      <c r="G72" s="49"/>
      <c r="H72" s="49"/>
      <c r="I72" s="982"/>
      <c r="J72" s="982"/>
      <c r="K72" s="982"/>
      <c r="L72" s="982"/>
      <c r="M72" s="982"/>
      <c r="N72" s="982"/>
      <c r="O72" s="227"/>
      <c r="P72" s="1388" t="str">
        <f>IF(DASHBOARD!G17="","",DASHBOARD!G17&amp;DASHBOARD!I17)</f>
        <v>PREPARED BY:- EXAM CELL, SVGMS, AMET</v>
      </c>
      <c r="Q72" s="1388"/>
      <c r="R72" s="1388"/>
      <c r="S72" s="1388"/>
      <c r="T72" s="1388"/>
      <c r="U72" s="1388"/>
      <c r="V72" s="1388"/>
      <c r="W72" s="1388"/>
      <c r="X72" s="1388"/>
      <c r="Y72" s="1388"/>
      <c r="Z72" s="1388"/>
      <c r="AA72" s="1388"/>
      <c r="AB72" s="227"/>
      <c r="AC72" s="227"/>
    </row>
    <row r="73" spans="1:29" ht="15.6" hidden="1" x14ac:dyDescent="0.3">
      <c r="P73" s="442"/>
      <c r="Q73" s="442"/>
      <c r="R73" s="442"/>
      <c r="S73" s="442"/>
      <c r="T73" s="442"/>
      <c r="U73" s="442"/>
      <c r="V73" s="442"/>
      <c r="W73" s="442"/>
      <c r="X73" s="442"/>
      <c r="Y73" s="442"/>
      <c r="Z73" s="442"/>
      <c r="AA73" s="444"/>
      <c r="AB73" s="442"/>
    </row>
    <row r="74" spans="1:29" ht="15.6" hidden="1" x14ac:dyDescent="0.3"/>
    <row r="75" spans="1:29" ht="15.75" hidden="1" customHeight="1" x14ac:dyDescent="0.3"/>
    <row r="76" spans="1:29" ht="15.75" hidden="1" customHeight="1" x14ac:dyDescent="0.3"/>
  </sheetData>
  <sheetProtection algorithmName="SHA-512" hashValue="IoGM/5pvu7D1i0S+jt419V7ChcHe251pTXzIbnz4HseecUJrq3cbIZqM+lbhKXXVK+SOspo7jha+ANz3M4UEyQ==" saltValue="/czFJAwROgx3qGJi1KPsiw==" spinCount="100000" sheet="1" objects="1" scenarios="1" selectLockedCells="1"/>
  <mergeCells count="223">
    <mergeCell ref="L47:N47"/>
    <mergeCell ref="Q47:S47"/>
    <mergeCell ref="V47:X47"/>
    <mergeCell ref="T47:U47"/>
    <mergeCell ref="O47:P47"/>
    <mergeCell ref="Y47:AA47"/>
    <mergeCell ref="F47:K47"/>
    <mergeCell ref="C48:I48"/>
    <mergeCell ref="J48:AA48"/>
    <mergeCell ref="J24:K24"/>
    <mergeCell ref="H20:I20"/>
    <mergeCell ref="L24:O24"/>
    <mergeCell ref="P24:R24"/>
    <mergeCell ref="P20:R20"/>
    <mergeCell ref="L20:O20"/>
    <mergeCell ref="F69:J69"/>
    <mergeCell ref="K69:O69"/>
    <mergeCell ref="I72:N72"/>
    <mergeCell ref="F66:J66"/>
    <mergeCell ref="K66:O66"/>
    <mergeCell ref="P66:T66"/>
    <mergeCell ref="F62:J62"/>
    <mergeCell ref="K62:O62"/>
    <mergeCell ref="P62:Z62"/>
    <mergeCell ref="F63:J63"/>
    <mergeCell ref="K63:O63"/>
    <mergeCell ref="P63:T63"/>
    <mergeCell ref="U63:Z63"/>
    <mergeCell ref="F60:Z60"/>
    <mergeCell ref="F61:J61"/>
    <mergeCell ref="K61:O61"/>
    <mergeCell ref="P61:Z61"/>
    <mergeCell ref="V51:AA51"/>
    <mergeCell ref="P72:AA72"/>
    <mergeCell ref="F64:J64"/>
    <mergeCell ref="K64:O64"/>
    <mergeCell ref="P64:T64"/>
    <mergeCell ref="U64:Z64"/>
    <mergeCell ref="F65:J65"/>
    <mergeCell ref="K65:O65"/>
    <mergeCell ref="P65:T65"/>
    <mergeCell ref="U65:Z65"/>
    <mergeCell ref="U66:Z66"/>
    <mergeCell ref="F67:J67"/>
    <mergeCell ref="K67:O67"/>
    <mergeCell ref="P67:T69"/>
    <mergeCell ref="U67:Z69"/>
    <mergeCell ref="F68:J68"/>
    <mergeCell ref="K68:O68"/>
    <mergeCell ref="Q51:U51"/>
    <mergeCell ref="I51:O51"/>
    <mergeCell ref="E51:H51"/>
    <mergeCell ref="C50:D50"/>
    <mergeCell ref="D40:J42"/>
    <mergeCell ref="L40:Z40"/>
    <mergeCell ref="L41:U41"/>
    <mergeCell ref="V41:Z41"/>
    <mergeCell ref="L42:U42"/>
    <mergeCell ref="V42:Z42"/>
    <mergeCell ref="C49:D49"/>
    <mergeCell ref="E49:I49"/>
    <mergeCell ref="D43:J45"/>
    <mergeCell ref="L43:U43"/>
    <mergeCell ref="V43:Z43"/>
    <mergeCell ref="L44:U44"/>
    <mergeCell ref="V44:Z44"/>
    <mergeCell ref="L45:U45"/>
    <mergeCell ref="V45:Z45"/>
    <mergeCell ref="V50:AA50"/>
    <mergeCell ref="Q50:U50"/>
    <mergeCell ref="I50:O50"/>
    <mergeCell ref="E50:H50"/>
    <mergeCell ref="C47:E47"/>
    <mergeCell ref="X36:Z36"/>
    <mergeCell ref="C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Z37"/>
    <mergeCell ref="C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4:Z34"/>
    <mergeCell ref="C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Z35"/>
    <mergeCell ref="C34:G34"/>
    <mergeCell ref="H34:I34"/>
    <mergeCell ref="J34:K34"/>
    <mergeCell ref="L34:M34"/>
    <mergeCell ref="N34:O34"/>
    <mergeCell ref="P34:Q34"/>
    <mergeCell ref="R34:S34"/>
    <mergeCell ref="T34:U34"/>
    <mergeCell ref="V34:W34"/>
    <mergeCell ref="L32:M32"/>
    <mergeCell ref="N32:O32"/>
    <mergeCell ref="P32:Q32"/>
    <mergeCell ref="R32:S32"/>
    <mergeCell ref="T32:U32"/>
    <mergeCell ref="V32:W32"/>
    <mergeCell ref="X32:Z32"/>
    <mergeCell ref="C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Z33"/>
    <mergeCell ref="L30:O30"/>
    <mergeCell ref="P30:S30"/>
    <mergeCell ref="H31:I31"/>
    <mergeCell ref="J31:K31"/>
    <mergeCell ref="L31:M31"/>
    <mergeCell ref="N31:O31"/>
    <mergeCell ref="P31:Q31"/>
    <mergeCell ref="R31:S31"/>
    <mergeCell ref="C27:AA27"/>
    <mergeCell ref="C28:G31"/>
    <mergeCell ref="H28:Z28"/>
    <mergeCell ref="AA28:AA32"/>
    <mergeCell ref="H29:O29"/>
    <mergeCell ref="P29:S29"/>
    <mergeCell ref="T29:W30"/>
    <mergeCell ref="X29:Z30"/>
    <mergeCell ref="H30:I30"/>
    <mergeCell ref="J30:K30"/>
    <mergeCell ref="T31:U31"/>
    <mergeCell ref="V31:W31"/>
    <mergeCell ref="X31:Z31"/>
    <mergeCell ref="C32:G32"/>
    <mergeCell ref="H32:I32"/>
    <mergeCell ref="J32:K32"/>
    <mergeCell ref="C26:G26"/>
    <mergeCell ref="L26:O26"/>
    <mergeCell ref="P26:R26"/>
    <mergeCell ref="S26:W26"/>
    <mergeCell ref="X26:Z26"/>
    <mergeCell ref="H25:I25"/>
    <mergeCell ref="J25:K25"/>
    <mergeCell ref="C25:G25"/>
    <mergeCell ref="L25:O25"/>
    <mergeCell ref="P25:R25"/>
    <mergeCell ref="H26:I26"/>
    <mergeCell ref="J26:K26"/>
    <mergeCell ref="C24:G24"/>
    <mergeCell ref="S24:W24"/>
    <mergeCell ref="X24:Z24"/>
    <mergeCell ref="AA24:AA25"/>
    <mergeCell ref="C18:AA18"/>
    <mergeCell ref="C20:G20"/>
    <mergeCell ref="S20:W20"/>
    <mergeCell ref="X20:Z20"/>
    <mergeCell ref="AA20:AA21"/>
    <mergeCell ref="C21:G21"/>
    <mergeCell ref="S21:W21"/>
    <mergeCell ref="X21:Z21"/>
    <mergeCell ref="S25:W25"/>
    <mergeCell ref="X25:Z25"/>
    <mergeCell ref="P22:R22"/>
    <mergeCell ref="L22:O22"/>
    <mergeCell ref="P21:R21"/>
    <mergeCell ref="L21:O21"/>
    <mergeCell ref="J20:K20"/>
    <mergeCell ref="H21:I21"/>
    <mergeCell ref="J21:K21"/>
    <mergeCell ref="H22:I22"/>
    <mergeCell ref="J22:K22"/>
    <mergeCell ref="H24:I24"/>
    <mergeCell ref="AC1:AC54"/>
    <mergeCell ref="D3:Z3"/>
    <mergeCell ref="G4:X4"/>
    <mergeCell ref="H5:V5"/>
    <mergeCell ref="H6:V6"/>
    <mergeCell ref="K7:T7"/>
    <mergeCell ref="G8:W8"/>
    <mergeCell ref="C9:G9"/>
    <mergeCell ref="H9:R9"/>
    <mergeCell ref="J14:X14"/>
    <mergeCell ref="J15:X15"/>
    <mergeCell ref="Y15:AA16"/>
    <mergeCell ref="J16:W16"/>
    <mergeCell ref="Y17:AA17"/>
    <mergeCell ref="S9:V9"/>
    <mergeCell ref="W9:AA9"/>
    <mergeCell ref="E10:Y10"/>
    <mergeCell ref="E11:Y11"/>
    <mergeCell ref="V13:X13"/>
    <mergeCell ref="Y13:Z13"/>
    <mergeCell ref="C22:G22"/>
    <mergeCell ref="S22:W22"/>
    <mergeCell ref="X22:Z22"/>
    <mergeCell ref="C23:AA23"/>
    <mergeCell ref="Q13:T13"/>
    <mergeCell ref="J13:L13"/>
    <mergeCell ref="N13:P13"/>
    <mergeCell ref="C13:I13"/>
    <mergeCell ref="C14:I14"/>
    <mergeCell ref="C15:I15"/>
    <mergeCell ref="C16:I16"/>
    <mergeCell ref="C17:I17"/>
    <mergeCell ref="C1:AA1"/>
  </mergeCells>
  <printOptions horizontalCentered="1" verticalCentered="1"/>
  <pageMargins left="0.17" right="0.34" top="0.31" bottom="0.17" header="0.41" footer="0.17"/>
  <pageSetup paperSize="9" scale="77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00B050"/>
    <pageSetUpPr fitToPage="1"/>
  </sheetPr>
  <dimension ref="A1:JX78"/>
  <sheetViews>
    <sheetView showWhiteSpace="0" view="pageBreakPreview" topLeftCell="A3" zoomScaleNormal="80" zoomScaleSheetLayoutView="100" workbookViewId="0">
      <selection activeCell="E7" sqref="E7:F51"/>
    </sheetView>
  </sheetViews>
  <sheetFormatPr defaultColWidth="0" defaultRowHeight="0" customHeight="1" zeroHeight="1" x14ac:dyDescent="0.3"/>
  <cols>
    <col min="1" max="1" width="2.6640625" style="9" customWidth="1"/>
    <col min="2" max="2" width="5.6640625" style="59" bestFit="1" customWidth="1"/>
    <col min="3" max="3" width="11.44140625" style="59" bestFit="1" customWidth="1"/>
    <col min="4" max="4" width="9.5546875" style="59" bestFit="1" customWidth="1"/>
    <col min="5" max="5" width="34.33203125" style="59" bestFit="1" customWidth="1"/>
    <col min="6" max="6" width="19.44140625" style="59" bestFit="1" customWidth="1"/>
    <col min="7" max="7" width="9.44140625" style="59" bestFit="1" customWidth="1"/>
    <col min="8" max="8" width="9.6640625" style="59" customWidth="1"/>
    <col min="9" max="9" width="13.88671875" style="59" customWidth="1"/>
    <col min="10" max="10" width="8" style="59" customWidth="1"/>
    <col min="11" max="11" width="21" style="59" bestFit="1" customWidth="1"/>
    <col min="12" max="12" width="7.88671875" style="59" hidden="1" customWidth="1"/>
    <col min="13" max="13" width="6.6640625" style="59" hidden="1" customWidth="1"/>
    <col min="14" max="14" width="11.109375" style="59" bestFit="1" customWidth="1"/>
    <col min="15" max="15" width="12.88671875" style="59" hidden="1" customWidth="1"/>
    <col min="16" max="16" width="10" style="59" hidden="1" customWidth="1"/>
    <col min="17" max="17" width="12.88671875" style="59" hidden="1" customWidth="1"/>
    <col min="18" max="18" width="16.6640625" style="59" hidden="1" customWidth="1"/>
    <col min="19" max="19" width="14.109375" style="59" hidden="1" customWidth="1"/>
    <col min="20" max="20" width="13.44140625" style="59" hidden="1" customWidth="1"/>
    <col min="21" max="21" width="41.33203125" style="59" hidden="1" customWidth="1"/>
    <col min="22" max="22" width="11.6640625" style="59" hidden="1" customWidth="1"/>
    <col min="23" max="23" width="10" style="59" hidden="1" customWidth="1"/>
    <col min="24" max="24" width="12.33203125" style="59" hidden="1" customWidth="1"/>
    <col min="25" max="25" width="16" style="59" hidden="1" customWidth="1"/>
    <col min="26" max="26" width="5" style="59" hidden="1" customWidth="1"/>
    <col min="27" max="27" width="9.6640625" style="59" hidden="1" customWidth="1"/>
    <col min="28" max="30" width="3.88671875" style="59" hidden="1" customWidth="1"/>
    <col min="31" max="31" width="22.6640625" style="59" bestFit="1" customWidth="1"/>
    <col min="32" max="32" width="39.33203125" style="59" customWidth="1"/>
    <col min="33" max="33" width="17" style="59" customWidth="1"/>
    <col min="34" max="34" width="14.109375" style="59" customWidth="1"/>
    <col min="35" max="35" width="23.88671875" style="59" bestFit="1" customWidth="1"/>
    <col min="36" max="36" width="14.44140625" style="59" hidden="1" customWidth="1"/>
    <col min="37" max="37" width="3" style="592" customWidth="1"/>
    <col min="38" max="147" width="9.109375" style="593" hidden="1" customWidth="1"/>
    <col min="148" max="152" width="16.44140625" style="593" hidden="1" customWidth="1"/>
    <col min="153" max="153" width="41.33203125" style="593" hidden="1" customWidth="1"/>
    <col min="154" max="154" width="11.6640625" style="593" hidden="1" customWidth="1"/>
    <col min="155" max="155" width="10" style="593" hidden="1" customWidth="1"/>
    <col min="156" max="156" width="12.33203125" style="593" hidden="1" customWidth="1"/>
    <col min="157" max="157" width="16" style="593" hidden="1" customWidth="1"/>
    <col min="158" max="158" width="5" style="593" hidden="1" customWidth="1"/>
    <col min="159" max="159" width="9.6640625" style="593" hidden="1" customWidth="1"/>
    <col min="160" max="162" width="3.88671875" style="593" hidden="1" customWidth="1"/>
    <col min="163" max="167" width="0" style="593" hidden="1" customWidth="1"/>
    <col min="168" max="168" width="14.44140625" style="593" hidden="1" customWidth="1"/>
    <col min="169" max="169" width="0" style="593" hidden="1" customWidth="1"/>
    <col min="170" max="279" width="9.109375" style="593" hidden="1" customWidth="1"/>
    <col min="280" max="284" width="16.44140625" style="593" hidden="1" customWidth="1"/>
    <col min="285" max="16384" width="9.109375" style="593" hidden="1"/>
  </cols>
  <sheetData>
    <row r="1" spans="1:36" ht="13.5" customHeight="1" thickBot="1" x14ac:dyDescent="0.35">
      <c r="A1" s="8" t="s">
        <v>20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</row>
    <row r="2" spans="1:36" ht="48" customHeight="1" x14ac:dyDescent="0.3">
      <c r="A2" s="6"/>
      <c r="B2" s="1411" t="str">
        <f>DASHBOARD!B2&amp;DASHBOARD!B3</f>
        <v xml:space="preserve">SWAMI VIVEKANAND GOVT. MODEL SCHOOL,  AMET, BLOCK-AMET, RAJSAMAND                                                                </v>
      </c>
      <c r="C2" s="1412"/>
      <c r="D2" s="1412"/>
      <c r="E2" s="1412"/>
      <c r="F2" s="1412"/>
      <c r="G2" s="1412"/>
      <c r="H2" s="1412"/>
      <c r="I2" s="1412"/>
      <c r="J2" s="1412"/>
      <c r="K2" s="1412"/>
      <c r="L2" s="1412"/>
      <c r="M2" s="1412"/>
      <c r="N2" s="1412"/>
      <c r="O2" s="1412"/>
      <c r="P2" s="1412"/>
      <c r="Q2" s="1412"/>
      <c r="R2" s="1412"/>
      <c r="S2" s="1412"/>
      <c r="T2" s="1412"/>
      <c r="U2" s="1412"/>
      <c r="V2" s="1412"/>
      <c r="W2" s="1412"/>
      <c r="X2" s="1412"/>
      <c r="Y2" s="1412"/>
      <c r="Z2" s="1412"/>
      <c r="AA2" s="1412"/>
      <c r="AB2" s="1412"/>
      <c r="AC2" s="1412"/>
      <c r="AD2" s="1412"/>
      <c r="AE2" s="1412"/>
      <c r="AF2" s="1412"/>
      <c r="AG2" s="1412"/>
      <c r="AH2" s="1412"/>
      <c r="AI2" s="1413"/>
      <c r="AJ2" s="525"/>
    </row>
    <row r="3" spans="1:36" ht="12" customHeight="1" thickBot="1" x14ac:dyDescent="0.35">
      <c r="A3" s="6"/>
      <c r="B3" s="1414"/>
      <c r="C3" s="1415"/>
      <c r="D3" s="1415"/>
      <c r="E3" s="1415"/>
      <c r="F3" s="1415"/>
      <c r="G3" s="1415"/>
      <c r="H3" s="1415"/>
      <c r="I3" s="1415"/>
      <c r="J3" s="1415"/>
      <c r="K3" s="1415"/>
      <c r="L3" s="1415"/>
      <c r="M3" s="1415"/>
      <c r="N3" s="1415"/>
      <c r="O3" s="1415"/>
      <c r="P3" s="1415"/>
      <c r="Q3" s="1415"/>
      <c r="R3" s="1415"/>
      <c r="S3" s="1415"/>
      <c r="T3" s="1415"/>
      <c r="U3" s="1415"/>
      <c r="V3" s="1415"/>
      <c r="W3" s="1415"/>
      <c r="X3" s="1415"/>
      <c r="Y3" s="1415"/>
      <c r="Z3" s="1415"/>
      <c r="AA3" s="1415"/>
      <c r="AB3" s="1415"/>
      <c r="AC3" s="1415"/>
      <c r="AD3" s="1415"/>
      <c r="AE3" s="1415"/>
      <c r="AF3" s="1415"/>
      <c r="AG3" s="1415"/>
      <c r="AH3" s="1415"/>
      <c r="AI3" s="1416"/>
      <c r="AJ3" s="531"/>
    </row>
    <row r="4" spans="1:36" ht="35.25" customHeight="1" thickBot="1" x14ac:dyDescent="0.35">
      <c r="A4" s="6"/>
      <c r="B4" s="1428" t="s">
        <v>284</v>
      </c>
      <c r="C4" s="1429"/>
      <c r="D4" s="1429"/>
      <c r="E4" s="1429"/>
      <c r="F4" s="1430"/>
      <c r="G4" s="1425" t="str">
        <f>CONCATENATE("MAIN EXAM RESULT (", DASHBOARD!C17,")")</f>
        <v>MAIN EXAM RESULT (30.03.2026)</v>
      </c>
      <c r="H4" s="1426"/>
      <c r="I4" s="1426"/>
      <c r="J4" s="1426"/>
      <c r="K4" s="1426"/>
      <c r="L4" s="1426"/>
      <c r="M4" s="1426"/>
      <c r="N4" s="1426"/>
      <c r="O4" s="1426"/>
      <c r="P4" s="1426"/>
      <c r="Q4" s="1426"/>
      <c r="R4" s="1426"/>
      <c r="S4" s="1426"/>
      <c r="T4" s="1426"/>
      <c r="U4" s="1426"/>
      <c r="V4" s="1426"/>
      <c r="W4" s="1426"/>
      <c r="X4" s="1426"/>
      <c r="Y4" s="1426"/>
      <c r="Z4" s="1426"/>
      <c r="AA4" s="1426"/>
      <c r="AB4" s="1426"/>
      <c r="AC4" s="1426"/>
      <c r="AD4" s="1426"/>
      <c r="AE4" s="1427"/>
      <c r="AF4" s="1419" t="str">
        <f>CONCATENATE("AFTER COMPARTMENT EXAM RESULT (", DASHBOARD!C18,")")</f>
        <v>AFTER COMPARTMENT EXAM RESULT (10.04.2026)</v>
      </c>
      <c r="AG4" s="1420"/>
      <c r="AH4" s="1420"/>
      <c r="AI4" s="1420"/>
      <c r="AJ4" s="1421"/>
    </row>
    <row r="5" spans="1:36" ht="126" customHeight="1" thickBot="1" x14ac:dyDescent="0.35">
      <c r="A5" s="6"/>
      <c r="B5" s="1417" t="str">
        <f>"                  Class - " &amp;DASHBOARD!B8&amp;DASHBOARD!C8&amp;"                                "&amp;DASHBOARD!B4</f>
        <v xml:space="preserve">                  Class - XI A                                SESSION    -  2025-26</v>
      </c>
      <c r="C5" s="1418"/>
      <c r="D5" s="1418"/>
      <c r="E5" s="1418"/>
      <c r="F5" s="1418"/>
      <c r="G5" s="67" t="s">
        <v>118</v>
      </c>
      <c r="H5" s="67" t="s">
        <v>280</v>
      </c>
      <c r="I5" s="67" t="s">
        <v>121</v>
      </c>
      <c r="J5" s="67" t="s">
        <v>159</v>
      </c>
      <c r="K5" s="67" t="s">
        <v>45</v>
      </c>
      <c r="L5" s="67" t="s">
        <v>121</v>
      </c>
      <c r="M5" s="67"/>
      <c r="N5" s="67" t="s">
        <v>73</v>
      </c>
      <c r="O5" s="87" t="str">
        <f>IF(DASHBOARD!B12="","",DASHBOARD!B12)</f>
        <v>ENGLISH</v>
      </c>
      <c r="P5" s="87" t="str">
        <f>IF(DASHBOARD!B13="","",DASHBOARD!B13)</f>
        <v>MATHS</v>
      </c>
      <c r="Q5" s="87" t="str">
        <f>IF(DASHBOARD!D12="","",DASHBOARD!D12)</f>
        <v xml:space="preserve">PHYSICS </v>
      </c>
      <c r="R5" s="87" t="str">
        <f>IF(DASHBOARD!D13="","",DASHBOARD!D13)</f>
        <v>CHEMISTRY</v>
      </c>
      <c r="S5" s="87" t="str">
        <f>IF(DASHBOARD!D14="","",DASHBOARD!D14)</f>
        <v xml:space="preserve">BIOLOGY </v>
      </c>
      <c r="T5" s="87" t="str">
        <f>IF(DASHBOARD!D15="","",DASHBOARD!D15)</f>
        <v xml:space="preserve">PHYSICAL EDUCATION </v>
      </c>
      <c r="U5" s="137" t="s">
        <v>204</v>
      </c>
      <c r="V5" s="87" t="str">
        <f>IF(O5="","",O5)</f>
        <v>ENGLISH</v>
      </c>
      <c r="W5" s="87" t="str">
        <f t="shared" ref="W5:AA5" si="0">IF(P5="","",P5)</f>
        <v>MATHS</v>
      </c>
      <c r="X5" s="87" t="str">
        <f t="shared" si="0"/>
        <v xml:space="preserve">PHYSICS </v>
      </c>
      <c r="Y5" s="87" t="str">
        <f t="shared" si="0"/>
        <v>CHEMISTRY</v>
      </c>
      <c r="Z5" s="87" t="str">
        <f t="shared" si="0"/>
        <v xml:space="preserve">BIOLOGY </v>
      </c>
      <c r="AA5" s="87" t="str">
        <f t="shared" si="0"/>
        <v xml:space="preserve">PHYSICAL EDUCATION </v>
      </c>
      <c r="AB5" s="68" t="s">
        <v>120</v>
      </c>
      <c r="AC5" s="68" t="s">
        <v>120</v>
      </c>
      <c r="AD5" s="68" t="s">
        <v>120</v>
      </c>
      <c r="AE5" s="530" t="s">
        <v>268</v>
      </c>
      <c r="AF5" s="532" t="s">
        <v>198</v>
      </c>
      <c r="AG5" s="89" t="s">
        <v>280</v>
      </c>
      <c r="AH5" s="89" t="s">
        <v>121</v>
      </c>
      <c r="AI5" s="89" t="s">
        <v>159</v>
      </c>
      <c r="AJ5" s="526" t="s">
        <v>206</v>
      </c>
    </row>
    <row r="6" spans="1:36" ht="28.5" customHeight="1" x14ac:dyDescent="0.3">
      <c r="A6" s="6"/>
      <c r="B6" s="527" t="s">
        <v>2</v>
      </c>
      <c r="C6" s="394" t="s">
        <v>3</v>
      </c>
      <c r="D6" s="394" t="s">
        <v>4</v>
      </c>
      <c r="E6" s="394" t="s">
        <v>5</v>
      </c>
      <c r="F6" s="394" t="s">
        <v>6</v>
      </c>
      <c r="G6" s="451">
        <f>ATTENDANCE!$Q$7</f>
        <v>342</v>
      </c>
      <c r="H6" s="451">
        <f>'GREEN SHEET'!EH6</f>
        <v>500</v>
      </c>
      <c r="I6" s="451">
        <f>'GREEN SHEET'!EI6</f>
        <v>100</v>
      </c>
      <c r="J6" s="451" t="str">
        <f>'GREEN SHEET'!EJ6</f>
        <v>A1</v>
      </c>
      <c r="K6" s="451" t="str">
        <f>'GREEN SHEET'!EK6</f>
        <v>PASS</v>
      </c>
      <c r="L6" s="451" t="e">
        <f>(#REF!/#REF!)*100&amp;"%"</f>
        <v>#REF!</v>
      </c>
      <c r="M6" s="451">
        <v>100</v>
      </c>
      <c r="N6" s="451">
        <f>'GREEN SHEET'!EN6</f>
        <v>0</v>
      </c>
      <c r="O6" s="451" t="e">
        <f>IF(#REF!&gt;=33,"",$O$5&amp;",")</f>
        <v>#REF!</v>
      </c>
      <c r="P6" s="451" t="e">
        <f>IF(#REF!&gt;=33,"",$P$5&amp;",")</f>
        <v>#REF!</v>
      </c>
      <c r="Q6" s="451" t="e">
        <f>IF(OR(#REF!&lt;25,#REF!&lt;8),$Q$5&amp;",","")</f>
        <v>#REF!</v>
      </c>
      <c r="R6" s="451" t="e">
        <f>IF(OR(#REF!&lt;25,#REF!&lt;8),$R$5&amp;",","")</f>
        <v>#REF!</v>
      </c>
      <c r="S6" s="451" t="e">
        <f>IF(OR(#REF!&lt;25,#REF!&lt;8),$S$5&amp;",","")</f>
        <v>#REF!</v>
      </c>
      <c r="T6" s="451" t="e">
        <f>IF(OR(#REF!&lt;25,#REF!&lt;8),$T$5&amp;",","")</f>
        <v>#REF!</v>
      </c>
      <c r="U6" s="451"/>
      <c r="V6" s="451"/>
      <c r="W6" s="451"/>
      <c r="X6" s="451"/>
      <c r="Y6" s="451"/>
      <c r="Z6" s="451"/>
      <c r="AA6" s="451"/>
      <c r="AB6" s="451"/>
      <c r="AC6" s="451"/>
      <c r="AD6" s="451"/>
      <c r="AE6" s="451">
        <f>'GREEN SHEET'!EV6</f>
        <v>0</v>
      </c>
      <c r="AF6" s="70">
        <f>'GREEN SHEET'!FG6</f>
        <v>0</v>
      </c>
      <c r="AG6" s="70">
        <f>'GREEN SHEET'!FH6</f>
        <v>500</v>
      </c>
      <c r="AH6" s="70">
        <f>'GREEN SHEET'!FI6</f>
        <v>100</v>
      </c>
      <c r="AI6" s="70" t="str">
        <f>'GREEN SHEET'!FJ6</f>
        <v>A1</v>
      </c>
      <c r="AJ6" s="528"/>
    </row>
    <row r="7" spans="1:36" ht="28.5" customHeight="1" x14ac:dyDescent="0.3">
      <c r="A7" s="6"/>
      <c r="B7" s="512">
        <f>IF(DATA!B5&lt;&gt;0,DATA!B5,"")</f>
        <v>1</v>
      </c>
      <c r="C7" s="25">
        <f>IF(DATA!C5="","",DATA!C5)</f>
        <v>1101</v>
      </c>
      <c r="D7" s="25">
        <f>IF(DATA!D5="","",DATA!D5)</f>
        <v>1168</v>
      </c>
      <c r="E7" s="738" t="str">
        <f>IF(DATA!E5="","",DATA!E5)</f>
        <v>Devendra Sharma</v>
      </c>
      <c r="F7" s="738" t="str">
        <f>IF(DATA!F5="","",DATA!F5)</f>
        <v>Suresh Sharma</v>
      </c>
      <c r="G7" s="77" t="str">
        <f>IF(ATTENDANCE!Q8="","",ATTENDANCE!Q8&amp;"/"&amp;ATTENDANCE!$Q$7)</f>
        <v>277/342</v>
      </c>
      <c r="H7" s="77" t="str">
        <f>'GREEN SHEET'!EH7</f>
        <v/>
      </c>
      <c r="I7" s="77" t="str">
        <f>'GREEN SHEET'!EI7</f>
        <v/>
      </c>
      <c r="J7" s="77" t="str">
        <f>'GREEN SHEET'!EJ7</f>
        <v/>
      </c>
      <c r="K7" s="77" t="str">
        <f>'GREEN SHEET'!EK7</f>
        <v>COMPARTMENT</v>
      </c>
      <c r="L7" s="77" t="str">
        <f>IFERROR(ROUNDUP((#REF!/#REF!)*100,2)&amp;"%","")</f>
        <v/>
      </c>
      <c r="M7" s="77" t="str">
        <f>IF(C7="TC","",IF(K7="","",IF(OR(K7="COMPARTMENT",K7="FAIL"),"",(#REF!*100/#REF!))))</f>
        <v/>
      </c>
      <c r="N7" s="77" t="str">
        <f>'GREEN SHEET'!EN7</f>
        <v/>
      </c>
      <c r="O7" s="77" t="e">
        <f>IF(C7="","",IF(C7="TC","",IF(AND(#REF!&gt;=6,#REF!&gt;=26,#REF!&gt;=33),"",$O$5&amp;",")))</f>
        <v>#REF!</v>
      </c>
      <c r="P7" s="77" t="e">
        <f>IF(C7="","",IF(C7="TC","",IF(AND(#REF!&gt;=6.6,#REF!&gt;=16.5,#REF!&gt;=33),"",$P$5&amp;",")))</f>
        <v>#REF!</v>
      </c>
      <c r="Q7" s="77" t="e">
        <f>IF(C7="","",IF(C7="TC","",IF(AND(#REF!&gt;=25,#REF!&gt;=8,#REF!&gt;=33,#REF!&gt;=23),"",$Q$5&amp;",")))</f>
        <v>#REF!</v>
      </c>
      <c r="R7" s="77" t="e">
        <f>IF(C7="","",IF(C7="TC","",IF(AND(#REF!&gt;=25,#REF!&gt;=8,#REF!&gt;=33,#REF!&gt;=23),"",$R$5&amp;",")))</f>
        <v>#REF!</v>
      </c>
      <c r="S7" s="77" t="e">
        <f>IF(C7="","",IF(C7="TC","",IF(AND(#REF!&gt;=25,#REF!&gt;=8,#REF!&gt;=33,#REF!&gt;=23),"",$S$5&amp;",")))</f>
        <v>#REF!</v>
      </c>
      <c r="T7" s="77" t="e">
        <f>IF(C7="","",IF(C7="TC","",IF(AND(#REF!&gt;=25,#REF!&gt;=8,#REF!&gt;=33,#REF!&gt;=23),"",$T$5&amp;",")))</f>
        <v>#REF!</v>
      </c>
      <c r="U7" s="77" t="e">
        <f t="shared" ref="U7:U51" si="1">IF(C7="","",O7&amp;P7&amp;Q7&amp;R7&amp;S7&amp;T7)</f>
        <v>#REF!</v>
      </c>
      <c r="V7" s="77" t="e">
        <f>IF(#REF!="",O7,IF(V7&gt;=26,"",O7))</f>
        <v>#REF!</v>
      </c>
      <c r="W7" s="77" t="e">
        <f>IF(#REF!="",P7,IF(#REF!&gt;=26,"",P7))</f>
        <v>#REF!</v>
      </c>
      <c r="X7" s="77" t="e">
        <f>IF(#REF!="",Q7,IF(#REF!&gt;=12,"",Q7))</f>
        <v>#REF!</v>
      </c>
      <c r="Y7" s="77" t="e">
        <f>IF(#REF!="",R7,IF(#REF!&gt;=12,"",R7))</f>
        <v>#REF!</v>
      </c>
      <c r="Z7" s="77" t="e">
        <f>IF(#REF!="",S7,IF(#REF!&gt;=12,"",S7))</f>
        <v>#REF!</v>
      </c>
      <c r="AA7" s="77" t="e">
        <f>IF(#REF!="",T7,IF(#REF!&gt;=12,"",T7))</f>
        <v>#REF!</v>
      </c>
      <c r="AB7" s="77">
        <f t="shared" ref="AB7:AB51" si="2">IF(C7="","",1-COUNTBLANK(O7))</f>
        <v>1</v>
      </c>
      <c r="AC7" s="77">
        <f t="shared" ref="AC7:AC51" si="3">IF(C7="","",5-COUNTBLANK(P7:T7))</f>
        <v>5</v>
      </c>
      <c r="AD7" s="77">
        <f t="shared" ref="AD7:AD51" si="4">IF(OR(C7="",C7="TC"),"",6-COUNTBLANK(V7:AA7))</f>
        <v>6</v>
      </c>
      <c r="AE7" s="77" t="str">
        <f>'GREEN SHEET'!EV7</f>
        <v>ENGLISH,BIOLOGY ,</v>
      </c>
      <c r="AF7" s="80" t="str">
        <f>'GREEN SHEET'!FG7</f>
        <v/>
      </c>
      <c r="AG7" s="80" t="str">
        <f>'GREEN SHEET'!FH7</f>
        <v/>
      </c>
      <c r="AH7" s="80" t="str">
        <f>'GREEN SHEET'!FI7</f>
        <v/>
      </c>
      <c r="AI7" s="80" t="str">
        <f>'GREEN SHEET'!FJ7</f>
        <v/>
      </c>
      <c r="AJ7" s="529" t="e">
        <f t="shared" ref="AJ7:AJ29" si="5">IF(C7="","",V7&amp;W7&amp;X7&amp;Y7&amp;Z7&amp;AA7)</f>
        <v>#REF!</v>
      </c>
    </row>
    <row r="8" spans="1:36" ht="28.5" customHeight="1" x14ac:dyDescent="0.3">
      <c r="A8" s="6"/>
      <c r="B8" s="512">
        <f>IF(DATA!B6&lt;&gt;0,DATA!B6,"")</f>
        <v>2</v>
      </c>
      <c r="C8" s="25">
        <f>IF(DATA!C6="","",DATA!C6)</f>
        <v>1102</v>
      </c>
      <c r="D8" s="25">
        <f>IF(DATA!D6="","",DATA!D6)</f>
        <v>714</v>
      </c>
      <c r="E8" s="738" t="str">
        <f>IF(DATA!E6="","",DATA!E6)</f>
        <v>DHARA SALVI</v>
      </c>
      <c r="F8" s="738" t="str">
        <f>IF(DATA!F6="","",DATA!F6)</f>
        <v>HITESH LAL</v>
      </c>
      <c r="G8" s="77" t="str">
        <f>IF(ATTENDANCE!Q9="","",ATTENDANCE!Q9&amp;"/"&amp;ATTENDANCE!$Q$7)</f>
        <v>216/342</v>
      </c>
      <c r="H8" s="77">
        <f>'GREEN SHEET'!EH8</f>
        <v>240</v>
      </c>
      <c r="I8" s="77">
        <f>'GREEN SHEET'!EI8</f>
        <v>48</v>
      </c>
      <c r="J8" s="77" t="str">
        <f>'GREEN SHEET'!EJ8</f>
        <v>C2</v>
      </c>
      <c r="K8" s="77" t="str">
        <f>'GREEN SHEET'!EK8</f>
        <v>PASS</v>
      </c>
      <c r="L8" s="77" t="str">
        <f>IFERROR(ROUNDUP((#REF!/#REF!)*100,2)&amp;"%","")</f>
        <v/>
      </c>
      <c r="M8" s="77" t="e">
        <f>IF(C8="TC","",IF(K8="","",IF(OR(K8="COMPARTMENT",K8="FAIL"),"",(#REF!*100/#REF!))))</f>
        <v>#REF!</v>
      </c>
      <c r="N8" s="77">
        <f>'GREEN SHEET'!EN8</f>
        <v>2.0000000000000018</v>
      </c>
      <c r="O8" s="77" t="e">
        <f>IF(C8="","",IF(C8="TC","",IF(AND(#REF!&gt;=6,#REF!&gt;=26,#REF!&gt;=33),"",$O$5&amp;",")))</f>
        <v>#REF!</v>
      </c>
      <c r="P8" s="77" t="e">
        <f>IF(C8="","",IF(C8="TC","",IF(AND(#REF!&gt;=6.6,#REF!&gt;=16.5,#REF!&gt;=33),"",$P$5&amp;",")))</f>
        <v>#REF!</v>
      </c>
      <c r="Q8" s="77" t="e">
        <f>IF(C8="","",IF(C8="TC","",IF(AND(#REF!&gt;=25,#REF!&gt;=8,#REF!&gt;=33,#REF!&gt;=23),"",$Q$5&amp;",")))</f>
        <v>#REF!</v>
      </c>
      <c r="R8" s="77" t="e">
        <f>IF(C8="","",IF(C8="TC","",IF(AND(#REF!&gt;=25,#REF!&gt;=8,#REF!&gt;=33,#REF!&gt;=23),"",$R$5&amp;",")))</f>
        <v>#REF!</v>
      </c>
      <c r="S8" s="77" t="e">
        <f>IF(C8="","",IF(C8="TC","",IF(AND(#REF!&gt;=25,#REF!&gt;=8,#REF!&gt;=33,#REF!&gt;=23),"",$S$5&amp;",")))</f>
        <v>#REF!</v>
      </c>
      <c r="T8" s="77" t="e">
        <f>IF(C8="","",IF(C8="TC","",IF(AND(#REF!&gt;=25,#REF!&gt;=8,#REF!&gt;=33,#REF!&gt;=23),"",$T$5&amp;",")))</f>
        <v>#REF!</v>
      </c>
      <c r="U8" s="77" t="e">
        <f t="shared" si="1"/>
        <v>#REF!</v>
      </c>
      <c r="V8" s="77" t="e">
        <f>IF(#REF!="",O8,IF(V8&gt;=26,"",O8))</f>
        <v>#REF!</v>
      </c>
      <c r="W8" s="77" t="e">
        <f>IF(#REF!="",P8,IF(#REF!&gt;=26,"",P8))</f>
        <v>#REF!</v>
      </c>
      <c r="X8" s="77" t="e">
        <f>IF(#REF!="",Q8,IF(#REF!&gt;=12,"",Q8))</f>
        <v>#REF!</v>
      </c>
      <c r="Y8" s="77" t="e">
        <f>IF(#REF!="",R8,IF(#REF!&gt;=12,"",R8))</f>
        <v>#REF!</v>
      </c>
      <c r="Z8" s="77" t="e">
        <f>IF(#REF!="",S8,IF(#REF!&gt;=12,"",S8))</f>
        <v>#REF!</v>
      </c>
      <c r="AA8" s="77" t="e">
        <f>IF(#REF!="",T8,IF(#REF!&gt;=12,"",T8))</f>
        <v>#REF!</v>
      </c>
      <c r="AB8" s="77">
        <f t="shared" si="2"/>
        <v>1</v>
      </c>
      <c r="AC8" s="77">
        <f t="shared" si="3"/>
        <v>5</v>
      </c>
      <c r="AD8" s="77">
        <f t="shared" si="4"/>
        <v>6</v>
      </c>
      <c r="AE8" s="77" t="str">
        <f>'GREEN SHEET'!EV8</f>
        <v/>
      </c>
      <c r="AF8" s="80" t="str">
        <f>'GREEN SHEET'!FG8</f>
        <v/>
      </c>
      <c r="AG8" s="80" t="str">
        <f>'GREEN SHEET'!FH8</f>
        <v/>
      </c>
      <c r="AH8" s="80" t="str">
        <f>'GREEN SHEET'!FI8</f>
        <v/>
      </c>
      <c r="AI8" s="80" t="str">
        <f>'GREEN SHEET'!FJ8</f>
        <v/>
      </c>
      <c r="AJ8" s="529" t="e">
        <f t="shared" si="5"/>
        <v>#REF!</v>
      </c>
    </row>
    <row r="9" spans="1:36" ht="28.5" customHeight="1" x14ac:dyDescent="0.3">
      <c r="A9" s="6"/>
      <c r="B9" s="512">
        <f>IF(DATA!B7&lt;&gt;0,DATA!B7,"")</f>
        <v>3</v>
      </c>
      <c r="C9" s="25">
        <f>IF(DATA!C7="","",DATA!C7)</f>
        <v>1103</v>
      </c>
      <c r="D9" s="25">
        <f>IF(DATA!D7="","",DATA!D7)</f>
        <v>710</v>
      </c>
      <c r="E9" s="738" t="str">
        <f>IF(DATA!E7="","",DATA!E7)</f>
        <v>HARSHIKA RAO</v>
      </c>
      <c r="F9" s="738" t="str">
        <f>IF(DATA!F7="","",DATA!F7)</f>
        <v>DEVI SINGH RAO</v>
      </c>
      <c r="G9" s="77" t="str">
        <f>IF(ATTENDANCE!Q10="","",ATTENDANCE!Q10&amp;"/"&amp;ATTENDANCE!$Q$7)</f>
        <v>260/342</v>
      </c>
      <c r="H9" s="77">
        <f>'GREEN SHEET'!EH9</f>
        <v>326</v>
      </c>
      <c r="I9" s="77">
        <f>'GREEN SHEET'!EI9</f>
        <v>65.2</v>
      </c>
      <c r="J9" s="77" t="str">
        <f>'GREEN SHEET'!EJ9</f>
        <v>B2</v>
      </c>
      <c r="K9" s="77" t="str">
        <f>'GREEN SHEET'!EK9</f>
        <v>PASS</v>
      </c>
      <c r="L9" s="77" t="str">
        <f>IFERROR(ROUNDUP((#REF!/#REF!)*100,2)&amp;"%","")</f>
        <v/>
      </c>
      <c r="M9" s="77" t="e">
        <f>IF(C9="TC","",IF(K9="","",IF(OR(K9="COMPARTMENT",K9="FAIL"),"",(#REF!*100/#REF!))))</f>
        <v>#REF!</v>
      </c>
      <c r="N9" s="77">
        <f>'GREEN SHEET'!EN9</f>
        <v>1.0000000000000007</v>
      </c>
      <c r="O9" s="77" t="e">
        <f>IF(C9="","",IF(C9="TC","",IF(AND(#REF!&gt;=6,#REF!&gt;=26,#REF!&gt;=33),"",$O$5&amp;",")))</f>
        <v>#REF!</v>
      </c>
      <c r="P9" s="77" t="e">
        <f>IF(C9="","",IF(C9="TC","",IF(AND(#REF!&gt;=6.6,#REF!&gt;=16.5,#REF!&gt;=33),"",$P$5&amp;",")))</f>
        <v>#REF!</v>
      </c>
      <c r="Q9" s="77" t="e">
        <f>IF(C9="","",IF(C9="TC","",IF(AND(#REF!&gt;=25,#REF!&gt;=8,#REF!&gt;=33,#REF!&gt;=23),"",$Q$5&amp;",")))</f>
        <v>#REF!</v>
      </c>
      <c r="R9" s="77" t="e">
        <f>IF(C9="","",IF(C9="TC","",IF(AND(#REF!&gt;=25,#REF!&gt;=8,#REF!&gt;=33,#REF!&gt;=23),"",$R$5&amp;",")))</f>
        <v>#REF!</v>
      </c>
      <c r="S9" s="77" t="e">
        <f>IF(C9="","",IF(C9="TC","",IF(AND(#REF!&gt;=25,#REF!&gt;=8,#REF!&gt;=33,#REF!&gt;=23),"",$S$5&amp;",")))</f>
        <v>#REF!</v>
      </c>
      <c r="T9" s="77" t="e">
        <f>IF(C9="","",IF(C9="TC","",IF(AND(#REF!&gt;=25,#REF!&gt;=8,#REF!&gt;=33,#REF!&gt;=23),"",$T$5&amp;",")))</f>
        <v>#REF!</v>
      </c>
      <c r="U9" s="77" t="e">
        <f t="shared" si="1"/>
        <v>#REF!</v>
      </c>
      <c r="V9" s="77" t="e">
        <f>IF(#REF!="",O9,IF(V9&gt;=26,"",O9))</f>
        <v>#REF!</v>
      </c>
      <c r="W9" s="77" t="e">
        <f>IF(#REF!="",P9,IF(#REF!&gt;=26,"",P9))</f>
        <v>#REF!</v>
      </c>
      <c r="X9" s="77" t="e">
        <f>IF(#REF!="",Q9,IF(#REF!&gt;=12,"",Q9))</f>
        <v>#REF!</v>
      </c>
      <c r="Y9" s="77" t="e">
        <f>IF(#REF!="",R9,IF(#REF!&gt;=12,"",R9))</f>
        <v>#REF!</v>
      </c>
      <c r="Z9" s="77" t="e">
        <f>IF(#REF!="",S9,IF(#REF!&gt;=12,"",S9))</f>
        <v>#REF!</v>
      </c>
      <c r="AA9" s="77" t="e">
        <f>IF(#REF!="",T9,IF(#REF!&gt;=12,"",T9))</f>
        <v>#REF!</v>
      </c>
      <c r="AB9" s="77">
        <f t="shared" si="2"/>
        <v>1</v>
      </c>
      <c r="AC9" s="77">
        <f t="shared" si="3"/>
        <v>5</v>
      </c>
      <c r="AD9" s="77">
        <f t="shared" si="4"/>
        <v>6</v>
      </c>
      <c r="AE9" s="77" t="str">
        <f>'GREEN SHEET'!EV9</f>
        <v/>
      </c>
      <c r="AF9" s="80" t="str">
        <f>'GREEN SHEET'!FG9</f>
        <v/>
      </c>
      <c r="AG9" s="80" t="str">
        <f>'GREEN SHEET'!FH9</f>
        <v/>
      </c>
      <c r="AH9" s="80" t="str">
        <f>'GREEN SHEET'!FI9</f>
        <v/>
      </c>
      <c r="AI9" s="80" t="str">
        <f>'GREEN SHEET'!FJ9</f>
        <v/>
      </c>
      <c r="AJ9" s="529" t="e">
        <f t="shared" si="5"/>
        <v>#REF!</v>
      </c>
    </row>
    <row r="10" spans="1:36" ht="28.5" customHeight="1" x14ac:dyDescent="0.3">
      <c r="A10" s="6"/>
      <c r="B10" s="512">
        <f>IF(DATA!B8&lt;&gt;0,DATA!B8,"")</f>
        <v>4</v>
      </c>
      <c r="C10" s="25" t="str">
        <f>IF(DATA!C8="","",DATA!C8)</f>
        <v/>
      </c>
      <c r="D10" s="25" t="str">
        <f>IF(DATA!D8="","",DATA!D8)</f>
        <v/>
      </c>
      <c r="E10" s="738" t="str">
        <f>IF(DATA!E8="","",DATA!E8)</f>
        <v/>
      </c>
      <c r="F10" s="738" t="str">
        <f>IF(DATA!F8="","",DATA!F8)</f>
        <v/>
      </c>
      <c r="G10" s="77" t="str">
        <f>IF(ATTENDANCE!Q11="","",ATTENDANCE!Q11&amp;"/"&amp;ATTENDANCE!$Q$7)</f>
        <v/>
      </c>
      <c r="H10" s="77" t="str">
        <f>'GREEN SHEET'!EH10</f>
        <v/>
      </c>
      <c r="I10" s="77" t="str">
        <f>'GREEN SHEET'!EI10</f>
        <v/>
      </c>
      <c r="J10" s="77" t="str">
        <f>'GREEN SHEET'!EJ10</f>
        <v/>
      </c>
      <c r="K10" s="77" t="str">
        <f>'GREEN SHEET'!EK10</f>
        <v/>
      </c>
      <c r="L10" s="77" t="str">
        <f>IFERROR(ROUNDUP((#REF!/#REF!)*100,2)&amp;"%","")</f>
        <v/>
      </c>
      <c r="M10" s="77" t="str">
        <f>IF(C10="TC","",IF(K10="","",IF(OR(K10="COMPARTMENT",K10="FAIL"),"",(#REF!*100/#REF!))))</f>
        <v/>
      </c>
      <c r="N10" s="77" t="str">
        <f>'GREEN SHEET'!EN10</f>
        <v/>
      </c>
      <c r="O10" s="77" t="str">
        <f>IF(C10="","",IF(C10="TC","",IF(AND(#REF!&gt;=6,#REF!&gt;=26,#REF!&gt;=33),"",$O$5&amp;",")))</f>
        <v/>
      </c>
      <c r="P10" s="77" t="str">
        <f>IF(C10="","",IF(C10="TC","",IF(AND(#REF!&gt;=6.6,#REF!&gt;=16.5,#REF!&gt;=33),"",$P$5&amp;",")))</f>
        <v/>
      </c>
      <c r="Q10" s="77" t="str">
        <f>IF(C10="","",IF(C10="TC","",IF(AND(#REF!&gt;=25,#REF!&gt;=8,#REF!&gt;=33,#REF!&gt;=23),"",$Q$5&amp;",")))</f>
        <v/>
      </c>
      <c r="R10" s="77" t="str">
        <f>IF(C10="","",IF(C10="TC","",IF(AND(#REF!&gt;=25,#REF!&gt;=8,#REF!&gt;=33,#REF!&gt;=23),"",$R$5&amp;",")))</f>
        <v/>
      </c>
      <c r="S10" s="77" t="str">
        <f>IF(C10="","",IF(C10="TC","",IF(AND(#REF!&gt;=25,#REF!&gt;=8,#REF!&gt;=33,#REF!&gt;=23),"",$S$5&amp;",")))</f>
        <v/>
      </c>
      <c r="T10" s="77" t="str">
        <f>IF(C10="","",IF(C10="TC","",IF(AND(#REF!&gt;=25,#REF!&gt;=8,#REF!&gt;=33,#REF!&gt;=23),"",$T$5&amp;",")))</f>
        <v/>
      </c>
      <c r="U10" s="77" t="str">
        <f t="shared" si="1"/>
        <v/>
      </c>
      <c r="V10" s="77" t="e">
        <f>IF(#REF!="",O10,IF(V10&gt;=26,"",O10))</f>
        <v>#REF!</v>
      </c>
      <c r="W10" s="77" t="e">
        <f>IF(#REF!="",P10,IF(#REF!&gt;=26,"",P10))</f>
        <v>#REF!</v>
      </c>
      <c r="X10" s="77" t="e">
        <f>IF(#REF!="",Q10,IF(#REF!&gt;=12,"",Q10))</f>
        <v>#REF!</v>
      </c>
      <c r="Y10" s="77" t="e">
        <f>IF(#REF!="",R10,IF(#REF!&gt;=12,"",R10))</f>
        <v>#REF!</v>
      </c>
      <c r="Z10" s="77" t="e">
        <f>IF(#REF!="",S10,IF(#REF!&gt;=12,"",S10))</f>
        <v>#REF!</v>
      </c>
      <c r="AA10" s="77" t="e">
        <f>IF(#REF!="",T10,IF(#REF!&gt;=12,"",T10))</f>
        <v>#REF!</v>
      </c>
      <c r="AB10" s="77" t="str">
        <f t="shared" si="2"/>
        <v/>
      </c>
      <c r="AC10" s="77" t="str">
        <f t="shared" si="3"/>
        <v/>
      </c>
      <c r="AD10" s="77" t="str">
        <f t="shared" si="4"/>
        <v/>
      </c>
      <c r="AE10" s="77" t="str">
        <f>'GREEN SHEET'!EV10</f>
        <v/>
      </c>
      <c r="AF10" s="80" t="str">
        <f>'GREEN SHEET'!FG10</f>
        <v/>
      </c>
      <c r="AG10" s="80" t="str">
        <f>'GREEN SHEET'!FH10</f>
        <v/>
      </c>
      <c r="AH10" s="80" t="str">
        <f>'GREEN SHEET'!FI10</f>
        <v/>
      </c>
      <c r="AI10" s="80" t="str">
        <f>'GREEN SHEET'!FJ10</f>
        <v/>
      </c>
      <c r="AJ10" s="529" t="str">
        <f t="shared" si="5"/>
        <v/>
      </c>
    </row>
    <row r="11" spans="1:36" ht="28.5" customHeight="1" x14ac:dyDescent="0.3">
      <c r="A11" s="6"/>
      <c r="B11" s="512">
        <f>IF(DATA!B9&lt;&gt;0,DATA!B9,"")</f>
        <v>5</v>
      </c>
      <c r="C11" s="25" t="str">
        <f>IF(DATA!C9="","",DATA!C9)</f>
        <v/>
      </c>
      <c r="D11" s="25" t="str">
        <f>IF(DATA!D9="","",DATA!D9)</f>
        <v/>
      </c>
      <c r="E11" s="738" t="str">
        <f>IF(DATA!E9="","",DATA!E9)</f>
        <v/>
      </c>
      <c r="F11" s="738" t="str">
        <f>IF(DATA!F9="","",DATA!F9)</f>
        <v/>
      </c>
      <c r="G11" s="77" t="str">
        <f>IF(ATTENDANCE!Q12="","",ATTENDANCE!Q12&amp;"/"&amp;ATTENDANCE!$Q$7)</f>
        <v/>
      </c>
      <c r="H11" s="77" t="str">
        <f>'GREEN SHEET'!EH11</f>
        <v/>
      </c>
      <c r="I11" s="77" t="str">
        <f>'GREEN SHEET'!EI11</f>
        <v/>
      </c>
      <c r="J11" s="77" t="str">
        <f>'GREEN SHEET'!EJ11</f>
        <v/>
      </c>
      <c r="K11" s="77" t="str">
        <f>'GREEN SHEET'!EK11</f>
        <v/>
      </c>
      <c r="L11" s="77" t="str">
        <f>IFERROR(ROUNDUP((#REF!/#REF!)*100,2)&amp;"%","")</f>
        <v/>
      </c>
      <c r="M11" s="77" t="str">
        <f>IF(C11="TC","",IF(K11="","",IF(OR(K11="COMPARTMENT",K11="FAIL"),"",(#REF!*100/#REF!))))</f>
        <v/>
      </c>
      <c r="N11" s="77" t="str">
        <f>'GREEN SHEET'!EN11</f>
        <v/>
      </c>
      <c r="O11" s="77" t="str">
        <f>IF(C11="","",IF(C11="TC","",IF(AND(#REF!&gt;=6,#REF!&gt;=26,#REF!&gt;=33),"",$O$5&amp;",")))</f>
        <v/>
      </c>
      <c r="P11" s="77" t="str">
        <f>IF(C11="","",IF(C11="TC","",IF(AND(#REF!&gt;=6.6,#REF!&gt;=16.5,#REF!&gt;=33),"",$P$5&amp;",")))</f>
        <v/>
      </c>
      <c r="Q11" s="77" t="str">
        <f>IF(C11="","",IF(C11="TC","",IF(AND(#REF!&gt;=25,#REF!&gt;=8,#REF!&gt;=33,#REF!&gt;=23),"",$Q$5&amp;",")))</f>
        <v/>
      </c>
      <c r="R11" s="77" t="str">
        <f>IF(C11="","",IF(C11="TC","",IF(AND(#REF!&gt;=25,#REF!&gt;=8,#REF!&gt;=33,#REF!&gt;=23),"",$R$5&amp;",")))</f>
        <v/>
      </c>
      <c r="S11" s="77" t="str">
        <f>IF(C11="","",IF(C11="TC","",IF(AND(#REF!&gt;=25,#REF!&gt;=8,#REF!&gt;=33,#REF!&gt;=23),"",$S$5&amp;",")))</f>
        <v/>
      </c>
      <c r="T11" s="77" t="str">
        <f>IF(C11="","",IF(C11="TC","",IF(AND(#REF!&gt;=25,#REF!&gt;=8,#REF!&gt;=33,#REF!&gt;=23),"",$T$5&amp;",")))</f>
        <v/>
      </c>
      <c r="U11" s="77" t="str">
        <f t="shared" si="1"/>
        <v/>
      </c>
      <c r="V11" s="77" t="e">
        <f>IF(#REF!="",O11,IF(V11&gt;=26,"",O11))</f>
        <v>#REF!</v>
      </c>
      <c r="W11" s="77" t="e">
        <f>IF(#REF!="",P11,IF(#REF!&gt;=26,"",P11))</f>
        <v>#REF!</v>
      </c>
      <c r="X11" s="77" t="e">
        <f>IF(#REF!="",Q11,IF(#REF!&gt;=12,"",Q11))</f>
        <v>#REF!</v>
      </c>
      <c r="Y11" s="77" t="e">
        <f>IF(#REF!="",R11,IF(#REF!&gt;=12,"",R11))</f>
        <v>#REF!</v>
      </c>
      <c r="Z11" s="77" t="e">
        <f>IF(#REF!="",S11,IF(#REF!&gt;=12,"",S11))</f>
        <v>#REF!</v>
      </c>
      <c r="AA11" s="77" t="e">
        <f>IF(#REF!="",T11,IF(#REF!&gt;=12,"",T11))</f>
        <v>#REF!</v>
      </c>
      <c r="AB11" s="77" t="str">
        <f t="shared" si="2"/>
        <v/>
      </c>
      <c r="AC11" s="77" t="str">
        <f t="shared" si="3"/>
        <v/>
      </c>
      <c r="AD11" s="77" t="str">
        <f t="shared" si="4"/>
        <v/>
      </c>
      <c r="AE11" s="77" t="str">
        <f>'GREEN SHEET'!EV11</f>
        <v/>
      </c>
      <c r="AF11" s="80" t="str">
        <f>'GREEN SHEET'!FG11</f>
        <v/>
      </c>
      <c r="AG11" s="80" t="str">
        <f>'GREEN SHEET'!FH11</f>
        <v/>
      </c>
      <c r="AH11" s="80" t="str">
        <f>'GREEN SHEET'!FI11</f>
        <v/>
      </c>
      <c r="AI11" s="80" t="str">
        <f>'GREEN SHEET'!FJ11</f>
        <v/>
      </c>
      <c r="AJ11" s="529" t="str">
        <f t="shared" si="5"/>
        <v/>
      </c>
    </row>
    <row r="12" spans="1:36" ht="28.5" customHeight="1" x14ac:dyDescent="0.3">
      <c r="A12" s="6"/>
      <c r="B12" s="512">
        <f>IF(DATA!B10&lt;&gt;0,DATA!B10,"")</f>
        <v>6</v>
      </c>
      <c r="C12" s="25" t="str">
        <f>IF(DATA!C10="","",DATA!C10)</f>
        <v/>
      </c>
      <c r="D12" s="25" t="str">
        <f>IF(DATA!D10="","",DATA!D10)</f>
        <v/>
      </c>
      <c r="E12" s="738" t="str">
        <f>IF(DATA!E10="","",DATA!E10)</f>
        <v/>
      </c>
      <c r="F12" s="738" t="str">
        <f>IF(DATA!F10="","",DATA!F10)</f>
        <v/>
      </c>
      <c r="G12" s="77" t="str">
        <f>IF(ATTENDANCE!Q13="","",ATTENDANCE!Q13&amp;"/"&amp;ATTENDANCE!$Q$7)</f>
        <v/>
      </c>
      <c r="H12" s="77" t="str">
        <f>'GREEN SHEET'!EH12</f>
        <v/>
      </c>
      <c r="I12" s="77" t="str">
        <f>'GREEN SHEET'!EI12</f>
        <v/>
      </c>
      <c r="J12" s="77" t="str">
        <f>'GREEN SHEET'!EJ12</f>
        <v/>
      </c>
      <c r="K12" s="77" t="str">
        <f>'GREEN SHEET'!EK12</f>
        <v/>
      </c>
      <c r="L12" s="77" t="str">
        <f>IFERROR(ROUNDUP((#REF!/#REF!)*100,2)&amp;"%","")</f>
        <v/>
      </c>
      <c r="M12" s="77" t="str">
        <f>IF(C12="TC","",IF(K12="","",IF(OR(K12="COMPARTMENT",K12="FAIL"),"",(#REF!*100/#REF!))))</f>
        <v/>
      </c>
      <c r="N12" s="77" t="str">
        <f>'GREEN SHEET'!EN12</f>
        <v/>
      </c>
      <c r="O12" s="77" t="str">
        <f>IF(C12="","",IF(C12="TC","",IF(AND(#REF!&gt;=6,#REF!&gt;=26,#REF!&gt;=33),"",$O$5&amp;",")))</f>
        <v/>
      </c>
      <c r="P12" s="77" t="str">
        <f>IF(C12="","",IF(C12="TC","",IF(AND(#REF!&gt;=6.6,#REF!&gt;=16.5,#REF!&gt;=33),"",$P$5&amp;",")))</f>
        <v/>
      </c>
      <c r="Q12" s="77" t="str">
        <f>IF(C12="","",IF(C12="TC","",IF(AND(#REF!&gt;=25,#REF!&gt;=8,#REF!&gt;=33,#REF!&gt;=23),"",$Q$5&amp;",")))</f>
        <v/>
      </c>
      <c r="R12" s="77" t="str">
        <f>IF(C12="","",IF(C12="TC","",IF(AND(#REF!&gt;=25,#REF!&gt;=8,#REF!&gt;=33,#REF!&gt;=23),"",$R$5&amp;",")))</f>
        <v/>
      </c>
      <c r="S12" s="77" t="str">
        <f>IF(C12="","",IF(C12="TC","",IF(AND(#REF!&gt;=25,#REF!&gt;=8,#REF!&gt;=33,#REF!&gt;=23),"",$S$5&amp;",")))</f>
        <v/>
      </c>
      <c r="T12" s="77" t="str">
        <f>IF(C12="","",IF(C12="TC","",IF(AND(#REF!&gt;=25,#REF!&gt;=8,#REF!&gt;=33,#REF!&gt;=23),"",$T$5&amp;",")))</f>
        <v/>
      </c>
      <c r="U12" s="77" t="str">
        <f t="shared" si="1"/>
        <v/>
      </c>
      <c r="V12" s="77" t="e">
        <f>IF(#REF!="",O12,IF(V12&gt;=26,"",O12))</f>
        <v>#REF!</v>
      </c>
      <c r="W12" s="77" t="e">
        <f>IF(#REF!="",P12,IF(#REF!&gt;=26,"",P12))</f>
        <v>#REF!</v>
      </c>
      <c r="X12" s="77" t="e">
        <f>IF(#REF!="",Q12,IF(#REF!&gt;=12,"",Q12))</f>
        <v>#REF!</v>
      </c>
      <c r="Y12" s="77" t="e">
        <f>IF(#REF!="",R12,IF(#REF!&gt;=12,"",R12))</f>
        <v>#REF!</v>
      </c>
      <c r="Z12" s="77" t="e">
        <f>IF(#REF!="",S12,IF(#REF!&gt;=12,"",S12))</f>
        <v>#REF!</v>
      </c>
      <c r="AA12" s="77" t="e">
        <f>IF(#REF!="",T12,IF(#REF!&gt;=12,"",T12))</f>
        <v>#REF!</v>
      </c>
      <c r="AB12" s="77" t="str">
        <f t="shared" si="2"/>
        <v/>
      </c>
      <c r="AC12" s="77" t="str">
        <f t="shared" si="3"/>
        <v/>
      </c>
      <c r="AD12" s="77" t="str">
        <f t="shared" si="4"/>
        <v/>
      </c>
      <c r="AE12" s="77" t="str">
        <f>'GREEN SHEET'!EV12</f>
        <v/>
      </c>
      <c r="AF12" s="80" t="str">
        <f>'GREEN SHEET'!FG12</f>
        <v/>
      </c>
      <c r="AG12" s="80" t="str">
        <f>'GREEN SHEET'!FH12</f>
        <v/>
      </c>
      <c r="AH12" s="80" t="str">
        <f>'GREEN SHEET'!FI12</f>
        <v/>
      </c>
      <c r="AI12" s="80" t="str">
        <f>'GREEN SHEET'!FJ12</f>
        <v/>
      </c>
      <c r="AJ12" s="529" t="str">
        <f t="shared" si="5"/>
        <v/>
      </c>
    </row>
    <row r="13" spans="1:36" ht="28.5" customHeight="1" x14ac:dyDescent="0.3">
      <c r="A13" s="6"/>
      <c r="B13" s="512">
        <f>IF(DATA!B11&lt;&gt;0,DATA!B11,"")</f>
        <v>7</v>
      </c>
      <c r="C13" s="25" t="str">
        <f>IF(DATA!C11="","",DATA!C11)</f>
        <v/>
      </c>
      <c r="D13" s="25" t="str">
        <f>IF(DATA!D11="","",DATA!D11)</f>
        <v/>
      </c>
      <c r="E13" s="738" t="str">
        <f>IF(DATA!E11="","",DATA!E11)</f>
        <v/>
      </c>
      <c r="F13" s="738" t="str">
        <f>IF(DATA!F11="","",DATA!F11)</f>
        <v/>
      </c>
      <c r="G13" s="77" t="str">
        <f>IF(ATTENDANCE!Q14="","",ATTENDANCE!Q14&amp;"/"&amp;ATTENDANCE!$Q$7)</f>
        <v/>
      </c>
      <c r="H13" s="77" t="str">
        <f>'GREEN SHEET'!EH13</f>
        <v/>
      </c>
      <c r="I13" s="77" t="str">
        <f>'GREEN SHEET'!EI13</f>
        <v/>
      </c>
      <c r="J13" s="77" t="str">
        <f>'GREEN SHEET'!EJ13</f>
        <v/>
      </c>
      <c r="K13" s="77" t="str">
        <f>'GREEN SHEET'!EK13</f>
        <v/>
      </c>
      <c r="L13" s="77" t="str">
        <f>IFERROR(ROUNDUP((#REF!/#REF!)*100,2)&amp;"%","")</f>
        <v/>
      </c>
      <c r="M13" s="77" t="str">
        <f>IF(C13="TC","",IF(K13="","",IF(OR(K13="COMPARTMENT",K13="FAIL"),"",(#REF!*100/#REF!))))</f>
        <v/>
      </c>
      <c r="N13" s="77" t="str">
        <f>'GREEN SHEET'!EN13</f>
        <v/>
      </c>
      <c r="O13" s="77" t="str">
        <f>IF(C13="","",IF(C13="TC","",IF(AND(#REF!&gt;=6,#REF!&gt;=26,#REF!&gt;=33),"",$O$5&amp;",")))</f>
        <v/>
      </c>
      <c r="P13" s="77" t="str">
        <f>IF(C13="","",IF(C13="TC","",IF(AND(#REF!&gt;=6.6,#REF!&gt;=16.5,#REF!&gt;=33),"",$P$5&amp;",")))</f>
        <v/>
      </c>
      <c r="Q13" s="77" t="str">
        <f>IF(C13="","",IF(C13="TC","",IF(AND(#REF!&gt;=25,#REF!&gt;=8,#REF!&gt;=33,#REF!&gt;=23),"",$Q$5&amp;",")))</f>
        <v/>
      </c>
      <c r="R13" s="77" t="str">
        <f>IF(C13="","",IF(C13="TC","",IF(AND(#REF!&gt;=25,#REF!&gt;=8,#REF!&gt;=33,#REF!&gt;=23),"",$R$5&amp;",")))</f>
        <v/>
      </c>
      <c r="S13" s="77" t="str">
        <f>IF(C13="","",IF(C13="TC","",IF(AND(#REF!&gt;=25,#REF!&gt;=8,#REF!&gt;=33,#REF!&gt;=23),"",$S$5&amp;",")))</f>
        <v/>
      </c>
      <c r="T13" s="77" t="str">
        <f>IF(C13="","",IF(C13="TC","",IF(AND(#REF!&gt;=25,#REF!&gt;=8,#REF!&gt;=33,#REF!&gt;=23),"",$T$5&amp;",")))</f>
        <v/>
      </c>
      <c r="U13" s="77" t="str">
        <f t="shared" si="1"/>
        <v/>
      </c>
      <c r="V13" s="77" t="e">
        <f>IF(#REF!="",O13,IF(V13&gt;=26,"",O13))</f>
        <v>#REF!</v>
      </c>
      <c r="W13" s="77" t="e">
        <f>IF(#REF!="",P13,IF(#REF!&gt;=26,"",P13))</f>
        <v>#REF!</v>
      </c>
      <c r="X13" s="77" t="e">
        <f>IF(#REF!="",Q13,IF(#REF!&gt;=12,"",Q13))</f>
        <v>#REF!</v>
      </c>
      <c r="Y13" s="77" t="e">
        <f>IF(#REF!="",R13,IF(#REF!&gt;=12,"",R13))</f>
        <v>#REF!</v>
      </c>
      <c r="Z13" s="77" t="e">
        <f>IF(#REF!="",S13,IF(#REF!&gt;=12,"",S13))</f>
        <v>#REF!</v>
      </c>
      <c r="AA13" s="77" t="e">
        <f>IF(#REF!="",T13,IF(#REF!&gt;=12,"",T13))</f>
        <v>#REF!</v>
      </c>
      <c r="AB13" s="77" t="str">
        <f t="shared" si="2"/>
        <v/>
      </c>
      <c r="AC13" s="77" t="str">
        <f t="shared" si="3"/>
        <v/>
      </c>
      <c r="AD13" s="77" t="str">
        <f t="shared" si="4"/>
        <v/>
      </c>
      <c r="AE13" s="77" t="str">
        <f>'GREEN SHEET'!EV13</f>
        <v/>
      </c>
      <c r="AF13" s="80" t="str">
        <f>'GREEN SHEET'!FG13</f>
        <v/>
      </c>
      <c r="AG13" s="80" t="str">
        <f>'GREEN SHEET'!FH13</f>
        <v/>
      </c>
      <c r="AH13" s="80" t="str">
        <f>'GREEN SHEET'!FI13</f>
        <v/>
      </c>
      <c r="AI13" s="80" t="str">
        <f>'GREEN SHEET'!FJ13</f>
        <v/>
      </c>
      <c r="AJ13" s="529" t="str">
        <f t="shared" si="5"/>
        <v/>
      </c>
    </row>
    <row r="14" spans="1:36" ht="28.5" customHeight="1" x14ac:dyDescent="0.3">
      <c r="A14" s="6"/>
      <c r="B14" s="512">
        <f>IF(DATA!B12&lt;&gt;0,DATA!B12,"")</f>
        <v>8</v>
      </c>
      <c r="C14" s="25" t="str">
        <f>IF(DATA!C12="","",DATA!C12)</f>
        <v/>
      </c>
      <c r="D14" s="25" t="str">
        <f>IF(DATA!D12="","",DATA!D12)</f>
        <v/>
      </c>
      <c r="E14" s="738" t="str">
        <f>IF(DATA!E12="","",DATA!E12)</f>
        <v/>
      </c>
      <c r="F14" s="738" t="str">
        <f>IF(DATA!F12="","",DATA!F12)</f>
        <v/>
      </c>
      <c r="G14" s="77" t="str">
        <f>IF(ATTENDANCE!Q15="","",ATTENDANCE!Q15&amp;"/"&amp;ATTENDANCE!$Q$7)</f>
        <v/>
      </c>
      <c r="H14" s="77" t="str">
        <f>'GREEN SHEET'!EH14</f>
        <v/>
      </c>
      <c r="I14" s="77" t="str">
        <f>'GREEN SHEET'!EI14</f>
        <v/>
      </c>
      <c r="J14" s="77" t="str">
        <f>'GREEN SHEET'!EJ14</f>
        <v/>
      </c>
      <c r="K14" s="77" t="str">
        <f>'GREEN SHEET'!EK14</f>
        <v/>
      </c>
      <c r="L14" s="77" t="str">
        <f>IFERROR(ROUNDUP((#REF!/#REF!)*100,2)&amp;"%","")</f>
        <v/>
      </c>
      <c r="M14" s="77" t="str">
        <f>IF(C14="TC","",IF(K14="","",IF(OR(K14="COMPARTMENT",K14="FAIL"),"",(#REF!*100/#REF!))))</f>
        <v/>
      </c>
      <c r="N14" s="77" t="str">
        <f>'GREEN SHEET'!EN14</f>
        <v/>
      </c>
      <c r="O14" s="77" t="str">
        <f>IF(C14="","",IF(C14="TC","",IF(AND(#REF!&gt;=6,#REF!&gt;=26,#REF!&gt;=33),"",$O$5&amp;",")))</f>
        <v/>
      </c>
      <c r="P14" s="77" t="str">
        <f>IF(C14="","",IF(C14="TC","",IF(AND(#REF!&gt;=6.6,#REF!&gt;=16.5,#REF!&gt;=33),"",$P$5&amp;",")))</f>
        <v/>
      </c>
      <c r="Q14" s="77" t="str">
        <f>IF(C14="","",IF(C14="TC","",IF(AND(#REF!&gt;=25,#REF!&gt;=8,#REF!&gt;=33,#REF!&gt;=23),"",$Q$5&amp;",")))</f>
        <v/>
      </c>
      <c r="R14" s="77" t="str">
        <f>IF(C14="","",IF(C14="TC","",IF(AND(#REF!&gt;=25,#REF!&gt;=8,#REF!&gt;=33,#REF!&gt;=23),"",$R$5&amp;",")))</f>
        <v/>
      </c>
      <c r="S14" s="77" t="str">
        <f>IF(C14="","",IF(C14="TC","",IF(AND(#REF!&gt;=25,#REF!&gt;=8,#REF!&gt;=33,#REF!&gt;=23),"",$S$5&amp;",")))</f>
        <v/>
      </c>
      <c r="T14" s="77" t="str">
        <f>IF(C14="","",IF(C14="TC","",IF(AND(#REF!&gt;=25,#REF!&gt;=8,#REF!&gt;=33,#REF!&gt;=23),"",$T$5&amp;",")))</f>
        <v/>
      </c>
      <c r="U14" s="77" t="str">
        <f t="shared" si="1"/>
        <v/>
      </c>
      <c r="V14" s="77" t="e">
        <f>IF(#REF!="",O14,IF(V14&gt;=26,"",O14))</f>
        <v>#REF!</v>
      </c>
      <c r="W14" s="77" t="e">
        <f>IF(#REF!="",P14,IF(#REF!&gt;=26,"",P14))</f>
        <v>#REF!</v>
      </c>
      <c r="X14" s="77" t="e">
        <f>IF(#REF!="",Q14,IF(#REF!&gt;=12,"",Q14))</f>
        <v>#REF!</v>
      </c>
      <c r="Y14" s="77" t="e">
        <f>IF(#REF!="",R14,IF(#REF!&gt;=12,"",R14))</f>
        <v>#REF!</v>
      </c>
      <c r="Z14" s="77" t="e">
        <f>IF(#REF!="",S14,IF(#REF!&gt;=12,"",S14))</f>
        <v>#REF!</v>
      </c>
      <c r="AA14" s="77" t="e">
        <f>IF(#REF!="",T14,IF(#REF!&gt;=12,"",T14))</f>
        <v>#REF!</v>
      </c>
      <c r="AB14" s="77" t="str">
        <f t="shared" si="2"/>
        <v/>
      </c>
      <c r="AC14" s="77" t="str">
        <f t="shared" si="3"/>
        <v/>
      </c>
      <c r="AD14" s="77" t="str">
        <f t="shared" si="4"/>
        <v/>
      </c>
      <c r="AE14" s="77" t="str">
        <f>'GREEN SHEET'!EV14</f>
        <v/>
      </c>
      <c r="AF14" s="80" t="str">
        <f>'GREEN SHEET'!FG14</f>
        <v/>
      </c>
      <c r="AG14" s="80" t="str">
        <f>'GREEN SHEET'!FH14</f>
        <v/>
      </c>
      <c r="AH14" s="80" t="str">
        <f>'GREEN SHEET'!FI14</f>
        <v/>
      </c>
      <c r="AI14" s="80" t="str">
        <f>'GREEN SHEET'!FJ14</f>
        <v/>
      </c>
      <c r="AJ14" s="529" t="str">
        <f t="shared" si="5"/>
        <v/>
      </c>
    </row>
    <row r="15" spans="1:36" ht="28.5" customHeight="1" x14ac:dyDescent="0.3">
      <c r="A15" s="6"/>
      <c r="B15" s="512" t="str">
        <f>IF(DATA!B13&lt;&gt;0,DATA!B13,"")</f>
        <v/>
      </c>
      <c r="C15" s="25" t="str">
        <f>IF(DATA!C13="","",DATA!C13)</f>
        <v/>
      </c>
      <c r="D15" s="25" t="str">
        <f>IF(DATA!D13="","",DATA!D13)</f>
        <v/>
      </c>
      <c r="E15" s="738" t="str">
        <f>IF(DATA!E13="","",DATA!E13)</f>
        <v/>
      </c>
      <c r="F15" s="738" t="str">
        <f>IF(DATA!F13="","",DATA!F13)</f>
        <v/>
      </c>
      <c r="G15" s="77" t="str">
        <f>IF(ATTENDANCE!Q16="","",ATTENDANCE!Q16&amp;"/"&amp;ATTENDANCE!$Q$7)</f>
        <v/>
      </c>
      <c r="H15" s="77" t="str">
        <f>'GREEN SHEET'!EH15</f>
        <v/>
      </c>
      <c r="I15" s="77" t="str">
        <f>'GREEN SHEET'!EI15</f>
        <v/>
      </c>
      <c r="J15" s="77" t="str">
        <f>'GREEN SHEET'!EJ15</f>
        <v/>
      </c>
      <c r="K15" s="77" t="str">
        <f>'GREEN SHEET'!EK15</f>
        <v/>
      </c>
      <c r="L15" s="77" t="str">
        <f>IFERROR(ROUNDUP((#REF!/#REF!)*100,2)&amp;"%","")</f>
        <v/>
      </c>
      <c r="M15" s="77" t="str">
        <f>IF(C15="TC","",IF(K15="","",IF(OR(K15="COMPARTMENT",K15="FAIL"),"",(#REF!*100/#REF!))))</f>
        <v/>
      </c>
      <c r="N15" s="77" t="str">
        <f>'GREEN SHEET'!EN15</f>
        <v/>
      </c>
      <c r="O15" s="77" t="str">
        <f>IF(C15="","",IF(C15="TC","",IF(AND(#REF!&gt;=6,#REF!&gt;=26,#REF!&gt;=33),"",$O$5&amp;",")))</f>
        <v/>
      </c>
      <c r="P15" s="77" t="str">
        <f>IF(C15="","",IF(C15="TC","",IF(AND(#REF!&gt;=6.6,#REF!&gt;=16.5,#REF!&gt;=33),"",$P$5&amp;",")))</f>
        <v/>
      </c>
      <c r="Q15" s="77" t="str">
        <f>IF(C15="","",IF(C15="TC","",IF(AND(#REF!&gt;=25,#REF!&gt;=8,#REF!&gt;=33,#REF!&gt;=23),"",$Q$5&amp;",")))</f>
        <v/>
      </c>
      <c r="R15" s="77" t="str">
        <f>IF(C15="","",IF(C15="TC","",IF(AND(#REF!&gt;=25,#REF!&gt;=8,#REF!&gt;=33,#REF!&gt;=23),"",$R$5&amp;",")))</f>
        <v/>
      </c>
      <c r="S15" s="77" t="str">
        <f>IF(C15="","",IF(C15="TC","",IF(AND(#REF!&gt;=25,#REF!&gt;=8,#REF!&gt;=33,#REF!&gt;=23),"",$S$5&amp;",")))</f>
        <v/>
      </c>
      <c r="T15" s="77" t="str">
        <f>IF(C15="","",IF(C15="TC","",IF(AND(#REF!&gt;=25,#REF!&gt;=8,#REF!&gt;=33,#REF!&gt;=23),"",$T$5&amp;",")))</f>
        <v/>
      </c>
      <c r="U15" s="77" t="str">
        <f t="shared" si="1"/>
        <v/>
      </c>
      <c r="V15" s="77" t="e">
        <f>IF(#REF!="",O15,IF(V15&gt;=26,"",O15))</f>
        <v>#REF!</v>
      </c>
      <c r="W15" s="77" t="e">
        <f>IF(#REF!="",P15,IF(#REF!&gt;=26,"",P15))</f>
        <v>#REF!</v>
      </c>
      <c r="X15" s="77" t="e">
        <f>IF(#REF!="",Q15,IF(#REF!&gt;=12,"",Q15))</f>
        <v>#REF!</v>
      </c>
      <c r="Y15" s="77" t="e">
        <f>IF(#REF!="",R15,IF(#REF!&gt;=12,"",R15))</f>
        <v>#REF!</v>
      </c>
      <c r="Z15" s="77" t="e">
        <f>IF(#REF!="",S15,IF(#REF!&gt;=12,"",S15))</f>
        <v>#REF!</v>
      </c>
      <c r="AA15" s="77" t="e">
        <f>IF(#REF!="",T15,IF(#REF!&gt;=12,"",T15))</f>
        <v>#REF!</v>
      </c>
      <c r="AB15" s="77" t="str">
        <f t="shared" si="2"/>
        <v/>
      </c>
      <c r="AC15" s="77" t="str">
        <f t="shared" si="3"/>
        <v/>
      </c>
      <c r="AD15" s="77" t="str">
        <f t="shared" si="4"/>
        <v/>
      </c>
      <c r="AE15" s="77" t="str">
        <f>'GREEN SHEET'!EV15</f>
        <v/>
      </c>
      <c r="AF15" s="80" t="str">
        <f>'GREEN SHEET'!FG15</f>
        <v/>
      </c>
      <c r="AG15" s="80" t="str">
        <f>'GREEN SHEET'!FH15</f>
        <v/>
      </c>
      <c r="AH15" s="80" t="str">
        <f>'GREEN SHEET'!FI15</f>
        <v/>
      </c>
      <c r="AI15" s="80" t="str">
        <f>'GREEN SHEET'!FJ15</f>
        <v/>
      </c>
      <c r="AJ15" s="529" t="str">
        <f t="shared" si="5"/>
        <v/>
      </c>
    </row>
    <row r="16" spans="1:36" ht="28.5" customHeight="1" x14ac:dyDescent="0.3">
      <c r="A16" s="6"/>
      <c r="B16" s="512" t="str">
        <f>IF(DATA!B14&lt;&gt;0,DATA!B14,"")</f>
        <v/>
      </c>
      <c r="C16" s="25" t="str">
        <f>IF(DATA!C14="","",DATA!C14)</f>
        <v/>
      </c>
      <c r="D16" s="25" t="str">
        <f>IF(DATA!D14="","",DATA!D14)</f>
        <v/>
      </c>
      <c r="E16" s="738" t="str">
        <f>IF(DATA!E14="","",DATA!E14)</f>
        <v/>
      </c>
      <c r="F16" s="738" t="str">
        <f>IF(DATA!F14="","",DATA!F14)</f>
        <v/>
      </c>
      <c r="G16" s="77" t="str">
        <f>IF(ATTENDANCE!Q17="","",ATTENDANCE!Q17&amp;"/"&amp;ATTENDANCE!$Q$7)</f>
        <v/>
      </c>
      <c r="H16" s="77" t="str">
        <f>'GREEN SHEET'!EH16</f>
        <v/>
      </c>
      <c r="I16" s="77" t="str">
        <f>'GREEN SHEET'!EI16</f>
        <v/>
      </c>
      <c r="J16" s="77" t="str">
        <f>'GREEN SHEET'!EJ16</f>
        <v/>
      </c>
      <c r="K16" s="77" t="str">
        <f>'GREEN SHEET'!EK16</f>
        <v/>
      </c>
      <c r="L16" s="77" t="str">
        <f>IFERROR(ROUNDUP((#REF!/#REF!)*100,2)&amp;"%","")</f>
        <v/>
      </c>
      <c r="M16" s="77" t="str">
        <f>IF(C16="TC","",IF(K16="","",IF(OR(K16="COMPARTMENT",K16="FAIL"),"",(#REF!*100/#REF!))))</f>
        <v/>
      </c>
      <c r="N16" s="77" t="str">
        <f>'GREEN SHEET'!EN16</f>
        <v/>
      </c>
      <c r="O16" s="77" t="str">
        <f>IF(C16="","",IF(C16="TC","",IF(AND(#REF!&gt;=6,#REF!&gt;=26,#REF!&gt;=33),"",$O$5&amp;",")))</f>
        <v/>
      </c>
      <c r="P16" s="77" t="str">
        <f>IF(C16="","",IF(C16="TC","",IF(AND(#REF!&gt;=6.6,#REF!&gt;=16.5,#REF!&gt;=33),"",$P$5&amp;",")))</f>
        <v/>
      </c>
      <c r="Q16" s="77" t="str">
        <f>IF(C16="","",IF(C16="TC","",IF(AND(#REF!&gt;=25,#REF!&gt;=8,#REF!&gt;=33,#REF!&gt;=23),"",$Q$5&amp;",")))</f>
        <v/>
      </c>
      <c r="R16" s="77" t="str">
        <f>IF(C16="","",IF(C16="TC","",IF(AND(#REF!&gt;=25,#REF!&gt;=8,#REF!&gt;=33,#REF!&gt;=23),"",$R$5&amp;",")))</f>
        <v/>
      </c>
      <c r="S16" s="77" t="str">
        <f>IF(C16="","",IF(C16="TC","",IF(AND(#REF!&gt;=25,#REF!&gt;=8,#REF!&gt;=33,#REF!&gt;=23),"",$S$5&amp;",")))</f>
        <v/>
      </c>
      <c r="T16" s="77" t="str">
        <f>IF(C16="","",IF(C16="TC","",IF(AND(#REF!&gt;=25,#REF!&gt;=8,#REF!&gt;=33,#REF!&gt;=23),"",$T$5&amp;",")))</f>
        <v/>
      </c>
      <c r="U16" s="77" t="str">
        <f t="shared" si="1"/>
        <v/>
      </c>
      <c r="V16" s="77" t="e">
        <f>IF(#REF!="",O16,IF(V16&gt;=26,"",O16))</f>
        <v>#REF!</v>
      </c>
      <c r="W16" s="77" t="e">
        <f>IF(#REF!="",P16,IF(#REF!&gt;=26,"",P16))</f>
        <v>#REF!</v>
      </c>
      <c r="X16" s="77" t="e">
        <f>IF(#REF!="",Q16,IF(#REF!&gt;=12,"",Q16))</f>
        <v>#REF!</v>
      </c>
      <c r="Y16" s="77" t="e">
        <f>IF(#REF!="",R16,IF(#REF!&gt;=12,"",R16))</f>
        <v>#REF!</v>
      </c>
      <c r="Z16" s="77" t="e">
        <f>IF(#REF!="",S16,IF(#REF!&gt;=12,"",S16))</f>
        <v>#REF!</v>
      </c>
      <c r="AA16" s="77" t="e">
        <f>IF(#REF!="",T16,IF(#REF!&gt;=12,"",T16))</f>
        <v>#REF!</v>
      </c>
      <c r="AB16" s="77" t="str">
        <f t="shared" si="2"/>
        <v/>
      </c>
      <c r="AC16" s="77" t="str">
        <f t="shared" si="3"/>
        <v/>
      </c>
      <c r="AD16" s="77" t="str">
        <f t="shared" si="4"/>
        <v/>
      </c>
      <c r="AE16" s="77" t="str">
        <f>'GREEN SHEET'!EV16</f>
        <v/>
      </c>
      <c r="AF16" s="80" t="str">
        <f>'GREEN SHEET'!FG16</f>
        <v/>
      </c>
      <c r="AG16" s="80" t="str">
        <f>'GREEN SHEET'!FH16</f>
        <v/>
      </c>
      <c r="AH16" s="80" t="str">
        <f>'GREEN SHEET'!FI16</f>
        <v/>
      </c>
      <c r="AI16" s="80" t="str">
        <f>'GREEN SHEET'!FJ16</f>
        <v/>
      </c>
      <c r="AJ16" s="529" t="str">
        <f t="shared" si="5"/>
        <v/>
      </c>
    </row>
    <row r="17" spans="1:36" ht="28.5" customHeight="1" x14ac:dyDescent="0.3">
      <c r="A17" s="6"/>
      <c r="B17" s="512" t="str">
        <f>IF(DATA!B15&lt;&gt;0,DATA!B15,"")</f>
        <v/>
      </c>
      <c r="C17" s="25" t="str">
        <f>IF(DATA!C15="","",DATA!C15)</f>
        <v/>
      </c>
      <c r="D17" s="25" t="str">
        <f>IF(DATA!D15="","",DATA!D15)</f>
        <v/>
      </c>
      <c r="E17" s="738" t="str">
        <f>IF(DATA!E15="","",DATA!E15)</f>
        <v/>
      </c>
      <c r="F17" s="738" t="str">
        <f>IF(DATA!F15="","",DATA!F15)</f>
        <v/>
      </c>
      <c r="G17" s="77" t="str">
        <f>IF(ATTENDANCE!Q18="","",ATTENDANCE!Q18&amp;"/"&amp;ATTENDANCE!$Q$7)</f>
        <v/>
      </c>
      <c r="H17" s="77" t="str">
        <f>'GREEN SHEET'!EH17</f>
        <v/>
      </c>
      <c r="I17" s="77" t="str">
        <f>'GREEN SHEET'!EI17</f>
        <v/>
      </c>
      <c r="J17" s="77" t="str">
        <f>'GREEN SHEET'!EJ17</f>
        <v/>
      </c>
      <c r="K17" s="77" t="str">
        <f>'GREEN SHEET'!EK17</f>
        <v/>
      </c>
      <c r="L17" s="77" t="str">
        <f>IFERROR(ROUNDUP((#REF!/#REF!)*100,2)&amp;"%","")</f>
        <v/>
      </c>
      <c r="M17" s="77" t="str">
        <f>IF(C17="TC","",IF(K17="","",IF(OR(K17="COMPARTMENT",K17="FAIL"),"",(#REF!*100/#REF!))))</f>
        <v/>
      </c>
      <c r="N17" s="77" t="str">
        <f>'GREEN SHEET'!EN17</f>
        <v/>
      </c>
      <c r="O17" s="77" t="str">
        <f>IF(C17="","",IF(C17="TC","",IF(AND(#REF!&gt;=6,#REF!&gt;=26,#REF!&gt;=33),"",$O$5&amp;",")))</f>
        <v/>
      </c>
      <c r="P17" s="77" t="str">
        <f>IF(C17="","",IF(C17="TC","",IF(AND(#REF!&gt;=6.6,#REF!&gt;=16.5,#REF!&gt;=33),"",$P$5&amp;",")))</f>
        <v/>
      </c>
      <c r="Q17" s="77" t="str">
        <f>IF(C17="","",IF(C17="TC","",IF(AND(#REF!&gt;=25,#REF!&gt;=8,#REF!&gt;=33,#REF!&gt;=23),"",$Q$5&amp;",")))</f>
        <v/>
      </c>
      <c r="R17" s="77" t="str">
        <f>IF(C17="","",IF(C17="TC","",IF(AND(#REF!&gt;=25,#REF!&gt;=8,#REF!&gt;=33,#REF!&gt;=23),"",$R$5&amp;",")))</f>
        <v/>
      </c>
      <c r="S17" s="77" t="str">
        <f>IF(C17="","",IF(C17="TC","",IF(AND(#REF!&gt;=25,#REF!&gt;=8,#REF!&gt;=33,#REF!&gt;=23),"",$S$5&amp;",")))</f>
        <v/>
      </c>
      <c r="T17" s="77" t="str">
        <f>IF(C17="","",IF(C17="TC","",IF(AND(#REF!&gt;=25,#REF!&gt;=8,#REF!&gt;=33,#REF!&gt;=23),"",$T$5&amp;",")))</f>
        <v/>
      </c>
      <c r="U17" s="77" t="str">
        <f t="shared" si="1"/>
        <v/>
      </c>
      <c r="V17" s="77" t="e">
        <f>IF(#REF!="",O17,IF(V17&gt;=26,"",O17))</f>
        <v>#REF!</v>
      </c>
      <c r="W17" s="77" t="e">
        <f>IF(#REF!="",P17,IF(#REF!&gt;=26,"",P17))</f>
        <v>#REF!</v>
      </c>
      <c r="X17" s="77" t="e">
        <f>IF(#REF!="",Q17,IF(#REF!&gt;=12,"",Q17))</f>
        <v>#REF!</v>
      </c>
      <c r="Y17" s="77" t="e">
        <f>IF(#REF!="",R17,IF(#REF!&gt;=12,"",R17))</f>
        <v>#REF!</v>
      </c>
      <c r="Z17" s="77" t="e">
        <f>IF(#REF!="",S17,IF(#REF!&gt;=12,"",S17))</f>
        <v>#REF!</v>
      </c>
      <c r="AA17" s="77" t="e">
        <f>IF(#REF!="",T17,IF(#REF!&gt;=12,"",T17))</f>
        <v>#REF!</v>
      </c>
      <c r="AB17" s="77" t="str">
        <f t="shared" si="2"/>
        <v/>
      </c>
      <c r="AC17" s="77" t="str">
        <f t="shared" si="3"/>
        <v/>
      </c>
      <c r="AD17" s="77" t="str">
        <f t="shared" si="4"/>
        <v/>
      </c>
      <c r="AE17" s="77" t="str">
        <f>'GREEN SHEET'!EV17</f>
        <v/>
      </c>
      <c r="AF17" s="80" t="str">
        <f>'GREEN SHEET'!FG17</f>
        <v/>
      </c>
      <c r="AG17" s="80" t="str">
        <f>'GREEN SHEET'!FH17</f>
        <v/>
      </c>
      <c r="AH17" s="80" t="str">
        <f>'GREEN SHEET'!FI17</f>
        <v/>
      </c>
      <c r="AI17" s="80" t="str">
        <f>'GREEN SHEET'!FJ17</f>
        <v/>
      </c>
      <c r="AJ17" s="529" t="str">
        <f t="shared" si="5"/>
        <v/>
      </c>
    </row>
    <row r="18" spans="1:36" ht="28.5" customHeight="1" x14ac:dyDescent="0.3">
      <c r="A18" s="6"/>
      <c r="B18" s="512" t="str">
        <f>IF(DATA!B16&lt;&gt;0,DATA!B16,"")</f>
        <v/>
      </c>
      <c r="C18" s="25" t="str">
        <f>IF(DATA!C16="","",DATA!C16)</f>
        <v/>
      </c>
      <c r="D18" s="25" t="str">
        <f>IF(DATA!D16="","",DATA!D16)</f>
        <v/>
      </c>
      <c r="E18" s="738" t="str">
        <f>IF(DATA!E16="","",DATA!E16)</f>
        <v/>
      </c>
      <c r="F18" s="738" t="str">
        <f>IF(DATA!F16="","",DATA!F16)</f>
        <v/>
      </c>
      <c r="G18" s="77" t="str">
        <f>IF(ATTENDANCE!Q19="","",ATTENDANCE!Q19&amp;"/"&amp;ATTENDANCE!$Q$7)</f>
        <v/>
      </c>
      <c r="H18" s="77" t="str">
        <f>'GREEN SHEET'!EH18</f>
        <v/>
      </c>
      <c r="I18" s="77" t="str">
        <f>'GREEN SHEET'!EI18</f>
        <v/>
      </c>
      <c r="J18" s="77" t="str">
        <f>'GREEN SHEET'!EJ18</f>
        <v/>
      </c>
      <c r="K18" s="77" t="str">
        <f>'GREEN SHEET'!EK18</f>
        <v/>
      </c>
      <c r="L18" s="77" t="str">
        <f>IFERROR(ROUNDUP((#REF!/#REF!)*100,2)&amp;"%","")</f>
        <v/>
      </c>
      <c r="M18" s="77" t="str">
        <f>IF(C18="TC","",IF(K18="","",IF(OR(K18="COMPARTMENT",K18="FAIL"),"",(#REF!*100/#REF!))))</f>
        <v/>
      </c>
      <c r="N18" s="77" t="str">
        <f>'GREEN SHEET'!EN18</f>
        <v/>
      </c>
      <c r="O18" s="77" t="str">
        <f>IF(C18="","",IF(C18="TC","",IF(AND(#REF!&gt;=6,#REF!&gt;=26,#REF!&gt;=33),"",$O$5&amp;",")))</f>
        <v/>
      </c>
      <c r="P18" s="77" t="str">
        <f>IF(C18="","",IF(C18="TC","",IF(AND(#REF!&gt;=6.6,#REF!&gt;=16.5,#REF!&gt;=33),"",$P$5&amp;",")))</f>
        <v/>
      </c>
      <c r="Q18" s="77" t="str">
        <f>IF(C18="","",IF(C18="TC","",IF(AND(#REF!&gt;=25,#REF!&gt;=8,#REF!&gt;=33,#REF!&gt;=23),"",$Q$5&amp;",")))</f>
        <v/>
      </c>
      <c r="R18" s="77" t="str">
        <f>IF(C18="","",IF(C18="TC","",IF(AND(#REF!&gt;=25,#REF!&gt;=8,#REF!&gt;=33,#REF!&gt;=23),"",$R$5&amp;",")))</f>
        <v/>
      </c>
      <c r="S18" s="77" t="str">
        <f>IF(C18="","",IF(C18="TC","",IF(AND(#REF!&gt;=25,#REF!&gt;=8,#REF!&gt;=33,#REF!&gt;=23),"",$S$5&amp;",")))</f>
        <v/>
      </c>
      <c r="T18" s="77" t="str">
        <f>IF(C18="","",IF(C18="TC","",IF(AND(#REF!&gt;=25,#REF!&gt;=8,#REF!&gt;=33,#REF!&gt;=23),"",$T$5&amp;",")))</f>
        <v/>
      </c>
      <c r="U18" s="77" t="str">
        <f t="shared" si="1"/>
        <v/>
      </c>
      <c r="V18" s="77" t="e">
        <f>IF(#REF!="",O18,IF(V18&gt;=26,"",O18))</f>
        <v>#REF!</v>
      </c>
      <c r="W18" s="77" t="e">
        <f>IF(#REF!="",P18,IF(#REF!&gt;=26,"",P18))</f>
        <v>#REF!</v>
      </c>
      <c r="X18" s="77" t="e">
        <f>IF(#REF!="",Q18,IF(#REF!&gt;=12,"",Q18))</f>
        <v>#REF!</v>
      </c>
      <c r="Y18" s="77" t="e">
        <f>IF(#REF!="",R18,IF(#REF!&gt;=12,"",R18))</f>
        <v>#REF!</v>
      </c>
      <c r="Z18" s="77" t="e">
        <f>IF(#REF!="",S18,IF(#REF!&gt;=12,"",S18))</f>
        <v>#REF!</v>
      </c>
      <c r="AA18" s="77" t="e">
        <f>IF(#REF!="",T18,IF(#REF!&gt;=12,"",T18))</f>
        <v>#REF!</v>
      </c>
      <c r="AB18" s="77" t="str">
        <f t="shared" si="2"/>
        <v/>
      </c>
      <c r="AC18" s="77" t="str">
        <f t="shared" si="3"/>
        <v/>
      </c>
      <c r="AD18" s="77" t="str">
        <f t="shared" si="4"/>
        <v/>
      </c>
      <c r="AE18" s="77" t="str">
        <f>'GREEN SHEET'!EV18</f>
        <v/>
      </c>
      <c r="AF18" s="80" t="str">
        <f>'GREEN SHEET'!FG18</f>
        <v/>
      </c>
      <c r="AG18" s="80" t="str">
        <f>'GREEN SHEET'!FH18</f>
        <v/>
      </c>
      <c r="AH18" s="80" t="str">
        <f>'GREEN SHEET'!FI18</f>
        <v/>
      </c>
      <c r="AI18" s="80" t="str">
        <f>'GREEN SHEET'!FJ18</f>
        <v/>
      </c>
      <c r="AJ18" s="529" t="str">
        <f t="shared" si="5"/>
        <v/>
      </c>
    </row>
    <row r="19" spans="1:36" ht="28.5" customHeight="1" x14ac:dyDescent="0.3">
      <c r="A19" s="6"/>
      <c r="B19" s="512" t="str">
        <f>IF(DATA!B17&lt;&gt;0,DATA!B17,"")</f>
        <v/>
      </c>
      <c r="C19" s="25" t="str">
        <f>IF(DATA!C17="","",DATA!C17)</f>
        <v/>
      </c>
      <c r="D19" s="25" t="str">
        <f>IF(DATA!D17="","",DATA!D17)</f>
        <v/>
      </c>
      <c r="E19" s="738" t="str">
        <f>IF(DATA!E17="","",DATA!E17)</f>
        <v/>
      </c>
      <c r="F19" s="738" t="str">
        <f>IF(DATA!F17="","",DATA!F17)</f>
        <v/>
      </c>
      <c r="G19" s="77" t="str">
        <f>IF(ATTENDANCE!Q20="","",ATTENDANCE!Q20&amp;"/"&amp;ATTENDANCE!$Q$7)</f>
        <v/>
      </c>
      <c r="H19" s="77" t="str">
        <f>'GREEN SHEET'!EH19</f>
        <v/>
      </c>
      <c r="I19" s="77" t="str">
        <f>'GREEN SHEET'!EI19</f>
        <v/>
      </c>
      <c r="J19" s="77" t="str">
        <f>'GREEN SHEET'!EJ19</f>
        <v/>
      </c>
      <c r="K19" s="77" t="str">
        <f>'GREEN SHEET'!EK19</f>
        <v/>
      </c>
      <c r="L19" s="77" t="str">
        <f>IFERROR(ROUNDUP((#REF!/#REF!)*100,2)&amp;"%","")</f>
        <v/>
      </c>
      <c r="M19" s="77" t="str">
        <f>IF(C19="TC","",IF(K19="","",IF(OR(K19="COMPARTMENT",K19="FAIL"),"",(#REF!*100/#REF!))))</f>
        <v/>
      </c>
      <c r="N19" s="77" t="str">
        <f>'GREEN SHEET'!EN19</f>
        <v/>
      </c>
      <c r="O19" s="77" t="str">
        <f>IF(C19="","",IF(C19="TC","",IF(AND(#REF!&gt;=6,#REF!&gt;=26,#REF!&gt;=33),"",$O$5&amp;",")))</f>
        <v/>
      </c>
      <c r="P19" s="77" t="str">
        <f>IF(C19="","",IF(C19="TC","",IF(AND(#REF!&gt;=6.6,#REF!&gt;=16.5,#REF!&gt;=33),"",$P$5&amp;",")))</f>
        <v/>
      </c>
      <c r="Q19" s="77" t="str">
        <f>IF(C19="","",IF(C19="TC","",IF(AND(#REF!&gt;=25,#REF!&gt;=8,#REF!&gt;=33,#REF!&gt;=23),"",$Q$5&amp;",")))</f>
        <v/>
      </c>
      <c r="R19" s="77" t="str">
        <f>IF(C19="","",IF(C19="TC","",IF(AND(#REF!&gt;=25,#REF!&gt;=8,#REF!&gt;=33,#REF!&gt;=23),"",$R$5&amp;",")))</f>
        <v/>
      </c>
      <c r="S19" s="77" t="str">
        <f>IF(C19="","",IF(C19="TC","",IF(AND(#REF!&gt;=25,#REF!&gt;=8,#REF!&gt;=33,#REF!&gt;=23),"",$S$5&amp;",")))</f>
        <v/>
      </c>
      <c r="T19" s="77" t="str">
        <f>IF(C19="","",IF(C19="TC","",IF(AND(#REF!&gt;=25,#REF!&gt;=8,#REF!&gt;=33,#REF!&gt;=23),"",$T$5&amp;",")))</f>
        <v/>
      </c>
      <c r="U19" s="77" t="str">
        <f t="shared" si="1"/>
        <v/>
      </c>
      <c r="V19" s="77" t="e">
        <f>IF(#REF!="",O19,IF(V19&gt;=26,"",O19))</f>
        <v>#REF!</v>
      </c>
      <c r="W19" s="77" t="e">
        <f>IF(#REF!="",P19,IF(#REF!&gt;=26,"",P19))</f>
        <v>#REF!</v>
      </c>
      <c r="X19" s="77" t="e">
        <f>IF(#REF!="",Q19,IF(#REF!&gt;=12,"",Q19))</f>
        <v>#REF!</v>
      </c>
      <c r="Y19" s="77" t="e">
        <f>IF(#REF!="",R19,IF(#REF!&gt;=12,"",R19))</f>
        <v>#REF!</v>
      </c>
      <c r="Z19" s="77" t="e">
        <f>IF(#REF!="",S19,IF(#REF!&gt;=12,"",S19))</f>
        <v>#REF!</v>
      </c>
      <c r="AA19" s="77" t="e">
        <f>IF(#REF!="",T19,IF(#REF!&gt;=12,"",T19))</f>
        <v>#REF!</v>
      </c>
      <c r="AB19" s="77" t="str">
        <f t="shared" si="2"/>
        <v/>
      </c>
      <c r="AC19" s="77" t="str">
        <f t="shared" si="3"/>
        <v/>
      </c>
      <c r="AD19" s="77" t="str">
        <f t="shared" si="4"/>
        <v/>
      </c>
      <c r="AE19" s="77" t="str">
        <f>'GREEN SHEET'!EV19</f>
        <v/>
      </c>
      <c r="AF19" s="80" t="str">
        <f>'GREEN SHEET'!FG19</f>
        <v/>
      </c>
      <c r="AG19" s="80" t="str">
        <f>'GREEN SHEET'!FH19</f>
        <v/>
      </c>
      <c r="AH19" s="80" t="str">
        <f>'GREEN SHEET'!FI19</f>
        <v/>
      </c>
      <c r="AI19" s="80" t="str">
        <f>'GREEN SHEET'!FJ19</f>
        <v/>
      </c>
      <c r="AJ19" s="529" t="str">
        <f t="shared" si="5"/>
        <v/>
      </c>
    </row>
    <row r="20" spans="1:36" ht="28.5" customHeight="1" x14ac:dyDescent="0.3">
      <c r="A20" s="6"/>
      <c r="B20" s="512" t="str">
        <f>IF(DATA!B18&lt;&gt;0,DATA!B18,"")</f>
        <v/>
      </c>
      <c r="C20" s="25" t="str">
        <f>IF(DATA!C18="","",DATA!C18)</f>
        <v/>
      </c>
      <c r="D20" s="25" t="str">
        <f>IF(DATA!D18="","",DATA!D18)</f>
        <v/>
      </c>
      <c r="E20" s="738" t="str">
        <f>IF(DATA!E18="","",DATA!E18)</f>
        <v/>
      </c>
      <c r="F20" s="738" t="str">
        <f>IF(DATA!F18="","",DATA!F18)</f>
        <v/>
      </c>
      <c r="G20" s="77" t="str">
        <f>IF(ATTENDANCE!Q21="","",ATTENDANCE!Q21&amp;"/"&amp;ATTENDANCE!$Q$7)</f>
        <v/>
      </c>
      <c r="H20" s="77" t="str">
        <f>'GREEN SHEET'!EH20</f>
        <v/>
      </c>
      <c r="I20" s="77" t="str">
        <f>'GREEN SHEET'!EI20</f>
        <v/>
      </c>
      <c r="J20" s="77" t="str">
        <f>'GREEN SHEET'!EJ20</f>
        <v/>
      </c>
      <c r="K20" s="77" t="str">
        <f>'GREEN SHEET'!EK20</f>
        <v/>
      </c>
      <c r="L20" s="77" t="str">
        <f>IFERROR(ROUNDUP((#REF!/#REF!)*100,2)&amp;"%","")</f>
        <v/>
      </c>
      <c r="M20" s="77" t="str">
        <f>IF(C20="TC","",IF(K20="","",IF(OR(K20="COMPARTMENT",K20="FAIL"),"",(#REF!*100/#REF!))))</f>
        <v/>
      </c>
      <c r="N20" s="77" t="str">
        <f>'GREEN SHEET'!EN20</f>
        <v/>
      </c>
      <c r="O20" s="77" t="str">
        <f>IF(C20="","",IF(C20="TC","",IF(AND(#REF!&gt;=6,#REF!&gt;=26,#REF!&gt;=33),"",$O$5&amp;",")))</f>
        <v/>
      </c>
      <c r="P20" s="77" t="str">
        <f>IF(C20="","",IF(C20="TC","",IF(AND(#REF!&gt;=6.6,#REF!&gt;=16.5,#REF!&gt;=33),"",$P$5&amp;",")))</f>
        <v/>
      </c>
      <c r="Q20" s="77" t="str">
        <f>IF(C20="","",IF(C20="TC","",IF(AND(#REF!&gt;=25,#REF!&gt;=8,#REF!&gt;=33,#REF!&gt;=23),"",$Q$5&amp;",")))</f>
        <v/>
      </c>
      <c r="R20" s="77" t="str">
        <f>IF(C20="","",IF(C20="TC","",IF(AND(#REF!&gt;=25,#REF!&gt;=8,#REF!&gt;=33,#REF!&gt;=23),"",$R$5&amp;",")))</f>
        <v/>
      </c>
      <c r="S20" s="77" t="str">
        <f>IF(C20="","",IF(C20="TC","",IF(AND(#REF!&gt;=25,#REF!&gt;=8,#REF!&gt;=33,#REF!&gt;=23),"",$S$5&amp;",")))</f>
        <v/>
      </c>
      <c r="T20" s="77" t="str">
        <f>IF(C20="","",IF(C20="TC","",IF(AND(#REF!&gt;=25,#REF!&gt;=8,#REF!&gt;=33,#REF!&gt;=23),"",$T$5&amp;",")))</f>
        <v/>
      </c>
      <c r="U20" s="77" t="str">
        <f t="shared" si="1"/>
        <v/>
      </c>
      <c r="V20" s="77" t="e">
        <f>IF(#REF!="",O20,IF(V20&gt;=26,"",O20))</f>
        <v>#REF!</v>
      </c>
      <c r="W20" s="77" t="e">
        <f>IF(#REF!="",P20,IF(#REF!&gt;=26,"",P20))</f>
        <v>#REF!</v>
      </c>
      <c r="X20" s="77" t="e">
        <f>IF(#REF!="",Q20,IF(#REF!&gt;=12,"",Q20))</f>
        <v>#REF!</v>
      </c>
      <c r="Y20" s="77" t="e">
        <f>IF(#REF!="",R20,IF(#REF!&gt;=12,"",R20))</f>
        <v>#REF!</v>
      </c>
      <c r="Z20" s="77" t="e">
        <f>IF(#REF!="",S20,IF(#REF!&gt;=12,"",S20))</f>
        <v>#REF!</v>
      </c>
      <c r="AA20" s="77" t="e">
        <f>IF(#REF!="",T20,IF(#REF!&gt;=12,"",T20))</f>
        <v>#REF!</v>
      </c>
      <c r="AB20" s="77" t="str">
        <f t="shared" si="2"/>
        <v/>
      </c>
      <c r="AC20" s="77" t="str">
        <f t="shared" si="3"/>
        <v/>
      </c>
      <c r="AD20" s="77" t="str">
        <f t="shared" si="4"/>
        <v/>
      </c>
      <c r="AE20" s="77" t="str">
        <f>'GREEN SHEET'!EV20</f>
        <v/>
      </c>
      <c r="AF20" s="80" t="str">
        <f>'GREEN SHEET'!FG20</f>
        <v/>
      </c>
      <c r="AG20" s="80" t="str">
        <f>'GREEN SHEET'!FH20</f>
        <v/>
      </c>
      <c r="AH20" s="80" t="str">
        <f>'GREEN SHEET'!FI20</f>
        <v/>
      </c>
      <c r="AI20" s="80" t="str">
        <f>'GREEN SHEET'!FJ20</f>
        <v/>
      </c>
      <c r="AJ20" s="529" t="str">
        <f t="shared" si="5"/>
        <v/>
      </c>
    </row>
    <row r="21" spans="1:36" ht="28.5" customHeight="1" x14ac:dyDescent="0.3">
      <c r="A21" s="6"/>
      <c r="B21" s="512" t="str">
        <f>IF(DATA!B19&lt;&gt;0,DATA!B19,"")</f>
        <v/>
      </c>
      <c r="C21" s="25" t="str">
        <f>IF(DATA!C19="","",DATA!C19)</f>
        <v/>
      </c>
      <c r="D21" s="25" t="str">
        <f>IF(DATA!D19="","",DATA!D19)</f>
        <v/>
      </c>
      <c r="E21" s="738" t="str">
        <f>IF(DATA!E19="","",DATA!E19)</f>
        <v/>
      </c>
      <c r="F21" s="738" t="str">
        <f>IF(DATA!F19="","",DATA!F19)</f>
        <v/>
      </c>
      <c r="G21" s="77" t="str">
        <f>IF(ATTENDANCE!Q22="","",ATTENDANCE!Q22&amp;"/"&amp;ATTENDANCE!$Q$7)</f>
        <v/>
      </c>
      <c r="H21" s="77" t="str">
        <f>'GREEN SHEET'!EH21</f>
        <v/>
      </c>
      <c r="I21" s="77" t="str">
        <f>'GREEN SHEET'!EI21</f>
        <v/>
      </c>
      <c r="J21" s="77" t="str">
        <f>'GREEN SHEET'!EJ21</f>
        <v/>
      </c>
      <c r="K21" s="77" t="str">
        <f>'GREEN SHEET'!EK21</f>
        <v/>
      </c>
      <c r="L21" s="77" t="str">
        <f>IFERROR(ROUNDUP((#REF!/#REF!)*100,2)&amp;"%","")</f>
        <v/>
      </c>
      <c r="M21" s="77" t="str">
        <f>IF(C21="TC","",IF(K21="","",IF(OR(K21="COMPARTMENT",K21="FAIL"),"",(#REF!*100/#REF!))))</f>
        <v/>
      </c>
      <c r="N21" s="77" t="str">
        <f>'GREEN SHEET'!EN21</f>
        <v/>
      </c>
      <c r="O21" s="77" t="str">
        <f>IF(C21="","",IF(C21="TC","",IF(AND(#REF!&gt;=6,#REF!&gt;=26,#REF!&gt;=33),"",$O$5&amp;",")))</f>
        <v/>
      </c>
      <c r="P21" s="77" t="str">
        <f>IF(C21="","",IF(C21="TC","",IF(AND(#REF!&gt;=6.6,#REF!&gt;=16.5,#REF!&gt;=33),"",$P$5&amp;",")))</f>
        <v/>
      </c>
      <c r="Q21" s="77" t="str">
        <f>IF(C21="","",IF(C21="TC","",IF(AND(#REF!&gt;=25,#REF!&gt;=8,#REF!&gt;=33,#REF!&gt;=23),"",$Q$5&amp;",")))</f>
        <v/>
      </c>
      <c r="R21" s="77" t="str">
        <f>IF(C21="","",IF(C21="TC","",IF(AND(#REF!&gt;=25,#REF!&gt;=8,#REF!&gt;=33,#REF!&gt;=23),"",$R$5&amp;",")))</f>
        <v/>
      </c>
      <c r="S21" s="77" t="str">
        <f>IF(C21="","",IF(C21="TC","",IF(AND(#REF!&gt;=25,#REF!&gt;=8,#REF!&gt;=33,#REF!&gt;=23),"",$S$5&amp;",")))</f>
        <v/>
      </c>
      <c r="T21" s="77" t="str">
        <f>IF(C21="","",IF(C21="TC","",IF(AND(#REF!&gt;=25,#REF!&gt;=8,#REF!&gt;=33,#REF!&gt;=23),"",$T$5&amp;",")))</f>
        <v/>
      </c>
      <c r="U21" s="77" t="str">
        <f t="shared" si="1"/>
        <v/>
      </c>
      <c r="V21" s="77" t="e">
        <f>IF(#REF!="",O21,IF(V21&gt;=26,"",O21))</f>
        <v>#REF!</v>
      </c>
      <c r="W21" s="77" t="e">
        <f>IF(#REF!="",P21,IF(#REF!&gt;=26,"",P21))</f>
        <v>#REF!</v>
      </c>
      <c r="X21" s="77" t="e">
        <f>IF(#REF!="",Q21,IF(#REF!&gt;=12,"",Q21))</f>
        <v>#REF!</v>
      </c>
      <c r="Y21" s="77" t="e">
        <f>IF(#REF!="",R21,IF(#REF!&gt;=12,"",R21))</f>
        <v>#REF!</v>
      </c>
      <c r="Z21" s="77" t="e">
        <f>IF(#REF!="",S21,IF(#REF!&gt;=12,"",S21))</f>
        <v>#REF!</v>
      </c>
      <c r="AA21" s="77" t="e">
        <f>IF(#REF!="",T21,IF(#REF!&gt;=12,"",T21))</f>
        <v>#REF!</v>
      </c>
      <c r="AB21" s="77" t="str">
        <f t="shared" si="2"/>
        <v/>
      </c>
      <c r="AC21" s="77" t="str">
        <f t="shared" si="3"/>
        <v/>
      </c>
      <c r="AD21" s="77" t="str">
        <f t="shared" si="4"/>
        <v/>
      </c>
      <c r="AE21" s="77" t="str">
        <f>'GREEN SHEET'!EV21</f>
        <v/>
      </c>
      <c r="AF21" s="80" t="str">
        <f>'GREEN SHEET'!FG21</f>
        <v/>
      </c>
      <c r="AG21" s="80" t="str">
        <f>'GREEN SHEET'!FH21</f>
        <v/>
      </c>
      <c r="AH21" s="80" t="str">
        <f>'GREEN SHEET'!FI21</f>
        <v/>
      </c>
      <c r="AI21" s="80" t="str">
        <f>'GREEN SHEET'!FJ21</f>
        <v/>
      </c>
      <c r="AJ21" s="529" t="str">
        <f t="shared" si="5"/>
        <v/>
      </c>
    </row>
    <row r="22" spans="1:36" ht="28.5" customHeight="1" x14ac:dyDescent="0.3">
      <c r="A22" s="6"/>
      <c r="B22" s="512" t="str">
        <f>IF(DATA!B20&lt;&gt;0,DATA!B20,"")</f>
        <v/>
      </c>
      <c r="C22" s="25" t="str">
        <f>IF(DATA!C20="","",DATA!C20)</f>
        <v/>
      </c>
      <c r="D22" s="25" t="str">
        <f>IF(DATA!D20="","",DATA!D20)</f>
        <v/>
      </c>
      <c r="E22" s="738" t="str">
        <f>IF(DATA!E20="","",DATA!E20)</f>
        <v/>
      </c>
      <c r="F22" s="738" t="str">
        <f>IF(DATA!F20="","",DATA!F20)</f>
        <v/>
      </c>
      <c r="G22" s="77" t="str">
        <f>IF(ATTENDANCE!Q23="","",ATTENDANCE!Q23&amp;"/"&amp;ATTENDANCE!$Q$7)</f>
        <v/>
      </c>
      <c r="H22" s="77" t="str">
        <f>'GREEN SHEET'!EH22</f>
        <v/>
      </c>
      <c r="I22" s="77" t="str">
        <f>'GREEN SHEET'!EI22</f>
        <v/>
      </c>
      <c r="J22" s="77" t="str">
        <f>'GREEN SHEET'!EJ22</f>
        <v/>
      </c>
      <c r="K22" s="77" t="str">
        <f>'GREEN SHEET'!EK22</f>
        <v/>
      </c>
      <c r="L22" s="77" t="str">
        <f>IFERROR(ROUNDUP((#REF!/#REF!)*100,2)&amp;"%","")</f>
        <v/>
      </c>
      <c r="M22" s="77" t="str">
        <f>IF(C22="TC","",IF(K22="","",IF(OR(K22="COMPARTMENT",K22="FAIL"),"",(#REF!*100/#REF!))))</f>
        <v/>
      </c>
      <c r="N22" s="77" t="str">
        <f>'GREEN SHEET'!EN22</f>
        <v/>
      </c>
      <c r="O22" s="77" t="str">
        <f>IF(C22="","",IF(C22="TC","",IF(AND(#REF!&gt;=6,#REF!&gt;=26,#REF!&gt;=33),"",$O$5&amp;",")))</f>
        <v/>
      </c>
      <c r="P22" s="77" t="str">
        <f>IF(C22="","",IF(C22="TC","",IF(AND(#REF!&gt;=6.6,#REF!&gt;=16.5,#REF!&gt;=33),"",$P$5&amp;",")))</f>
        <v/>
      </c>
      <c r="Q22" s="77" t="str">
        <f>IF(C22="","",IF(C22="TC","",IF(AND(#REF!&gt;=25,#REF!&gt;=8,#REF!&gt;=33,#REF!&gt;=23),"",$Q$5&amp;",")))</f>
        <v/>
      </c>
      <c r="R22" s="77" t="str">
        <f>IF(C22="","",IF(C22="TC","",IF(AND(#REF!&gt;=25,#REF!&gt;=8,#REF!&gt;=33,#REF!&gt;=23),"",$R$5&amp;",")))</f>
        <v/>
      </c>
      <c r="S22" s="77" t="str">
        <f>IF(C22="","",IF(C22="TC","",IF(AND(#REF!&gt;=25,#REF!&gt;=8,#REF!&gt;=33,#REF!&gt;=23),"",$S$5&amp;",")))</f>
        <v/>
      </c>
      <c r="T22" s="77" t="str">
        <f>IF(C22="","",IF(C22="TC","",IF(AND(#REF!&gt;=25,#REF!&gt;=8,#REF!&gt;=33,#REF!&gt;=23),"",$T$5&amp;",")))</f>
        <v/>
      </c>
      <c r="U22" s="77" t="str">
        <f t="shared" si="1"/>
        <v/>
      </c>
      <c r="V22" s="77" t="e">
        <f>IF(#REF!="",O22,IF(V22&gt;=26,"",O22))</f>
        <v>#REF!</v>
      </c>
      <c r="W22" s="77" t="e">
        <f>IF(#REF!="",P22,IF(#REF!&gt;=26,"",P22))</f>
        <v>#REF!</v>
      </c>
      <c r="X22" s="77" t="e">
        <f>IF(#REF!="",Q22,IF(#REF!&gt;=12,"",Q22))</f>
        <v>#REF!</v>
      </c>
      <c r="Y22" s="77" t="e">
        <f>IF(#REF!="",R22,IF(#REF!&gt;=12,"",R22))</f>
        <v>#REF!</v>
      </c>
      <c r="Z22" s="77" t="e">
        <f>IF(#REF!="",S22,IF(#REF!&gt;=12,"",S22))</f>
        <v>#REF!</v>
      </c>
      <c r="AA22" s="77" t="e">
        <f>IF(#REF!="",T22,IF(#REF!&gt;=12,"",T22))</f>
        <v>#REF!</v>
      </c>
      <c r="AB22" s="77" t="str">
        <f t="shared" si="2"/>
        <v/>
      </c>
      <c r="AC22" s="77" t="str">
        <f t="shared" si="3"/>
        <v/>
      </c>
      <c r="AD22" s="77" t="str">
        <f t="shared" si="4"/>
        <v/>
      </c>
      <c r="AE22" s="77" t="str">
        <f>'GREEN SHEET'!EV22</f>
        <v/>
      </c>
      <c r="AF22" s="80" t="str">
        <f>'GREEN SHEET'!FG22</f>
        <v/>
      </c>
      <c r="AG22" s="80" t="str">
        <f>'GREEN SHEET'!FH22</f>
        <v/>
      </c>
      <c r="AH22" s="80" t="str">
        <f>'GREEN SHEET'!FI22</f>
        <v/>
      </c>
      <c r="AI22" s="80" t="str">
        <f>'GREEN SHEET'!FJ22</f>
        <v/>
      </c>
      <c r="AJ22" s="529" t="str">
        <f t="shared" si="5"/>
        <v/>
      </c>
    </row>
    <row r="23" spans="1:36" ht="28.5" customHeight="1" x14ac:dyDescent="0.3">
      <c r="A23" s="6"/>
      <c r="B23" s="512" t="str">
        <f>IF(DATA!B21&lt;&gt;0,DATA!B21,"")</f>
        <v/>
      </c>
      <c r="C23" s="25" t="str">
        <f>IF(DATA!C21="","",DATA!C21)</f>
        <v/>
      </c>
      <c r="D23" s="25" t="str">
        <f>IF(DATA!D21="","",DATA!D21)</f>
        <v/>
      </c>
      <c r="E23" s="738" t="str">
        <f>IF(DATA!E21="","",DATA!E21)</f>
        <v/>
      </c>
      <c r="F23" s="738" t="str">
        <f>IF(DATA!F21="","",DATA!F21)</f>
        <v/>
      </c>
      <c r="G23" s="77" t="str">
        <f>IF(ATTENDANCE!Q24="","",ATTENDANCE!Q24&amp;"/"&amp;ATTENDANCE!$Q$7)</f>
        <v/>
      </c>
      <c r="H23" s="77" t="str">
        <f>'GREEN SHEET'!EH23</f>
        <v/>
      </c>
      <c r="I23" s="77" t="str">
        <f>'GREEN SHEET'!EI23</f>
        <v/>
      </c>
      <c r="J23" s="77" t="str">
        <f>'GREEN SHEET'!EJ23</f>
        <v/>
      </c>
      <c r="K23" s="77" t="str">
        <f>'GREEN SHEET'!EK23</f>
        <v/>
      </c>
      <c r="L23" s="77" t="str">
        <f>IFERROR(ROUNDUP((#REF!/#REF!)*100,2)&amp;"%","")</f>
        <v/>
      </c>
      <c r="M23" s="77" t="str">
        <f>IF(C23="TC","",IF(K23="","",IF(OR(K23="COMPARTMENT",K23="FAIL"),"",(#REF!*100/#REF!))))</f>
        <v/>
      </c>
      <c r="N23" s="77" t="str">
        <f>'GREEN SHEET'!EN23</f>
        <v/>
      </c>
      <c r="O23" s="77" t="str">
        <f>IF(C23="","",IF(C23="TC","",IF(AND(#REF!&gt;=6,#REF!&gt;=26,#REF!&gt;=33),"",$O$5&amp;",")))</f>
        <v/>
      </c>
      <c r="P23" s="77" t="str">
        <f>IF(C23="","",IF(C23="TC","",IF(AND(#REF!&gt;=6.6,#REF!&gt;=16.5,#REF!&gt;=33),"",$P$5&amp;",")))</f>
        <v/>
      </c>
      <c r="Q23" s="77" t="str">
        <f>IF(C23="","",IF(C23="TC","",IF(AND(#REF!&gt;=25,#REF!&gt;=8,#REF!&gt;=33,#REF!&gt;=23),"",$Q$5&amp;",")))</f>
        <v/>
      </c>
      <c r="R23" s="77" t="str">
        <f>IF(C23="","",IF(C23="TC","",IF(AND(#REF!&gt;=25,#REF!&gt;=8,#REF!&gt;=33,#REF!&gt;=23),"",$R$5&amp;",")))</f>
        <v/>
      </c>
      <c r="S23" s="77" t="str">
        <f>IF(C23="","",IF(C23="TC","",IF(AND(#REF!&gt;=25,#REF!&gt;=8,#REF!&gt;=33,#REF!&gt;=23),"",$S$5&amp;",")))</f>
        <v/>
      </c>
      <c r="T23" s="77" t="str">
        <f>IF(C23="","",IF(C23="TC","",IF(AND(#REF!&gt;=25,#REF!&gt;=8,#REF!&gt;=33,#REF!&gt;=23),"",$T$5&amp;",")))</f>
        <v/>
      </c>
      <c r="U23" s="77" t="str">
        <f t="shared" si="1"/>
        <v/>
      </c>
      <c r="V23" s="77" t="e">
        <f>IF(#REF!="",O23,IF(V23&gt;=26,"",O23))</f>
        <v>#REF!</v>
      </c>
      <c r="W23" s="77" t="e">
        <f>IF(#REF!="",P23,IF(#REF!&gt;=26,"",P23))</f>
        <v>#REF!</v>
      </c>
      <c r="X23" s="77" t="e">
        <f>IF(#REF!="",Q23,IF(#REF!&gt;=12,"",Q23))</f>
        <v>#REF!</v>
      </c>
      <c r="Y23" s="77" t="e">
        <f>IF(#REF!="",R23,IF(#REF!&gt;=12,"",R23))</f>
        <v>#REF!</v>
      </c>
      <c r="Z23" s="77" t="e">
        <f>IF(#REF!="",S23,IF(#REF!&gt;=12,"",S23))</f>
        <v>#REF!</v>
      </c>
      <c r="AA23" s="77" t="e">
        <f>IF(#REF!="",T23,IF(#REF!&gt;=12,"",T23))</f>
        <v>#REF!</v>
      </c>
      <c r="AB23" s="77" t="str">
        <f t="shared" si="2"/>
        <v/>
      </c>
      <c r="AC23" s="77" t="str">
        <f t="shared" si="3"/>
        <v/>
      </c>
      <c r="AD23" s="77" t="str">
        <f t="shared" si="4"/>
        <v/>
      </c>
      <c r="AE23" s="77" t="str">
        <f>'GREEN SHEET'!EV23</f>
        <v/>
      </c>
      <c r="AF23" s="80" t="str">
        <f>'GREEN SHEET'!FG23</f>
        <v/>
      </c>
      <c r="AG23" s="80" t="str">
        <f>'GREEN SHEET'!FH23</f>
        <v/>
      </c>
      <c r="AH23" s="80" t="str">
        <f>'GREEN SHEET'!FI23</f>
        <v/>
      </c>
      <c r="AI23" s="80" t="str">
        <f>'GREEN SHEET'!FJ23</f>
        <v/>
      </c>
      <c r="AJ23" s="529" t="str">
        <f t="shared" si="5"/>
        <v/>
      </c>
    </row>
    <row r="24" spans="1:36" ht="28.5" customHeight="1" x14ac:dyDescent="0.3">
      <c r="A24" s="6"/>
      <c r="B24" s="512" t="str">
        <f>IF(DATA!B22&lt;&gt;0,DATA!B22,"")</f>
        <v/>
      </c>
      <c r="C24" s="25" t="str">
        <f>IF(DATA!C22="","",DATA!C22)</f>
        <v/>
      </c>
      <c r="D24" s="25" t="str">
        <f>IF(DATA!D22="","",DATA!D22)</f>
        <v/>
      </c>
      <c r="E24" s="738" t="str">
        <f>IF(DATA!E22="","",DATA!E22)</f>
        <v/>
      </c>
      <c r="F24" s="738" t="str">
        <f>IF(DATA!F22="","",DATA!F22)</f>
        <v/>
      </c>
      <c r="G24" s="77" t="str">
        <f>IF(ATTENDANCE!Q25="","",ATTENDANCE!Q25&amp;"/"&amp;ATTENDANCE!$Q$7)</f>
        <v/>
      </c>
      <c r="H24" s="77" t="str">
        <f>'GREEN SHEET'!EH24</f>
        <v/>
      </c>
      <c r="I24" s="77" t="str">
        <f>'GREEN SHEET'!EI24</f>
        <v/>
      </c>
      <c r="J24" s="77" t="str">
        <f>'GREEN SHEET'!EJ24</f>
        <v/>
      </c>
      <c r="K24" s="77" t="str">
        <f>'GREEN SHEET'!EK24</f>
        <v/>
      </c>
      <c r="L24" s="77" t="str">
        <f>IFERROR(ROUNDUP((#REF!/#REF!)*100,2)&amp;"%","")</f>
        <v/>
      </c>
      <c r="M24" s="77" t="str">
        <f>IF(C24="TC","",IF(K24="","",IF(OR(K24="COMPARTMENT",K24="FAIL"),"",(#REF!*100/#REF!))))</f>
        <v/>
      </c>
      <c r="N24" s="77" t="str">
        <f>'GREEN SHEET'!EN24</f>
        <v/>
      </c>
      <c r="O24" s="77" t="str">
        <f>IF(C24="","",IF(C24="TC","",IF(AND(#REF!&gt;=6,#REF!&gt;=26,#REF!&gt;=33),"",$O$5&amp;",")))</f>
        <v/>
      </c>
      <c r="P24" s="77" t="str">
        <f>IF(C24="","",IF(C24="TC","",IF(AND(#REF!&gt;=6.6,#REF!&gt;=16.5,#REF!&gt;=33),"",$P$5&amp;",")))</f>
        <v/>
      </c>
      <c r="Q24" s="77" t="str">
        <f>IF(C24="","",IF(C24="TC","",IF(AND(#REF!&gt;=25,#REF!&gt;=8,#REF!&gt;=33,#REF!&gt;=23),"",$Q$5&amp;",")))</f>
        <v/>
      </c>
      <c r="R24" s="77" t="str">
        <f>IF(C24="","",IF(C24="TC","",IF(AND(#REF!&gt;=25,#REF!&gt;=8,#REF!&gt;=33,#REF!&gt;=23),"",$R$5&amp;",")))</f>
        <v/>
      </c>
      <c r="S24" s="77" t="str">
        <f>IF(C24="","",IF(C24="TC","",IF(AND(#REF!&gt;=25,#REF!&gt;=8,#REF!&gt;=33,#REF!&gt;=23),"",$S$5&amp;",")))</f>
        <v/>
      </c>
      <c r="T24" s="77" t="str">
        <f>IF(C24="","",IF(C24="TC","",IF(AND(#REF!&gt;=25,#REF!&gt;=8,#REF!&gt;=33,#REF!&gt;=23),"",$T$5&amp;",")))</f>
        <v/>
      </c>
      <c r="U24" s="77" t="str">
        <f t="shared" si="1"/>
        <v/>
      </c>
      <c r="V24" s="77" t="e">
        <f>IF(#REF!="",O24,IF(V24&gt;=26,"",O24))</f>
        <v>#REF!</v>
      </c>
      <c r="W24" s="77" t="e">
        <f>IF(#REF!="",P24,IF(#REF!&gt;=26,"",P24))</f>
        <v>#REF!</v>
      </c>
      <c r="X24" s="77" t="e">
        <f>IF(#REF!="",Q24,IF(#REF!&gt;=12,"",Q24))</f>
        <v>#REF!</v>
      </c>
      <c r="Y24" s="77" t="e">
        <f>IF(#REF!="",R24,IF(#REF!&gt;=12,"",R24))</f>
        <v>#REF!</v>
      </c>
      <c r="Z24" s="77" t="e">
        <f>IF(#REF!="",S24,IF(#REF!&gt;=12,"",S24))</f>
        <v>#REF!</v>
      </c>
      <c r="AA24" s="77" t="e">
        <f>IF(#REF!="",T24,IF(#REF!&gt;=12,"",T24))</f>
        <v>#REF!</v>
      </c>
      <c r="AB24" s="77" t="str">
        <f t="shared" si="2"/>
        <v/>
      </c>
      <c r="AC24" s="77" t="str">
        <f t="shared" si="3"/>
        <v/>
      </c>
      <c r="AD24" s="77" t="str">
        <f t="shared" si="4"/>
        <v/>
      </c>
      <c r="AE24" s="77" t="str">
        <f>'GREEN SHEET'!EV24</f>
        <v/>
      </c>
      <c r="AF24" s="80" t="str">
        <f>'GREEN SHEET'!FG24</f>
        <v/>
      </c>
      <c r="AG24" s="80" t="str">
        <f>'GREEN SHEET'!FH24</f>
        <v/>
      </c>
      <c r="AH24" s="80" t="str">
        <f>'GREEN SHEET'!FI24</f>
        <v/>
      </c>
      <c r="AI24" s="80" t="str">
        <f>'GREEN SHEET'!FJ24</f>
        <v/>
      </c>
      <c r="AJ24" s="529" t="str">
        <f t="shared" si="5"/>
        <v/>
      </c>
    </row>
    <row r="25" spans="1:36" ht="28.5" customHeight="1" x14ac:dyDescent="0.3">
      <c r="A25" s="6"/>
      <c r="B25" s="512" t="str">
        <f>IF(DATA!B23&lt;&gt;0,DATA!B23,"")</f>
        <v/>
      </c>
      <c r="C25" s="25" t="str">
        <f>IF(DATA!C23="","",DATA!C23)</f>
        <v/>
      </c>
      <c r="D25" s="25" t="str">
        <f>IF(DATA!D23="","",DATA!D23)</f>
        <v/>
      </c>
      <c r="E25" s="738" t="str">
        <f>IF(DATA!E23="","",DATA!E23)</f>
        <v/>
      </c>
      <c r="F25" s="738" t="str">
        <f>IF(DATA!F23="","",DATA!F23)</f>
        <v/>
      </c>
      <c r="G25" s="77" t="str">
        <f>IF(ATTENDANCE!Q26="","",ATTENDANCE!Q26&amp;"/"&amp;ATTENDANCE!$Q$7)</f>
        <v/>
      </c>
      <c r="H25" s="77" t="str">
        <f>'GREEN SHEET'!EH25</f>
        <v/>
      </c>
      <c r="I25" s="77" t="str">
        <f>'GREEN SHEET'!EI25</f>
        <v/>
      </c>
      <c r="J25" s="77" t="str">
        <f>'GREEN SHEET'!EJ25</f>
        <v/>
      </c>
      <c r="K25" s="77" t="str">
        <f>'GREEN SHEET'!EK25</f>
        <v/>
      </c>
      <c r="L25" s="77" t="str">
        <f>IFERROR(ROUNDUP((#REF!/#REF!)*100,2)&amp;"%","")</f>
        <v/>
      </c>
      <c r="M25" s="77" t="str">
        <f>IF(C25="TC","",IF(K25="","",IF(OR(K25="COMPARTMENT",K25="FAIL"),"",(#REF!*100/#REF!))))</f>
        <v/>
      </c>
      <c r="N25" s="77" t="str">
        <f>'GREEN SHEET'!EN25</f>
        <v/>
      </c>
      <c r="O25" s="77" t="str">
        <f>IF(C25="","",IF(C25="TC","",IF(AND(#REF!&gt;=6,#REF!&gt;=26,#REF!&gt;=33),"",$O$5&amp;",")))</f>
        <v/>
      </c>
      <c r="P25" s="77" t="str">
        <f>IF(C25="","",IF(C25="TC","",IF(AND(#REF!&gt;=6.6,#REF!&gt;=16.5,#REF!&gt;=33),"",$P$5&amp;",")))</f>
        <v/>
      </c>
      <c r="Q25" s="77" t="str">
        <f>IF(C25="","",IF(C25="TC","",IF(AND(#REF!&gt;=25,#REF!&gt;=8,#REF!&gt;=33,#REF!&gt;=23),"",$Q$5&amp;",")))</f>
        <v/>
      </c>
      <c r="R25" s="77" t="str">
        <f>IF(C25="","",IF(C25="TC","",IF(AND(#REF!&gt;=25,#REF!&gt;=8,#REF!&gt;=33,#REF!&gt;=23),"",$R$5&amp;",")))</f>
        <v/>
      </c>
      <c r="S25" s="77" t="str">
        <f>IF(C25="","",IF(C25="TC","",IF(AND(#REF!&gt;=25,#REF!&gt;=8,#REF!&gt;=33,#REF!&gt;=23),"",$S$5&amp;",")))</f>
        <v/>
      </c>
      <c r="T25" s="77" t="str">
        <f>IF(C25="","",IF(C25="TC","",IF(AND(#REF!&gt;=25,#REF!&gt;=8,#REF!&gt;=33,#REF!&gt;=23),"",$T$5&amp;",")))</f>
        <v/>
      </c>
      <c r="U25" s="77" t="str">
        <f t="shared" si="1"/>
        <v/>
      </c>
      <c r="V25" s="77" t="e">
        <f>IF(#REF!="",O25,IF(V25&gt;=26,"",O25))</f>
        <v>#REF!</v>
      </c>
      <c r="W25" s="77" t="e">
        <f>IF(#REF!="",P25,IF(#REF!&gt;=26,"",P25))</f>
        <v>#REF!</v>
      </c>
      <c r="X25" s="77" t="e">
        <f>IF(#REF!="",Q25,IF(#REF!&gt;=12,"",Q25))</f>
        <v>#REF!</v>
      </c>
      <c r="Y25" s="77" t="e">
        <f>IF(#REF!="",R25,IF(#REF!&gt;=12,"",R25))</f>
        <v>#REF!</v>
      </c>
      <c r="Z25" s="77" t="e">
        <f>IF(#REF!="",S25,IF(#REF!&gt;=12,"",S25))</f>
        <v>#REF!</v>
      </c>
      <c r="AA25" s="77" t="e">
        <f>IF(#REF!="",T25,IF(#REF!&gt;=12,"",T25))</f>
        <v>#REF!</v>
      </c>
      <c r="AB25" s="77" t="str">
        <f t="shared" si="2"/>
        <v/>
      </c>
      <c r="AC25" s="77" t="str">
        <f t="shared" si="3"/>
        <v/>
      </c>
      <c r="AD25" s="77" t="str">
        <f t="shared" si="4"/>
        <v/>
      </c>
      <c r="AE25" s="77" t="str">
        <f>'GREEN SHEET'!EV25</f>
        <v/>
      </c>
      <c r="AF25" s="80" t="str">
        <f>'GREEN SHEET'!FG25</f>
        <v/>
      </c>
      <c r="AG25" s="80" t="str">
        <f>'GREEN SHEET'!FH25</f>
        <v/>
      </c>
      <c r="AH25" s="80" t="str">
        <f>'GREEN SHEET'!FI25</f>
        <v/>
      </c>
      <c r="AI25" s="80" t="str">
        <f>'GREEN SHEET'!FJ25</f>
        <v/>
      </c>
      <c r="AJ25" s="529" t="str">
        <f t="shared" si="5"/>
        <v/>
      </c>
    </row>
    <row r="26" spans="1:36" ht="28.5" customHeight="1" x14ac:dyDescent="0.3">
      <c r="A26" s="6"/>
      <c r="B26" s="512" t="str">
        <f>IF(DATA!B24&lt;&gt;0,DATA!B24,"")</f>
        <v/>
      </c>
      <c r="C26" s="25" t="str">
        <f>IF(DATA!C24="","",DATA!C24)</f>
        <v/>
      </c>
      <c r="D26" s="25" t="str">
        <f>IF(DATA!D24="","",DATA!D24)</f>
        <v/>
      </c>
      <c r="E26" s="738" t="str">
        <f>IF(DATA!E24="","",DATA!E24)</f>
        <v/>
      </c>
      <c r="F26" s="738" t="str">
        <f>IF(DATA!F24="","",DATA!F24)</f>
        <v/>
      </c>
      <c r="G26" s="77" t="str">
        <f>IF(ATTENDANCE!Q27="","",ATTENDANCE!Q27&amp;"/"&amp;ATTENDANCE!$Q$7)</f>
        <v/>
      </c>
      <c r="H26" s="77" t="str">
        <f>'GREEN SHEET'!EH26</f>
        <v/>
      </c>
      <c r="I26" s="77" t="str">
        <f>'GREEN SHEET'!EI26</f>
        <v/>
      </c>
      <c r="J26" s="77" t="str">
        <f>'GREEN SHEET'!EJ26</f>
        <v/>
      </c>
      <c r="K26" s="77" t="str">
        <f>'GREEN SHEET'!EK26</f>
        <v/>
      </c>
      <c r="L26" s="77" t="str">
        <f>IFERROR(ROUNDUP((#REF!/#REF!)*100,2)&amp;"%","")</f>
        <v/>
      </c>
      <c r="M26" s="77" t="str">
        <f>IF(C26="TC","",IF(K26="","",IF(OR(K26="COMPARTMENT",K26="FAIL"),"",(#REF!*100/#REF!))))</f>
        <v/>
      </c>
      <c r="N26" s="77" t="str">
        <f>'GREEN SHEET'!EN26</f>
        <v/>
      </c>
      <c r="O26" s="77" t="str">
        <f>IF(C26="","",IF(C26="TC","",IF(AND(#REF!&gt;=6,#REF!&gt;=26,#REF!&gt;=33),"",$O$5&amp;",")))</f>
        <v/>
      </c>
      <c r="P26" s="77" t="str">
        <f>IF(C26="","",IF(C26="TC","",IF(AND(#REF!&gt;=6.6,#REF!&gt;=16.5,#REF!&gt;=33),"",$P$5&amp;",")))</f>
        <v/>
      </c>
      <c r="Q26" s="77" t="str">
        <f>IF(C26="","",IF(C26="TC","",IF(AND(#REF!&gt;=25,#REF!&gt;=8,#REF!&gt;=33,#REF!&gt;=23),"",$Q$5&amp;",")))</f>
        <v/>
      </c>
      <c r="R26" s="77" t="str">
        <f>IF(C26="","",IF(C26="TC","",IF(AND(#REF!&gt;=25,#REF!&gt;=8,#REF!&gt;=33,#REF!&gt;=23),"",$R$5&amp;",")))</f>
        <v/>
      </c>
      <c r="S26" s="77" t="str">
        <f>IF(C26="","",IF(C26="TC","",IF(AND(#REF!&gt;=25,#REF!&gt;=8,#REF!&gt;=33,#REF!&gt;=23),"",$S$5&amp;",")))</f>
        <v/>
      </c>
      <c r="T26" s="77" t="str">
        <f>IF(C26="","",IF(C26="TC","",IF(AND(#REF!&gt;=25,#REF!&gt;=8,#REF!&gt;=33,#REF!&gt;=23),"",$T$5&amp;",")))</f>
        <v/>
      </c>
      <c r="U26" s="77" t="str">
        <f t="shared" si="1"/>
        <v/>
      </c>
      <c r="V26" s="77" t="e">
        <f>IF(#REF!="",O26,IF(V26&gt;=26,"",O26))</f>
        <v>#REF!</v>
      </c>
      <c r="W26" s="77" t="e">
        <f>IF(#REF!="",P26,IF(#REF!&gt;=26,"",P26))</f>
        <v>#REF!</v>
      </c>
      <c r="X26" s="77" t="e">
        <f>IF(#REF!="",Q26,IF(#REF!&gt;=12,"",Q26))</f>
        <v>#REF!</v>
      </c>
      <c r="Y26" s="77" t="e">
        <f>IF(#REF!="",R26,IF(#REF!&gt;=12,"",R26))</f>
        <v>#REF!</v>
      </c>
      <c r="Z26" s="77" t="e">
        <f>IF(#REF!="",S26,IF(#REF!&gt;=12,"",S26))</f>
        <v>#REF!</v>
      </c>
      <c r="AA26" s="77" t="e">
        <f>IF(#REF!="",T26,IF(#REF!&gt;=12,"",T26))</f>
        <v>#REF!</v>
      </c>
      <c r="AB26" s="77" t="str">
        <f t="shared" si="2"/>
        <v/>
      </c>
      <c r="AC26" s="77" t="str">
        <f t="shared" si="3"/>
        <v/>
      </c>
      <c r="AD26" s="77" t="str">
        <f t="shared" si="4"/>
        <v/>
      </c>
      <c r="AE26" s="77" t="str">
        <f>'GREEN SHEET'!EV26</f>
        <v/>
      </c>
      <c r="AF26" s="80" t="str">
        <f>'GREEN SHEET'!FG26</f>
        <v/>
      </c>
      <c r="AG26" s="80" t="str">
        <f>'GREEN SHEET'!FH26</f>
        <v/>
      </c>
      <c r="AH26" s="80" t="str">
        <f>'GREEN SHEET'!FI26</f>
        <v/>
      </c>
      <c r="AI26" s="80" t="str">
        <f>'GREEN SHEET'!FJ26</f>
        <v/>
      </c>
      <c r="AJ26" s="529" t="str">
        <f t="shared" si="5"/>
        <v/>
      </c>
    </row>
    <row r="27" spans="1:36" ht="28.5" customHeight="1" x14ac:dyDescent="0.3">
      <c r="A27" s="6"/>
      <c r="B27" s="512" t="str">
        <f>IF(DATA!B25&lt;&gt;0,DATA!B25,"")</f>
        <v/>
      </c>
      <c r="C27" s="25" t="str">
        <f>IF(DATA!C25="","",DATA!C25)</f>
        <v/>
      </c>
      <c r="D27" s="25" t="str">
        <f>IF(DATA!D25="","",DATA!D25)</f>
        <v/>
      </c>
      <c r="E27" s="738" t="str">
        <f>IF(DATA!E25="","",DATA!E25)</f>
        <v/>
      </c>
      <c r="F27" s="738" t="str">
        <f>IF(DATA!F25="","",DATA!F25)</f>
        <v/>
      </c>
      <c r="G27" s="77" t="str">
        <f>IF(ATTENDANCE!Q28="","",ATTENDANCE!Q28&amp;"/"&amp;ATTENDANCE!$Q$7)</f>
        <v/>
      </c>
      <c r="H27" s="77" t="str">
        <f>'GREEN SHEET'!EH27</f>
        <v/>
      </c>
      <c r="I27" s="77" t="str">
        <f>'GREEN SHEET'!EI27</f>
        <v/>
      </c>
      <c r="J27" s="77" t="str">
        <f>'GREEN SHEET'!EJ27</f>
        <v/>
      </c>
      <c r="K27" s="77" t="str">
        <f>'GREEN SHEET'!EK27</f>
        <v/>
      </c>
      <c r="L27" s="77" t="str">
        <f>IFERROR(ROUNDUP((#REF!/#REF!)*100,2)&amp;"%","")</f>
        <v/>
      </c>
      <c r="M27" s="77" t="str">
        <f>IF(C27="TC","",IF(K27="","",IF(OR(K27="COMPARTMENT",K27="FAIL"),"",(#REF!*100/#REF!))))</f>
        <v/>
      </c>
      <c r="N27" s="77" t="str">
        <f>'GREEN SHEET'!EN27</f>
        <v/>
      </c>
      <c r="O27" s="77" t="str">
        <f>IF(C27="","",IF(C27="TC","",IF(AND(#REF!&gt;=6,#REF!&gt;=26,#REF!&gt;=33),"",$O$5&amp;",")))</f>
        <v/>
      </c>
      <c r="P27" s="77" t="str">
        <f>IF(C27="","",IF(C27="TC","",IF(AND(#REF!&gt;=6.6,#REF!&gt;=16.5,#REF!&gt;=33),"",$P$5&amp;",")))</f>
        <v/>
      </c>
      <c r="Q27" s="77" t="str">
        <f>IF(C27="","",IF(C27="TC","",IF(AND(#REF!&gt;=25,#REF!&gt;=8,#REF!&gt;=33,#REF!&gt;=23),"",$Q$5&amp;",")))</f>
        <v/>
      </c>
      <c r="R27" s="77" t="str">
        <f>IF(C27="","",IF(C27="TC","",IF(AND(#REF!&gt;=25,#REF!&gt;=8,#REF!&gt;=33,#REF!&gt;=23),"",$R$5&amp;",")))</f>
        <v/>
      </c>
      <c r="S27" s="77" t="str">
        <f>IF(C27="","",IF(C27="TC","",IF(AND(#REF!&gt;=25,#REF!&gt;=8,#REF!&gt;=33,#REF!&gt;=23),"",$S$5&amp;",")))</f>
        <v/>
      </c>
      <c r="T27" s="77" t="str">
        <f>IF(C27="","",IF(C27="TC","",IF(AND(#REF!&gt;=25,#REF!&gt;=8,#REF!&gt;=33,#REF!&gt;=23),"",$T$5&amp;",")))</f>
        <v/>
      </c>
      <c r="U27" s="77" t="str">
        <f t="shared" si="1"/>
        <v/>
      </c>
      <c r="V27" s="77" t="e">
        <f>IF(#REF!="",O27,IF(V27&gt;=26,"",O27))</f>
        <v>#REF!</v>
      </c>
      <c r="W27" s="77" t="e">
        <f>IF(#REF!="",P27,IF(#REF!&gt;=26,"",P27))</f>
        <v>#REF!</v>
      </c>
      <c r="X27" s="77" t="e">
        <f>IF(#REF!="",Q27,IF(#REF!&gt;=12,"",Q27))</f>
        <v>#REF!</v>
      </c>
      <c r="Y27" s="77" t="e">
        <f>IF(#REF!="",R27,IF(#REF!&gt;=12,"",R27))</f>
        <v>#REF!</v>
      </c>
      <c r="Z27" s="77" t="e">
        <f>IF(#REF!="",S27,IF(#REF!&gt;=12,"",S27))</f>
        <v>#REF!</v>
      </c>
      <c r="AA27" s="77" t="e">
        <f>IF(#REF!="",T27,IF(#REF!&gt;=12,"",T27))</f>
        <v>#REF!</v>
      </c>
      <c r="AB27" s="77" t="str">
        <f t="shared" si="2"/>
        <v/>
      </c>
      <c r="AC27" s="77" t="str">
        <f t="shared" si="3"/>
        <v/>
      </c>
      <c r="AD27" s="77" t="str">
        <f t="shared" si="4"/>
        <v/>
      </c>
      <c r="AE27" s="77" t="str">
        <f>'GREEN SHEET'!EV27</f>
        <v/>
      </c>
      <c r="AF27" s="80" t="str">
        <f>'GREEN SHEET'!FG27</f>
        <v/>
      </c>
      <c r="AG27" s="80" t="str">
        <f>'GREEN SHEET'!FH27</f>
        <v/>
      </c>
      <c r="AH27" s="80" t="str">
        <f>'GREEN SHEET'!FI27</f>
        <v/>
      </c>
      <c r="AI27" s="80" t="str">
        <f>'GREEN SHEET'!FJ27</f>
        <v/>
      </c>
      <c r="AJ27" s="529" t="str">
        <f t="shared" si="5"/>
        <v/>
      </c>
    </row>
    <row r="28" spans="1:36" ht="28.5" customHeight="1" x14ac:dyDescent="0.3">
      <c r="A28" s="6"/>
      <c r="B28" s="512" t="str">
        <f>IF(DATA!B26&lt;&gt;0,DATA!B26,"")</f>
        <v/>
      </c>
      <c r="C28" s="25" t="str">
        <f>IF(DATA!C26="","",DATA!C26)</f>
        <v/>
      </c>
      <c r="D28" s="25" t="str">
        <f>IF(DATA!D26="","",DATA!D26)</f>
        <v/>
      </c>
      <c r="E28" s="738" t="str">
        <f>IF(DATA!E26="","",DATA!E26)</f>
        <v/>
      </c>
      <c r="F28" s="738" t="str">
        <f>IF(DATA!F26="","",DATA!F26)</f>
        <v/>
      </c>
      <c r="G28" s="77" t="str">
        <f>IF(ATTENDANCE!Q29="","",ATTENDANCE!Q29&amp;"/"&amp;ATTENDANCE!$Q$7)</f>
        <v/>
      </c>
      <c r="H28" s="77" t="str">
        <f>'GREEN SHEET'!EH28</f>
        <v/>
      </c>
      <c r="I28" s="77" t="str">
        <f>'GREEN SHEET'!EI28</f>
        <v/>
      </c>
      <c r="J28" s="77" t="str">
        <f>'GREEN SHEET'!EJ28</f>
        <v/>
      </c>
      <c r="K28" s="77" t="str">
        <f>'GREEN SHEET'!EK28</f>
        <v/>
      </c>
      <c r="L28" s="77" t="str">
        <f>IFERROR(ROUNDUP((#REF!/#REF!)*100,2)&amp;"%","")</f>
        <v/>
      </c>
      <c r="M28" s="77" t="str">
        <f>IF(C28="TC","",IF(K28="","",IF(OR(K28="COMPARTMENT",K28="FAIL"),"",(#REF!*100/#REF!))))</f>
        <v/>
      </c>
      <c r="N28" s="77" t="str">
        <f>'GREEN SHEET'!EN28</f>
        <v/>
      </c>
      <c r="O28" s="77" t="str">
        <f>IF(C28="","",IF(C28="TC","",IF(AND(#REF!&gt;=6,#REF!&gt;=26,#REF!&gt;=33),"",$O$5&amp;",")))</f>
        <v/>
      </c>
      <c r="P28" s="77" t="str">
        <f>IF(C28="","",IF(C28="TC","",IF(AND(#REF!&gt;=6.6,#REF!&gt;=16.5,#REF!&gt;=33),"",$P$5&amp;",")))</f>
        <v/>
      </c>
      <c r="Q28" s="77" t="str">
        <f>IF(C28="","",IF(C28="TC","",IF(AND(#REF!&gt;=25,#REF!&gt;=8,#REF!&gt;=33,#REF!&gt;=23),"",$Q$5&amp;",")))</f>
        <v/>
      </c>
      <c r="R28" s="77" t="str">
        <f>IF(C28="","",IF(C28="TC","",IF(AND(#REF!&gt;=25,#REF!&gt;=8,#REF!&gt;=33,#REF!&gt;=23),"",$R$5&amp;",")))</f>
        <v/>
      </c>
      <c r="S28" s="77" t="str">
        <f>IF(C28="","",IF(C28="TC","",IF(AND(#REF!&gt;=25,#REF!&gt;=8,#REF!&gt;=33,#REF!&gt;=23),"",$S$5&amp;",")))</f>
        <v/>
      </c>
      <c r="T28" s="77" t="str">
        <f>IF(C28="","",IF(C28="TC","",IF(AND(#REF!&gt;=25,#REF!&gt;=8,#REF!&gt;=33,#REF!&gt;=23),"",$T$5&amp;",")))</f>
        <v/>
      </c>
      <c r="U28" s="77" t="str">
        <f t="shared" si="1"/>
        <v/>
      </c>
      <c r="V28" s="77" t="e">
        <f>IF(#REF!="",O28,IF(V28&gt;=26,"",O28))</f>
        <v>#REF!</v>
      </c>
      <c r="W28" s="77" t="e">
        <f>IF(#REF!="",P28,IF(#REF!&gt;=26,"",P28))</f>
        <v>#REF!</v>
      </c>
      <c r="X28" s="77" t="e">
        <f>IF(#REF!="",Q28,IF(#REF!&gt;=12,"",Q28))</f>
        <v>#REF!</v>
      </c>
      <c r="Y28" s="77" t="e">
        <f>IF(#REF!="",R28,IF(#REF!&gt;=12,"",R28))</f>
        <v>#REF!</v>
      </c>
      <c r="Z28" s="77" t="e">
        <f>IF(#REF!="",S28,IF(#REF!&gt;=12,"",S28))</f>
        <v>#REF!</v>
      </c>
      <c r="AA28" s="77" t="e">
        <f>IF(#REF!="",T28,IF(#REF!&gt;=12,"",T28))</f>
        <v>#REF!</v>
      </c>
      <c r="AB28" s="77" t="str">
        <f t="shared" si="2"/>
        <v/>
      </c>
      <c r="AC28" s="77" t="str">
        <f t="shared" si="3"/>
        <v/>
      </c>
      <c r="AD28" s="77" t="str">
        <f t="shared" si="4"/>
        <v/>
      </c>
      <c r="AE28" s="77" t="str">
        <f>'GREEN SHEET'!EV28</f>
        <v/>
      </c>
      <c r="AF28" s="80" t="str">
        <f>'GREEN SHEET'!FG28</f>
        <v/>
      </c>
      <c r="AG28" s="80" t="str">
        <f>'GREEN SHEET'!FH28</f>
        <v/>
      </c>
      <c r="AH28" s="80" t="str">
        <f>'GREEN SHEET'!FI28</f>
        <v/>
      </c>
      <c r="AI28" s="80" t="str">
        <f>'GREEN SHEET'!FJ28</f>
        <v/>
      </c>
      <c r="AJ28" s="529" t="str">
        <f t="shared" si="5"/>
        <v/>
      </c>
    </row>
    <row r="29" spans="1:36" ht="28.5" customHeight="1" x14ac:dyDescent="0.3">
      <c r="A29" s="6"/>
      <c r="B29" s="512" t="str">
        <f>IF(DATA!B27&lt;&gt;0,DATA!B27,"")</f>
        <v/>
      </c>
      <c r="C29" s="82" t="str">
        <f>IF(DATA!C27="","",DATA!C27)</f>
        <v/>
      </c>
      <c r="D29" s="82" t="str">
        <f>IF(DATA!D27="","",DATA!D27)</f>
        <v/>
      </c>
      <c r="E29" s="739" t="str">
        <f>IF(DATA!E27="","",DATA!E27)</f>
        <v/>
      </c>
      <c r="F29" s="739" t="str">
        <f>IF(DATA!F27="","",DATA!F27)</f>
        <v/>
      </c>
      <c r="G29" s="77" t="str">
        <f>IF(ATTENDANCE!Q30="","",ATTENDANCE!Q30&amp;"/"&amp;ATTENDANCE!$Q$7)</f>
        <v/>
      </c>
      <c r="H29" s="77" t="str">
        <f>'GREEN SHEET'!EH29</f>
        <v/>
      </c>
      <c r="I29" s="77" t="str">
        <f>'GREEN SHEET'!EI29</f>
        <v/>
      </c>
      <c r="J29" s="77" t="str">
        <f>'GREEN SHEET'!EJ29</f>
        <v/>
      </c>
      <c r="K29" s="77" t="str">
        <f>'GREEN SHEET'!EK29</f>
        <v/>
      </c>
      <c r="L29" s="77" t="str">
        <f>IFERROR(ROUNDUP((#REF!/#REF!)*100,2)&amp;"%","")</f>
        <v/>
      </c>
      <c r="M29" s="77" t="str">
        <f>IF(C29="TC","",IF(K29="","",IF(OR(K29="COMPARTMENT",K29="FAIL"),"",(#REF!*100/#REF!))))</f>
        <v/>
      </c>
      <c r="N29" s="77" t="str">
        <f>'GREEN SHEET'!EN29</f>
        <v/>
      </c>
      <c r="O29" s="77" t="str">
        <f>IF(C29="","",IF(C29="TC","",IF(AND(#REF!&gt;=6,#REF!&gt;=26,#REF!&gt;=33),"",$O$5&amp;",")))</f>
        <v/>
      </c>
      <c r="P29" s="77" t="str">
        <f>IF(C29="","",IF(C29="TC","",IF(AND(#REF!&gt;=6.6,#REF!&gt;=16.5,#REF!&gt;=33),"",$P$5&amp;",")))</f>
        <v/>
      </c>
      <c r="Q29" s="77" t="str">
        <f>IF(C29="","",IF(C29="TC","",IF(AND(#REF!&gt;=25,#REF!&gt;=8,#REF!&gt;=33,#REF!&gt;=23),"",$Q$5&amp;",")))</f>
        <v/>
      </c>
      <c r="R29" s="77" t="str">
        <f>IF(C29="","",IF(C29="TC","",IF(AND(#REF!&gt;=25,#REF!&gt;=8,#REF!&gt;=33,#REF!&gt;=23),"",$R$5&amp;",")))</f>
        <v/>
      </c>
      <c r="S29" s="77" t="str">
        <f>IF(C29="","",IF(C29="TC","",IF(AND(#REF!&gt;=25,#REF!&gt;=8,#REF!&gt;=33,#REF!&gt;=23),"",$S$5&amp;",")))</f>
        <v/>
      </c>
      <c r="T29" s="77" t="str">
        <f>IF(C29="","",IF(C29="TC","",IF(AND(#REF!&gt;=25,#REF!&gt;=8,#REF!&gt;=33,#REF!&gt;=23),"",$T$5&amp;",")))</f>
        <v/>
      </c>
      <c r="U29" s="77" t="str">
        <f t="shared" si="1"/>
        <v/>
      </c>
      <c r="V29" s="77" t="e">
        <f>IF(#REF!="",O29,IF(V29&gt;=26,"",O29))</f>
        <v>#REF!</v>
      </c>
      <c r="W29" s="77" t="e">
        <f>IF(#REF!="",P29,IF(#REF!&gt;=26,"",P29))</f>
        <v>#REF!</v>
      </c>
      <c r="X29" s="77" t="e">
        <f>IF(#REF!="",Q29,IF(#REF!&gt;=12,"",Q29))</f>
        <v>#REF!</v>
      </c>
      <c r="Y29" s="77" t="e">
        <f>IF(#REF!="",R29,IF(#REF!&gt;=12,"",R29))</f>
        <v>#REF!</v>
      </c>
      <c r="Z29" s="77" t="e">
        <f>IF(#REF!="",S29,IF(#REF!&gt;=12,"",S29))</f>
        <v>#REF!</v>
      </c>
      <c r="AA29" s="77" t="e">
        <f>IF(#REF!="",T29,IF(#REF!&gt;=12,"",T29))</f>
        <v>#REF!</v>
      </c>
      <c r="AB29" s="77" t="str">
        <f t="shared" si="2"/>
        <v/>
      </c>
      <c r="AC29" s="77" t="str">
        <f t="shared" si="3"/>
        <v/>
      </c>
      <c r="AD29" s="77" t="str">
        <f t="shared" si="4"/>
        <v/>
      </c>
      <c r="AE29" s="77" t="str">
        <f>'GREEN SHEET'!EV29</f>
        <v/>
      </c>
      <c r="AF29" s="80" t="str">
        <f>'GREEN SHEET'!FG29</f>
        <v/>
      </c>
      <c r="AG29" s="80" t="str">
        <f>'GREEN SHEET'!FH29</f>
        <v/>
      </c>
      <c r="AH29" s="80" t="str">
        <f>'GREEN SHEET'!FI29</f>
        <v/>
      </c>
      <c r="AI29" s="80" t="str">
        <f>'GREEN SHEET'!FJ29</f>
        <v/>
      </c>
      <c r="AJ29" s="529" t="str">
        <f t="shared" si="5"/>
        <v/>
      </c>
    </row>
    <row r="30" spans="1:36" ht="16.5" hidden="1" customHeight="1" x14ac:dyDescent="0.3">
      <c r="B30" s="512" t="str">
        <f>IF(DATA!B28&lt;&gt;0,DATA!B28,"")</f>
        <v/>
      </c>
      <c r="C30" s="82" t="str">
        <f>IF(DATA!C28="","",DATA!C28)</f>
        <v/>
      </c>
      <c r="D30" s="82" t="str">
        <f>IF(DATA!D28="","",DATA!D28)</f>
        <v/>
      </c>
      <c r="E30" s="739" t="str">
        <f>IF(DATA!E28="","",DATA!E28)</f>
        <v/>
      </c>
      <c r="F30" s="739" t="str">
        <f>IF(DATA!F28="","",DATA!F28)</f>
        <v/>
      </c>
      <c r="G30" s="77" t="str">
        <f>IF(ATTENDANCE!Q31="","",ATTENDANCE!Q31&amp;"/"&amp;ATTENDANCE!$Q$7)</f>
        <v/>
      </c>
      <c r="H30" s="77" t="str">
        <f>'GREEN SHEET'!EH30</f>
        <v/>
      </c>
      <c r="I30" s="77" t="str">
        <f>'GREEN SHEET'!EI30</f>
        <v/>
      </c>
      <c r="J30" s="77" t="str">
        <f>'GREEN SHEET'!EJ30</f>
        <v/>
      </c>
      <c r="K30" s="77" t="str">
        <f>'GREEN SHEET'!EK30</f>
        <v/>
      </c>
      <c r="L30" s="77" t="str">
        <f>IFERROR(ROUNDUP((#REF!/#REF!)*100,2)&amp;"%","")</f>
        <v/>
      </c>
      <c r="M30" s="77" t="str">
        <f>IF(C30="TC","",IF(K30="","",IF(OR(K30="COMPARTMENT",K30="FAIL"),"",(#REF!*100/#REF!))))</f>
        <v/>
      </c>
      <c r="N30" s="77" t="str">
        <f>'GREEN SHEET'!EN30</f>
        <v/>
      </c>
      <c r="O30" s="77" t="str">
        <f>IF(C30="","",IF(C30="TC","",IF(AND(#REF!&gt;=6,#REF!&gt;=26,#REF!&gt;=33),"",$O$5&amp;",")))</f>
        <v/>
      </c>
      <c r="P30" s="77" t="str">
        <f>IF(C30="","",IF(C30="TC","",IF(AND(#REF!&gt;=6.6,#REF!&gt;=16.5,#REF!&gt;=33),"",$P$5&amp;",")))</f>
        <v/>
      </c>
      <c r="Q30" s="77" t="str">
        <f>IF(C30="","",IF(C30="TC","",IF(AND(#REF!&gt;=25,#REF!&gt;=8,#REF!&gt;=33,#REF!&gt;=23),"",$Q$5&amp;",")))</f>
        <v/>
      </c>
      <c r="R30" s="77" t="str">
        <f>IF(C30="","",IF(C30="TC","",IF(AND(#REF!&gt;=25,#REF!&gt;=8,#REF!&gt;=33,#REF!&gt;=23),"",$R$5&amp;",")))</f>
        <v/>
      </c>
      <c r="S30" s="77" t="str">
        <f>IF(C30="","",IF(C30="TC","",IF(AND(#REF!&gt;=25,#REF!&gt;=8,#REF!&gt;=33,#REF!&gt;=23),"",$S$5&amp;",")))</f>
        <v/>
      </c>
      <c r="T30" s="77" t="str">
        <f>IF(C30="","",IF(C30="TC","",IF(AND(#REF!&gt;=25,#REF!&gt;=8,#REF!&gt;=33,#REF!&gt;=23),"",$T$5&amp;",")))</f>
        <v/>
      </c>
      <c r="U30" s="77" t="str">
        <f t="shared" si="1"/>
        <v/>
      </c>
      <c r="V30" s="77" t="e">
        <f>IF(#REF!="",O30,IF(V30&gt;=26,"",O30))</f>
        <v>#REF!</v>
      </c>
      <c r="W30" s="77" t="e">
        <f>IF(#REF!="",P30,IF(#REF!&gt;=26,"",P30))</f>
        <v>#REF!</v>
      </c>
      <c r="X30" s="77" t="e">
        <f>IF(#REF!="",Q30,IF(#REF!&gt;=12,"",Q30))</f>
        <v>#REF!</v>
      </c>
      <c r="Y30" s="77" t="e">
        <f>IF(#REF!="",R30,IF(#REF!&gt;=12,"",R30))</f>
        <v>#REF!</v>
      </c>
      <c r="Z30" s="77" t="e">
        <f>IF(#REF!="",S30,IF(#REF!&gt;=12,"",S30))</f>
        <v>#REF!</v>
      </c>
      <c r="AA30" s="77" t="e">
        <f>IF(#REF!="",T30,IF(#REF!&gt;=12,"",T30))</f>
        <v>#REF!</v>
      </c>
      <c r="AB30" s="77" t="str">
        <f t="shared" si="2"/>
        <v/>
      </c>
      <c r="AC30" s="77" t="str">
        <f t="shared" si="3"/>
        <v/>
      </c>
      <c r="AD30" s="77" t="str">
        <f t="shared" si="4"/>
        <v/>
      </c>
      <c r="AE30" s="77" t="str">
        <f>'GREEN SHEET'!EV30</f>
        <v/>
      </c>
      <c r="AF30" s="80" t="str">
        <f>'GREEN SHEET'!FG30</f>
        <v/>
      </c>
      <c r="AG30" s="80" t="str">
        <f>'GREEN SHEET'!FH30</f>
        <v/>
      </c>
      <c r="AH30" s="80" t="str">
        <f>'GREEN SHEET'!FI30</f>
        <v/>
      </c>
      <c r="AI30" s="80" t="str">
        <f>'GREEN SHEET'!FJ30</f>
        <v/>
      </c>
      <c r="AJ30" s="612"/>
    </row>
    <row r="31" spans="1:36" ht="16.8" x14ac:dyDescent="0.3">
      <c r="A31" s="6"/>
      <c r="B31" s="512" t="str">
        <f>IF(DATA!B29&lt;&gt;0,DATA!B29,"")</f>
        <v/>
      </c>
      <c r="C31" s="82" t="str">
        <f>IF(DATA!C29="","",DATA!C29)</f>
        <v/>
      </c>
      <c r="D31" s="82" t="str">
        <f>IF(DATA!D29="","",DATA!D29)</f>
        <v/>
      </c>
      <c r="E31" s="739" t="str">
        <f>IF(DATA!E29="","",DATA!E29)</f>
        <v/>
      </c>
      <c r="F31" s="739" t="str">
        <f>IF(DATA!F29="","",DATA!F29)</f>
        <v/>
      </c>
      <c r="G31" s="77" t="str">
        <f>IF(ATTENDANCE!Q32="","",ATTENDANCE!Q32&amp;"/"&amp;ATTENDANCE!$Q$7)</f>
        <v/>
      </c>
      <c r="H31" s="77" t="str">
        <f>'GREEN SHEET'!EH31</f>
        <v/>
      </c>
      <c r="I31" s="77" t="str">
        <f>'GREEN SHEET'!EI31</f>
        <v/>
      </c>
      <c r="J31" s="77" t="str">
        <f>'GREEN SHEET'!EJ31</f>
        <v/>
      </c>
      <c r="K31" s="77" t="str">
        <f>'GREEN SHEET'!EK31</f>
        <v/>
      </c>
      <c r="L31" s="77" t="str">
        <f>IFERROR(ROUNDUP((#REF!/#REF!)*100,2)&amp;"%","")</f>
        <v/>
      </c>
      <c r="M31" s="77" t="str">
        <f>IF(C31="TC","",IF(K31="","",IF(OR(K31="COMPARTMENT",K31="FAIL"),"",(#REF!*100/#REF!))))</f>
        <v/>
      </c>
      <c r="N31" s="77" t="str">
        <f>'GREEN SHEET'!EN31</f>
        <v/>
      </c>
      <c r="O31" s="77" t="str">
        <f>IF(C31="","",IF(C31="TC","",IF(AND(#REF!&gt;=6,#REF!&gt;=26,#REF!&gt;=33),"",$O$5&amp;",")))</f>
        <v/>
      </c>
      <c r="P31" s="77" t="str">
        <f>IF(C31="","",IF(C31="TC","",IF(AND(#REF!&gt;=6.6,#REF!&gt;=16.5,#REF!&gt;=33),"",$P$5&amp;",")))</f>
        <v/>
      </c>
      <c r="Q31" s="77" t="str">
        <f>IF(C31="","",IF(C31="TC","",IF(AND(#REF!&gt;=25,#REF!&gt;=8,#REF!&gt;=33,#REF!&gt;=23),"",$Q$5&amp;",")))</f>
        <v/>
      </c>
      <c r="R31" s="77" t="str">
        <f>IF(C31="","",IF(C31="TC","",IF(AND(#REF!&gt;=25,#REF!&gt;=8,#REF!&gt;=33,#REF!&gt;=23),"",$R$5&amp;",")))</f>
        <v/>
      </c>
      <c r="S31" s="77" t="str">
        <f>IF(C31="","",IF(C31="TC","",IF(AND(#REF!&gt;=25,#REF!&gt;=8,#REF!&gt;=33,#REF!&gt;=23),"",$S$5&amp;",")))</f>
        <v/>
      </c>
      <c r="T31" s="77" t="str">
        <f>IF(C31="","",IF(C31="TC","",IF(AND(#REF!&gt;=25,#REF!&gt;=8,#REF!&gt;=33,#REF!&gt;=23),"",$T$5&amp;",")))</f>
        <v/>
      </c>
      <c r="U31" s="77" t="str">
        <f t="shared" si="1"/>
        <v/>
      </c>
      <c r="V31" s="77" t="e">
        <f>IF(#REF!="",O31,IF(V31&gt;=26,"",O31))</f>
        <v>#REF!</v>
      </c>
      <c r="W31" s="77" t="e">
        <f>IF(#REF!="",P31,IF(#REF!&gt;=26,"",P31))</f>
        <v>#REF!</v>
      </c>
      <c r="X31" s="77" t="e">
        <f>IF(#REF!="",Q31,IF(#REF!&gt;=12,"",Q31))</f>
        <v>#REF!</v>
      </c>
      <c r="Y31" s="77" t="e">
        <f>IF(#REF!="",R31,IF(#REF!&gt;=12,"",R31))</f>
        <v>#REF!</v>
      </c>
      <c r="Z31" s="77" t="e">
        <f>IF(#REF!="",S31,IF(#REF!&gt;=12,"",S31))</f>
        <v>#REF!</v>
      </c>
      <c r="AA31" s="77" t="e">
        <f>IF(#REF!="",T31,IF(#REF!&gt;=12,"",T31))</f>
        <v>#REF!</v>
      </c>
      <c r="AB31" s="77" t="str">
        <f t="shared" si="2"/>
        <v/>
      </c>
      <c r="AC31" s="77" t="str">
        <f t="shared" si="3"/>
        <v/>
      </c>
      <c r="AD31" s="77" t="str">
        <f t="shared" si="4"/>
        <v/>
      </c>
      <c r="AE31" s="77" t="str">
        <f>'GREEN SHEET'!EV31</f>
        <v/>
      </c>
      <c r="AF31" s="80" t="str">
        <f>'GREEN SHEET'!FG31</f>
        <v/>
      </c>
      <c r="AG31" s="80" t="str">
        <f>'GREEN SHEET'!FH31</f>
        <v/>
      </c>
      <c r="AH31" s="80" t="str">
        <f>'GREEN SHEET'!FI31</f>
        <v/>
      </c>
      <c r="AI31" s="80" t="str">
        <f>'GREEN SHEET'!FJ31</f>
        <v/>
      </c>
      <c r="AJ31" s="529" t="str">
        <f t="shared" ref="AJ31:AJ51" si="6">IF(C31="","",V31&amp;W31&amp;X31&amp;Y31&amp;Z31&amp;AA31)</f>
        <v/>
      </c>
    </row>
    <row r="32" spans="1:36" ht="16.8" x14ac:dyDescent="0.3">
      <c r="A32" s="6"/>
      <c r="B32" s="512" t="str">
        <f>IF(DATA!B30&lt;&gt;0,DATA!B30,"")</f>
        <v/>
      </c>
      <c r="C32" s="82" t="str">
        <f>IF(DATA!C30="","",DATA!C30)</f>
        <v/>
      </c>
      <c r="D32" s="82" t="str">
        <f>IF(DATA!D30="","",DATA!D30)</f>
        <v/>
      </c>
      <c r="E32" s="739" t="str">
        <f>IF(DATA!E30="","",DATA!E30)</f>
        <v/>
      </c>
      <c r="F32" s="739" t="str">
        <f>IF(DATA!F30="","",DATA!F30)</f>
        <v/>
      </c>
      <c r="G32" s="77" t="str">
        <f>IF(ATTENDANCE!Q33="","",ATTENDANCE!Q33&amp;"/"&amp;ATTENDANCE!$Q$7)</f>
        <v/>
      </c>
      <c r="H32" s="77" t="str">
        <f>'GREEN SHEET'!EH32</f>
        <v/>
      </c>
      <c r="I32" s="77" t="str">
        <f>'GREEN SHEET'!EI32</f>
        <v/>
      </c>
      <c r="J32" s="77" t="str">
        <f>'GREEN SHEET'!EJ32</f>
        <v/>
      </c>
      <c r="K32" s="77" t="str">
        <f>'GREEN SHEET'!EK32</f>
        <v/>
      </c>
      <c r="L32" s="77" t="str">
        <f>IFERROR(ROUNDUP((#REF!/#REF!)*100,2)&amp;"%","")</f>
        <v/>
      </c>
      <c r="M32" s="77" t="str">
        <f>IF(C32="TC","",IF(K32="","",IF(OR(K32="COMPARTMENT",K32="FAIL"),"",(#REF!*100/#REF!))))</f>
        <v/>
      </c>
      <c r="N32" s="77" t="str">
        <f>'GREEN SHEET'!EN32</f>
        <v/>
      </c>
      <c r="O32" s="77" t="str">
        <f>IF(C32="","",IF(C32="TC","",IF(AND(#REF!&gt;=6,#REF!&gt;=26,#REF!&gt;=33),"",$O$5&amp;",")))</f>
        <v/>
      </c>
      <c r="P32" s="77" t="str">
        <f>IF(C32="","",IF(C32="TC","",IF(AND(#REF!&gt;=6.6,#REF!&gt;=16.5,#REF!&gt;=33),"",$P$5&amp;",")))</f>
        <v/>
      </c>
      <c r="Q32" s="77" t="str">
        <f>IF(C32="","",IF(C32="TC","",IF(AND(#REF!&gt;=25,#REF!&gt;=8,#REF!&gt;=33,#REF!&gt;=23),"",$Q$5&amp;",")))</f>
        <v/>
      </c>
      <c r="R32" s="77" t="str">
        <f>IF(C32="","",IF(C32="TC","",IF(AND(#REF!&gt;=25,#REF!&gt;=8,#REF!&gt;=33,#REF!&gt;=23),"",$R$5&amp;",")))</f>
        <v/>
      </c>
      <c r="S32" s="77" t="str">
        <f>IF(C32="","",IF(C32="TC","",IF(AND(#REF!&gt;=25,#REF!&gt;=8,#REF!&gt;=33,#REF!&gt;=23),"",$S$5&amp;",")))</f>
        <v/>
      </c>
      <c r="T32" s="77" t="str">
        <f>IF(C32="","",IF(C32="TC","",IF(AND(#REF!&gt;=25,#REF!&gt;=8,#REF!&gt;=33,#REF!&gt;=23),"",$T$5&amp;",")))</f>
        <v/>
      </c>
      <c r="U32" s="77" t="str">
        <f t="shared" si="1"/>
        <v/>
      </c>
      <c r="V32" s="77" t="e">
        <f>IF(#REF!="",O32,IF(V32&gt;=26,"",O32))</f>
        <v>#REF!</v>
      </c>
      <c r="W32" s="77" t="e">
        <f>IF(#REF!="",P32,IF(#REF!&gt;=26,"",P32))</f>
        <v>#REF!</v>
      </c>
      <c r="X32" s="77" t="e">
        <f>IF(#REF!="",Q32,IF(#REF!&gt;=12,"",Q32))</f>
        <v>#REF!</v>
      </c>
      <c r="Y32" s="77" t="e">
        <f>IF(#REF!="",R32,IF(#REF!&gt;=12,"",R32))</f>
        <v>#REF!</v>
      </c>
      <c r="Z32" s="77" t="e">
        <f>IF(#REF!="",S32,IF(#REF!&gt;=12,"",S32))</f>
        <v>#REF!</v>
      </c>
      <c r="AA32" s="77" t="e">
        <f>IF(#REF!="",T32,IF(#REF!&gt;=12,"",T32))</f>
        <v>#REF!</v>
      </c>
      <c r="AB32" s="77" t="str">
        <f t="shared" si="2"/>
        <v/>
      </c>
      <c r="AC32" s="77" t="str">
        <f t="shared" si="3"/>
        <v/>
      </c>
      <c r="AD32" s="77" t="str">
        <f t="shared" si="4"/>
        <v/>
      </c>
      <c r="AE32" s="77" t="str">
        <f>'GREEN SHEET'!EV32</f>
        <v/>
      </c>
      <c r="AF32" s="80" t="str">
        <f>'GREEN SHEET'!FG32</f>
        <v/>
      </c>
      <c r="AG32" s="80" t="str">
        <f>'GREEN SHEET'!FH32</f>
        <v/>
      </c>
      <c r="AH32" s="80" t="str">
        <f>'GREEN SHEET'!FI32</f>
        <v/>
      </c>
      <c r="AI32" s="80" t="str">
        <f>'GREEN SHEET'!FJ32</f>
        <v/>
      </c>
      <c r="AJ32" s="529" t="str">
        <f t="shared" si="6"/>
        <v/>
      </c>
    </row>
    <row r="33" spans="1:36" ht="16.8" x14ac:dyDescent="0.3">
      <c r="A33" s="6"/>
      <c r="B33" s="512" t="str">
        <f>IF(DATA!B31&lt;&gt;0,DATA!B31,"")</f>
        <v/>
      </c>
      <c r="C33" s="82" t="str">
        <f>IF(DATA!C31="","",DATA!C31)</f>
        <v/>
      </c>
      <c r="D33" s="82" t="str">
        <f>IF(DATA!D31="","",DATA!D31)</f>
        <v/>
      </c>
      <c r="E33" s="739" t="str">
        <f>IF(DATA!E31="","",DATA!E31)</f>
        <v/>
      </c>
      <c r="F33" s="739" t="str">
        <f>IF(DATA!F31="","",DATA!F31)</f>
        <v/>
      </c>
      <c r="G33" s="77" t="str">
        <f>IF(ATTENDANCE!Q34="","",ATTENDANCE!Q34&amp;"/"&amp;ATTENDANCE!$Q$7)</f>
        <v/>
      </c>
      <c r="H33" s="77" t="str">
        <f>'GREEN SHEET'!EH33</f>
        <v/>
      </c>
      <c r="I33" s="77" t="str">
        <f>'GREEN SHEET'!EI33</f>
        <v/>
      </c>
      <c r="J33" s="77" t="str">
        <f>'GREEN SHEET'!EJ33</f>
        <v/>
      </c>
      <c r="K33" s="77" t="str">
        <f>'GREEN SHEET'!EK33</f>
        <v/>
      </c>
      <c r="L33" s="77" t="str">
        <f>IFERROR(ROUNDUP((#REF!/#REF!)*100,2)&amp;"%","")</f>
        <v/>
      </c>
      <c r="M33" s="77" t="str">
        <f>IF(C33="TC","",IF(K33="","",IF(OR(K33="COMPARTMENT",K33="FAIL"),"",(#REF!*100/#REF!))))</f>
        <v/>
      </c>
      <c r="N33" s="77" t="str">
        <f>'GREEN SHEET'!EN33</f>
        <v/>
      </c>
      <c r="O33" s="77" t="str">
        <f>IF(C33="","",IF(C33="TC","",IF(AND(#REF!&gt;=6,#REF!&gt;=26,#REF!&gt;=33),"",$O$5&amp;",")))</f>
        <v/>
      </c>
      <c r="P33" s="77" t="str">
        <f>IF(C33="","",IF(C33="TC","",IF(AND(#REF!&gt;=6.6,#REF!&gt;=16.5,#REF!&gt;=33),"",$P$5&amp;",")))</f>
        <v/>
      </c>
      <c r="Q33" s="77" t="str">
        <f>IF(C33="","",IF(C33="TC","",IF(AND(#REF!&gt;=25,#REF!&gt;=8,#REF!&gt;=33,#REF!&gt;=23),"",$Q$5&amp;",")))</f>
        <v/>
      </c>
      <c r="R33" s="77" t="str">
        <f>IF(C33="","",IF(C33="TC","",IF(AND(#REF!&gt;=25,#REF!&gt;=8,#REF!&gt;=33,#REF!&gt;=23),"",$R$5&amp;",")))</f>
        <v/>
      </c>
      <c r="S33" s="77" t="str">
        <f>IF(C33="","",IF(C33="TC","",IF(AND(#REF!&gt;=25,#REF!&gt;=8,#REF!&gt;=33,#REF!&gt;=23),"",$S$5&amp;",")))</f>
        <v/>
      </c>
      <c r="T33" s="77" t="str">
        <f>IF(C33="","",IF(C33="TC","",IF(AND(#REF!&gt;=25,#REF!&gt;=8,#REF!&gt;=33,#REF!&gt;=23),"",$T$5&amp;",")))</f>
        <v/>
      </c>
      <c r="U33" s="77" t="str">
        <f t="shared" si="1"/>
        <v/>
      </c>
      <c r="V33" s="77" t="e">
        <f>IF(#REF!="",O33,IF(V33&gt;=26,"",O33))</f>
        <v>#REF!</v>
      </c>
      <c r="W33" s="77" t="e">
        <f>IF(#REF!="",P33,IF(#REF!&gt;=26,"",P33))</f>
        <v>#REF!</v>
      </c>
      <c r="X33" s="77" t="e">
        <f>IF(#REF!="",Q33,IF(#REF!&gt;=12,"",Q33))</f>
        <v>#REF!</v>
      </c>
      <c r="Y33" s="77" t="e">
        <f>IF(#REF!="",R33,IF(#REF!&gt;=12,"",R33))</f>
        <v>#REF!</v>
      </c>
      <c r="Z33" s="77" t="e">
        <f>IF(#REF!="",S33,IF(#REF!&gt;=12,"",S33))</f>
        <v>#REF!</v>
      </c>
      <c r="AA33" s="77" t="e">
        <f>IF(#REF!="",T33,IF(#REF!&gt;=12,"",T33))</f>
        <v>#REF!</v>
      </c>
      <c r="AB33" s="77" t="str">
        <f t="shared" si="2"/>
        <v/>
      </c>
      <c r="AC33" s="77" t="str">
        <f t="shared" si="3"/>
        <v/>
      </c>
      <c r="AD33" s="77" t="str">
        <f t="shared" si="4"/>
        <v/>
      </c>
      <c r="AE33" s="77" t="str">
        <f>'GREEN SHEET'!EV33</f>
        <v/>
      </c>
      <c r="AF33" s="80" t="str">
        <f>'GREEN SHEET'!FG33</f>
        <v/>
      </c>
      <c r="AG33" s="80" t="str">
        <f>'GREEN SHEET'!FH33</f>
        <v/>
      </c>
      <c r="AH33" s="80" t="str">
        <f>'GREEN SHEET'!FI33</f>
        <v/>
      </c>
      <c r="AI33" s="80" t="str">
        <f>'GREEN SHEET'!FJ33</f>
        <v/>
      </c>
      <c r="AJ33" s="529" t="str">
        <f t="shared" si="6"/>
        <v/>
      </c>
    </row>
    <row r="34" spans="1:36" ht="16.8" x14ac:dyDescent="0.3">
      <c r="A34" s="6"/>
      <c r="B34" s="512" t="str">
        <f>IF(DATA!B32&lt;&gt;0,DATA!B32,"")</f>
        <v/>
      </c>
      <c r="C34" s="82" t="str">
        <f>IF(DATA!C32="","",DATA!C32)</f>
        <v/>
      </c>
      <c r="D34" s="82" t="str">
        <f>IF(DATA!D32="","",DATA!D32)</f>
        <v/>
      </c>
      <c r="E34" s="739" t="str">
        <f>IF(DATA!E32="","",DATA!E32)</f>
        <v/>
      </c>
      <c r="F34" s="739" t="str">
        <f>IF(DATA!F32="","",DATA!F32)</f>
        <v/>
      </c>
      <c r="G34" s="77" t="str">
        <f>IF(ATTENDANCE!Q35="","",ATTENDANCE!Q35&amp;"/"&amp;ATTENDANCE!$Q$7)</f>
        <v/>
      </c>
      <c r="H34" s="77" t="str">
        <f>'GREEN SHEET'!EH34</f>
        <v/>
      </c>
      <c r="I34" s="77" t="str">
        <f>'GREEN SHEET'!EI34</f>
        <v/>
      </c>
      <c r="J34" s="77" t="str">
        <f>'GREEN SHEET'!EJ34</f>
        <v/>
      </c>
      <c r="K34" s="77" t="str">
        <f>'GREEN SHEET'!EK34</f>
        <v/>
      </c>
      <c r="L34" s="77" t="str">
        <f>IFERROR(ROUNDUP((#REF!/#REF!)*100,2)&amp;"%","")</f>
        <v/>
      </c>
      <c r="M34" s="77" t="str">
        <f>IF(C34="TC","",IF(K34="","",IF(OR(K34="COMPARTMENT",K34="FAIL"),"",(#REF!*100/#REF!))))</f>
        <v/>
      </c>
      <c r="N34" s="77" t="str">
        <f>'GREEN SHEET'!EN34</f>
        <v/>
      </c>
      <c r="O34" s="77" t="str">
        <f>IF(C34="","",IF(C34="TC","",IF(AND(#REF!&gt;=6,#REF!&gt;=26,#REF!&gt;=33),"",$O$5&amp;",")))</f>
        <v/>
      </c>
      <c r="P34" s="77" t="str">
        <f>IF(C34="","",IF(C34="TC","",IF(AND(#REF!&gt;=6.6,#REF!&gt;=16.5,#REF!&gt;=33),"",$P$5&amp;",")))</f>
        <v/>
      </c>
      <c r="Q34" s="77" t="str">
        <f>IF(C34="","",IF(C34="TC","",IF(AND(#REF!&gt;=25,#REF!&gt;=8,#REF!&gt;=33,#REF!&gt;=23),"",$Q$5&amp;",")))</f>
        <v/>
      </c>
      <c r="R34" s="77" t="str">
        <f>IF(C34="","",IF(C34="TC","",IF(AND(#REF!&gt;=25,#REF!&gt;=8,#REF!&gt;=33,#REF!&gt;=23),"",$R$5&amp;",")))</f>
        <v/>
      </c>
      <c r="S34" s="77" t="str">
        <f>IF(C34="","",IF(C34="TC","",IF(AND(#REF!&gt;=25,#REF!&gt;=8,#REF!&gt;=33,#REF!&gt;=23),"",$S$5&amp;",")))</f>
        <v/>
      </c>
      <c r="T34" s="77" t="str">
        <f>IF(C34="","",IF(C34="TC","",IF(AND(#REF!&gt;=25,#REF!&gt;=8,#REF!&gt;=33,#REF!&gt;=23),"",$T$5&amp;",")))</f>
        <v/>
      </c>
      <c r="U34" s="77" t="str">
        <f t="shared" si="1"/>
        <v/>
      </c>
      <c r="V34" s="77" t="e">
        <f>IF(#REF!="",O34,IF(V34&gt;=26,"",O34))</f>
        <v>#REF!</v>
      </c>
      <c r="W34" s="77" t="e">
        <f>IF(#REF!="",P34,IF(#REF!&gt;=26,"",P34))</f>
        <v>#REF!</v>
      </c>
      <c r="X34" s="77" t="e">
        <f>IF(#REF!="",Q34,IF(#REF!&gt;=12,"",Q34))</f>
        <v>#REF!</v>
      </c>
      <c r="Y34" s="77" t="e">
        <f>IF(#REF!="",R34,IF(#REF!&gt;=12,"",R34))</f>
        <v>#REF!</v>
      </c>
      <c r="Z34" s="77" t="e">
        <f>IF(#REF!="",S34,IF(#REF!&gt;=12,"",S34))</f>
        <v>#REF!</v>
      </c>
      <c r="AA34" s="77" t="e">
        <f>IF(#REF!="",T34,IF(#REF!&gt;=12,"",T34))</f>
        <v>#REF!</v>
      </c>
      <c r="AB34" s="77" t="str">
        <f t="shared" si="2"/>
        <v/>
      </c>
      <c r="AC34" s="77" t="str">
        <f t="shared" si="3"/>
        <v/>
      </c>
      <c r="AD34" s="77" t="str">
        <f t="shared" si="4"/>
        <v/>
      </c>
      <c r="AE34" s="77" t="str">
        <f>'GREEN SHEET'!EV34</f>
        <v/>
      </c>
      <c r="AF34" s="80" t="str">
        <f>'GREEN SHEET'!FG34</f>
        <v/>
      </c>
      <c r="AG34" s="80" t="str">
        <f>'GREEN SHEET'!FH34</f>
        <v/>
      </c>
      <c r="AH34" s="80" t="str">
        <f>'GREEN SHEET'!FI34</f>
        <v/>
      </c>
      <c r="AI34" s="80" t="str">
        <f>'GREEN SHEET'!FJ34</f>
        <v/>
      </c>
      <c r="AJ34" s="529" t="str">
        <f t="shared" si="6"/>
        <v/>
      </c>
    </row>
    <row r="35" spans="1:36" ht="16.8" x14ac:dyDescent="0.3">
      <c r="A35" s="6"/>
      <c r="B35" s="512" t="str">
        <f>IF(DATA!B33&lt;&gt;0,DATA!B33,"")</f>
        <v/>
      </c>
      <c r="C35" s="82" t="str">
        <f>IF(DATA!C33="","",DATA!C33)</f>
        <v/>
      </c>
      <c r="D35" s="82" t="str">
        <f>IF(DATA!D33="","",DATA!D33)</f>
        <v/>
      </c>
      <c r="E35" s="739" t="str">
        <f>IF(DATA!E33="","",DATA!E33)</f>
        <v/>
      </c>
      <c r="F35" s="739" t="str">
        <f>IF(DATA!F33="","",DATA!F33)</f>
        <v/>
      </c>
      <c r="G35" s="77" t="str">
        <f>IF(ATTENDANCE!Q36="","",ATTENDANCE!Q36&amp;"/"&amp;ATTENDANCE!$Q$7)</f>
        <v/>
      </c>
      <c r="H35" s="77" t="str">
        <f>'GREEN SHEET'!EH35</f>
        <v/>
      </c>
      <c r="I35" s="77" t="str">
        <f>'GREEN SHEET'!EI35</f>
        <v/>
      </c>
      <c r="J35" s="77" t="str">
        <f>'GREEN SHEET'!EJ35</f>
        <v/>
      </c>
      <c r="K35" s="77" t="str">
        <f>'GREEN SHEET'!EK35</f>
        <v/>
      </c>
      <c r="L35" s="77" t="str">
        <f>IFERROR(ROUNDUP((#REF!/#REF!)*100,2)&amp;"%","")</f>
        <v/>
      </c>
      <c r="M35" s="77" t="str">
        <f>IF(C35="TC","",IF(K35="","",IF(OR(K35="COMPARTMENT",K35="FAIL"),"",(#REF!*100/#REF!))))</f>
        <v/>
      </c>
      <c r="N35" s="77" t="str">
        <f>'GREEN SHEET'!EN35</f>
        <v/>
      </c>
      <c r="O35" s="77" t="str">
        <f>IF(C35="","",IF(C35="TC","",IF(AND(#REF!&gt;=6,#REF!&gt;=26,#REF!&gt;=33),"",$O$5&amp;",")))</f>
        <v/>
      </c>
      <c r="P35" s="77" t="str">
        <f>IF(C35="","",IF(C35="TC","",IF(AND(#REF!&gt;=6.6,#REF!&gt;=16.5,#REF!&gt;=33),"",$P$5&amp;",")))</f>
        <v/>
      </c>
      <c r="Q35" s="77" t="str">
        <f>IF(C35="","",IF(C35="TC","",IF(AND(#REF!&gt;=25,#REF!&gt;=8,#REF!&gt;=33,#REF!&gt;=23),"",$Q$5&amp;",")))</f>
        <v/>
      </c>
      <c r="R35" s="77" t="str">
        <f>IF(C35="","",IF(C35="TC","",IF(AND(#REF!&gt;=25,#REF!&gt;=8,#REF!&gt;=33,#REF!&gt;=23),"",$R$5&amp;",")))</f>
        <v/>
      </c>
      <c r="S35" s="77" t="str">
        <f>IF(C35="","",IF(C35="TC","",IF(AND(#REF!&gt;=25,#REF!&gt;=8,#REF!&gt;=33,#REF!&gt;=23),"",$S$5&amp;",")))</f>
        <v/>
      </c>
      <c r="T35" s="77" t="str">
        <f>IF(C35="","",IF(C35="TC","",IF(AND(#REF!&gt;=25,#REF!&gt;=8,#REF!&gt;=33,#REF!&gt;=23),"",$T$5&amp;",")))</f>
        <v/>
      </c>
      <c r="U35" s="77" t="str">
        <f t="shared" si="1"/>
        <v/>
      </c>
      <c r="V35" s="77" t="e">
        <f>IF(#REF!="",O35,IF(V35&gt;=26,"",O35))</f>
        <v>#REF!</v>
      </c>
      <c r="W35" s="77" t="e">
        <f>IF(#REF!="",P35,IF(#REF!&gt;=26,"",P35))</f>
        <v>#REF!</v>
      </c>
      <c r="X35" s="77" t="e">
        <f>IF(#REF!="",Q35,IF(#REF!&gt;=12,"",Q35))</f>
        <v>#REF!</v>
      </c>
      <c r="Y35" s="77" t="e">
        <f>IF(#REF!="",R35,IF(#REF!&gt;=12,"",R35))</f>
        <v>#REF!</v>
      </c>
      <c r="Z35" s="77" t="e">
        <f>IF(#REF!="",S35,IF(#REF!&gt;=12,"",S35))</f>
        <v>#REF!</v>
      </c>
      <c r="AA35" s="77" t="e">
        <f>IF(#REF!="",T35,IF(#REF!&gt;=12,"",T35))</f>
        <v>#REF!</v>
      </c>
      <c r="AB35" s="77" t="str">
        <f t="shared" si="2"/>
        <v/>
      </c>
      <c r="AC35" s="77" t="str">
        <f t="shared" si="3"/>
        <v/>
      </c>
      <c r="AD35" s="77" t="str">
        <f t="shared" si="4"/>
        <v/>
      </c>
      <c r="AE35" s="77" t="str">
        <f>'GREEN SHEET'!EV35</f>
        <v/>
      </c>
      <c r="AF35" s="80" t="str">
        <f>'GREEN SHEET'!FG35</f>
        <v/>
      </c>
      <c r="AG35" s="80" t="str">
        <f>'GREEN SHEET'!FH35</f>
        <v/>
      </c>
      <c r="AH35" s="80" t="str">
        <f>'GREEN SHEET'!FI35</f>
        <v/>
      </c>
      <c r="AI35" s="80" t="str">
        <f>'GREEN SHEET'!FJ35</f>
        <v/>
      </c>
      <c r="AJ35" s="529" t="str">
        <f t="shared" si="6"/>
        <v/>
      </c>
    </row>
    <row r="36" spans="1:36" ht="16.8" x14ac:dyDescent="0.3">
      <c r="A36" s="6"/>
      <c r="B36" s="512" t="str">
        <f>IF(DATA!B34&lt;&gt;0,DATA!B34,"")</f>
        <v/>
      </c>
      <c r="C36" s="82" t="str">
        <f>IF(DATA!C34="","",DATA!C34)</f>
        <v/>
      </c>
      <c r="D36" s="82" t="str">
        <f>IF(DATA!D34="","",DATA!D34)</f>
        <v/>
      </c>
      <c r="E36" s="739" t="str">
        <f>IF(DATA!E34="","",DATA!E34)</f>
        <v/>
      </c>
      <c r="F36" s="739" t="str">
        <f>IF(DATA!F34="","",DATA!F34)</f>
        <v/>
      </c>
      <c r="G36" s="77" t="str">
        <f>IF(ATTENDANCE!Q37="","",ATTENDANCE!Q37&amp;"/"&amp;ATTENDANCE!$Q$7)</f>
        <v/>
      </c>
      <c r="H36" s="77" t="str">
        <f>'GREEN SHEET'!EH36</f>
        <v/>
      </c>
      <c r="I36" s="77" t="str">
        <f>'GREEN SHEET'!EI36</f>
        <v/>
      </c>
      <c r="J36" s="77" t="str">
        <f>'GREEN SHEET'!EJ36</f>
        <v/>
      </c>
      <c r="K36" s="77" t="str">
        <f>'GREEN SHEET'!EK36</f>
        <v/>
      </c>
      <c r="L36" s="77" t="str">
        <f>IFERROR(ROUNDUP((#REF!/#REF!)*100,2)&amp;"%","")</f>
        <v/>
      </c>
      <c r="M36" s="77" t="str">
        <f>IF(C36="TC","",IF(K36="","",IF(OR(K36="COMPARTMENT",K36="FAIL"),"",(#REF!*100/#REF!))))</f>
        <v/>
      </c>
      <c r="N36" s="77" t="str">
        <f>'GREEN SHEET'!EN36</f>
        <v/>
      </c>
      <c r="O36" s="77" t="str">
        <f>IF(C36="","",IF(C36="TC","",IF(AND(#REF!&gt;=6,#REF!&gt;=26,#REF!&gt;=33),"",$O$5&amp;",")))</f>
        <v/>
      </c>
      <c r="P36" s="77" t="str">
        <f>IF(C36="","",IF(C36="TC","",IF(AND(#REF!&gt;=6.6,#REF!&gt;=16.5,#REF!&gt;=33),"",$P$5&amp;",")))</f>
        <v/>
      </c>
      <c r="Q36" s="77" t="str">
        <f>IF(C36="","",IF(C36="TC","",IF(AND(#REF!&gt;=25,#REF!&gt;=8,#REF!&gt;=33,#REF!&gt;=23),"",$Q$5&amp;",")))</f>
        <v/>
      </c>
      <c r="R36" s="77" t="str">
        <f>IF(C36="","",IF(C36="TC","",IF(AND(#REF!&gt;=25,#REF!&gt;=8,#REF!&gt;=33,#REF!&gt;=23),"",$R$5&amp;",")))</f>
        <v/>
      </c>
      <c r="S36" s="77" t="str">
        <f>IF(C36="","",IF(C36="TC","",IF(AND(#REF!&gt;=25,#REF!&gt;=8,#REF!&gt;=33,#REF!&gt;=23),"",$S$5&amp;",")))</f>
        <v/>
      </c>
      <c r="T36" s="77" t="str">
        <f>IF(C36="","",IF(C36="TC","",IF(AND(#REF!&gt;=25,#REF!&gt;=8,#REF!&gt;=33,#REF!&gt;=23),"",$T$5&amp;",")))</f>
        <v/>
      </c>
      <c r="U36" s="77" t="str">
        <f t="shared" si="1"/>
        <v/>
      </c>
      <c r="V36" s="77" t="e">
        <f>IF(#REF!="",O36,IF(V36&gt;=26,"",O36))</f>
        <v>#REF!</v>
      </c>
      <c r="W36" s="77" t="e">
        <f>IF(#REF!="",P36,IF(#REF!&gt;=26,"",P36))</f>
        <v>#REF!</v>
      </c>
      <c r="X36" s="77" t="e">
        <f>IF(#REF!="",Q36,IF(#REF!&gt;=12,"",Q36))</f>
        <v>#REF!</v>
      </c>
      <c r="Y36" s="77" t="e">
        <f>IF(#REF!="",R36,IF(#REF!&gt;=12,"",R36))</f>
        <v>#REF!</v>
      </c>
      <c r="Z36" s="77" t="e">
        <f>IF(#REF!="",S36,IF(#REF!&gt;=12,"",S36))</f>
        <v>#REF!</v>
      </c>
      <c r="AA36" s="77" t="e">
        <f>IF(#REF!="",T36,IF(#REF!&gt;=12,"",T36))</f>
        <v>#REF!</v>
      </c>
      <c r="AB36" s="77" t="str">
        <f t="shared" si="2"/>
        <v/>
      </c>
      <c r="AC36" s="77" t="str">
        <f t="shared" si="3"/>
        <v/>
      </c>
      <c r="AD36" s="77" t="str">
        <f t="shared" si="4"/>
        <v/>
      </c>
      <c r="AE36" s="77" t="str">
        <f>'GREEN SHEET'!EV36</f>
        <v/>
      </c>
      <c r="AF36" s="80" t="str">
        <f>'GREEN SHEET'!FG36</f>
        <v/>
      </c>
      <c r="AG36" s="80" t="str">
        <f>'GREEN SHEET'!FH36</f>
        <v/>
      </c>
      <c r="AH36" s="80" t="str">
        <f>'GREEN SHEET'!FI36</f>
        <v/>
      </c>
      <c r="AI36" s="80" t="str">
        <f>'GREEN SHEET'!FJ36</f>
        <v/>
      </c>
      <c r="AJ36" s="529" t="str">
        <f t="shared" si="6"/>
        <v/>
      </c>
    </row>
    <row r="37" spans="1:36" ht="16.8" x14ac:dyDescent="0.3">
      <c r="A37" s="6"/>
      <c r="B37" s="512" t="str">
        <f>IF(DATA!B35&lt;&gt;0,DATA!B35,"")</f>
        <v/>
      </c>
      <c r="C37" s="82" t="str">
        <f>IF(DATA!C35="","",DATA!C35)</f>
        <v/>
      </c>
      <c r="D37" s="82" t="str">
        <f>IF(DATA!D35="","",DATA!D35)</f>
        <v/>
      </c>
      <c r="E37" s="739" t="str">
        <f>IF(DATA!E35="","",DATA!E35)</f>
        <v/>
      </c>
      <c r="F37" s="739" t="str">
        <f>IF(DATA!F35="","",DATA!F35)</f>
        <v/>
      </c>
      <c r="G37" s="77" t="str">
        <f>IF(ATTENDANCE!Q38="","",ATTENDANCE!Q38&amp;"/"&amp;ATTENDANCE!$Q$7)</f>
        <v/>
      </c>
      <c r="H37" s="77" t="str">
        <f>'GREEN SHEET'!EH37</f>
        <v/>
      </c>
      <c r="I37" s="77" t="str">
        <f>'GREEN SHEET'!EI37</f>
        <v/>
      </c>
      <c r="J37" s="77" t="str">
        <f>'GREEN SHEET'!EJ37</f>
        <v/>
      </c>
      <c r="K37" s="77" t="str">
        <f>'GREEN SHEET'!EK37</f>
        <v/>
      </c>
      <c r="L37" s="77" t="str">
        <f>IFERROR(ROUNDUP((#REF!/#REF!)*100,2)&amp;"%","")</f>
        <v/>
      </c>
      <c r="M37" s="77" t="str">
        <f>IF(C37="TC","",IF(K37="","",IF(OR(K37="COMPARTMENT",K37="FAIL"),"",(#REF!*100/#REF!))))</f>
        <v/>
      </c>
      <c r="N37" s="77" t="str">
        <f>'GREEN SHEET'!EN37</f>
        <v/>
      </c>
      <c r="O37" s="77" t="str">
        <f>IF(C37="","",IF(C37="TC","",IF(AND(#REF!&gt;=6,#REF!&gt;=26,#REF!&gt;=33),"",$O$5&amp;",")))</f>
        <v/>
      </c>
      <c r="P37" s="77" t="str">
        <f>IF(C37="","",IF(C37="TC","",IF(AND(#REF!&gt;=6.6,#REF!&gt;=16.5,#REF!&gt;=33),"",$P$5&amp;",")))</f>
        <v/>
      </c>
      <c r="Q37" s="77" t="str">
        <f>IF(C37="","",IF(C37="TC","",IF(AND(#REF!&gt;=25,#REF!&gt;=8,#REF!&gt;=33,#REF!&gt;=23),"",$Q$5&amp;",")))</f>
        <v/>
      </c>
      <c r="R37" s="77" t="str">
        <f>IF(C37="","",IF(C37="TC","",IF(AND(#REF!&gt;=25,#REF!&gt;=8,#REF!&gt;=33,#REF!&gt;=23),"",$R$5&amp;",")))</f>
        <v/>
      </c>
      <c r="S37" s="77" t="str">
        <f>IF(C37="","",IF(C37="TC","",IF(AND(#REF!&gt;=25,#REF!&gt;=8,#REF!&gt;=33,#REF!&gt;=23),"",$S$5&amp;",")))</f>
        <v/>
      </c>
      <c r="T37" s="77" t="str">
        <f>IF(C37="","",IF(C37="TC","",IF(AND(#REF!&gt;=25,#REF!&gt;=8,#REF!&gt;=33,#REF!&gt;=23),"",$T$5&amp;",")))</f>
        <v/>
      </c>
      <c r="U37" s="77" t="str">
        <f t="shared" si="1"/>
        <v/>
      </c>
      <c r="V37" s="77" t="e">
        <f>IF(#REF!="",O37,IF(V37&gt;=26,"",O37))</f>
        <v>#REF!</v>
      </c>
      <c r="W37" s="77" t="e">
        <f>IF(#REF!="",P37,IF(#REF!&gt;=26,"",P37))</f>
        <v>#REF!</v>
      </c>
      <c r="X37" s="77" t="e">
        <f>IF(#REF!="",Q37,IF(#REF!&gt;=12,"",Q37))</f>
        <v>#REF!</v>
      </c>
      <c r="Y37" s="77" t="e">
        <f>IF(#REF!="",R37,IF(#REF!&gt;=12,"",R37))</f>
        <v>#REF!</v>
      </c>
      <c r="Z37" s="77" t="e">
        <f>IF(#REF!="",S37,IF(#REF!&gt;=12,"",S37))</f>
        <v>#REF!</v>
      </c>
      <c r="AA37" s="77" t="e">
        <f>IF(#REF!="",T37,IF(#REF!&gt;=12,"",T37))</f>
        <v>#REF!</v>
      </c>
      <c r="AB37" s="77" t="str">
        <f t="shared" si="2"/>
        <v/>
      </c>
      <c r="AC37" s="77" t="str">
        <f t="shared" si="3"/>
        <v/>
      </c>
      <c r="AD37" s="77" t="str">
        <f t="shared" si="4"/>
        <v/>
      </c>
      <c r="AE37" s="77" t="str">
        <f>'GREEN SHEET'!EV37</f>
        <v/>
      </c>
      <c r="AF37" s="80" t="str">
        <f>'GREEN SHEET'!FG37</f>
        <v/>
      </c>
      <c r="AG37" s="80" t="str">
        <f>'GREEN SHEET'!FH37</f>
        <v/>
      </c>
      <c r="AH37" s="80" t="str">
        <f>'GREEN SHEET'!FI37</f>
        <v/>
      </c>
      <c r="AI37" s="80" t="str">
        <f>'GREEN SHEET'!FJ37</f>
        <v/>
      </c>
      <c r="AJ37" s="529" t="str">
        <f t="shared" si="6"/>
        <v/>
      </c>
    </row>
    <row r="38" spans="1:36" ht="16.8" x14ac:dyDescent="0.3">
      <c r="A38" s="6"/>
      <c r="B38" s="512" t="str">
        <f>IF(DATA!B36&lt;&gt;0,DATA!B36,"")</f>
        <v/>
      </c>
      <c r="C38" s="82" t="str">
        <f>IF(DATA!C36="","",DATA!C36)</f>
        <v/>
      </c>
      <c r="D38" s="82" t="str">
        <f>IF(DATA!D36="","",DATA!D36)</f>
        <v/>
      </c>
      <c r="E38" s="739" t="str">
        <f>IF(DATA!E36="","",DATA!E36)</f>
        <v/>
      </c>
      <c r="F38" s="739" t="str">
        <f>IF(DATA!F36="","",DATA!F36)</f>
        <v/>
      </c>
      <c r="G38" s="77" t="str">
        <f>IF(ATTENDANCE!Q39="","",ATTENDANCE!Q39&amp;"/"&amp;ATTENDANCE!$Q$7)</f>
        <v/>
      </c>
      <c r="H38" s="77" t="str">
        <f>'GREEN SHEET'!EH38</f>
        <v/>
      </c>
      <c r="I38" s="77" t="str">
        <f>'GREEN SHEET'!EI38</f>
        <v/>
      </c>
      <c r="J38" s="77" t="str">
        <f>'GREEN SHEET'!EJ38</f>
        <v/>
      </c>
      <c r="K38" s="77" t="str">
        <f>'GREEN SHEET'!EK38</f>
        <v/>
      </c>
      <c r="L38" s="77" t="str">
        <f>IFERROR(ROUNDUP((#REF!/#REF!)*100,2)&amp;"%","")</f>
        <v/>
      </c>
      <c r="M38" s="77" t="str">
        <f>IF(C38="TC","",IF(K38="","",IF(OR(K38="COMPARTMENT",K38="FAIL"),"",(#REF!*100/#REF!))))</f>
        <v/>
      </c>
      <c r="N38" s="77" t="str">
        <f>'GREEN SHEET'!EN38</f>
        <v/>
      </c>
      <c r="O38" s="77" t="str">
        <f>IF(C38="","",IF(C38="TC","",IF(AND(#REF!&gt;=6,#REF!&gt;=26,#REF!&gt;=33),"",$O$5&amp;",")))</f>
        <v/>
      </c>
      <c r="P38" s="77" t="str">
        <f>IF(C38="","",IF(C38="TC","",IF(AND(#REF!&gt;=6.6,#REF!&gt;=16.5,#REF!&gt;=33),"",$P$5&amp;",")))</f>
        <v/>
      </c>
      <c r="Q38" s="77" t="str">
        <f>IF(C38="","",IF(C38="TC","",IF(AND(#REF!&gt;=25,#REF!&gt;=8,#REF!&gt;=33,#REF!&gt;=23),"",$Q$5&amp;",")))</f>
        <v/>
      </c>
      <c r="R38" s="77" t="str">
        <f>IF(C38="","",IF(C38="TC","",IF(AND(#REF!&gt;=25,#REF!&gt;=8,#REF!&gt;=33,#REF!&gt;=23),"",$R$5&amp;",")))</f>
        <v/>
      </c>
      <c r="S38" s="77" t="str">
        <f>IF(C38="","",IF(C38="TC","",IF(AND(#REF!&gt;=25,#REF!&gt;=8,#REF!&gt;=33,#REF!&gt;=23),"",$S$5&amp;",")))</f>
        <v/>
      </c>
      <c r="T38" s="77" t="str">
        <f>IF(C38="","",IF(C38="TC","",IF(AND(#REF!&gt;=25,#REF!&gt;=8,#REF!&gt;=33,#REF!&gt;=23),"",$T$5&amp;",")))</f>
        <v/>
      </c>
      <c r="U38" s="77" t="str">
        <f t="shared" si="1"/>
        <v/>
      </c>
      <c r="V38" s="77" t="e">
        <f>IF(#REF!="",O38,IF(V38&gt;=26,"",O38))</f>
        <v>#REF!</v>
      </c>
      <c r="W38" s="77" t="e">
        <f>IF(#REF!="",P38,IF(#REF!&gt;=26,"",P38))</f>
        <v>#REF!</v>
      </c>
      <c r="X38" s="77" t="e">
        <f>IF(#REF!="",Q38,IF(#REF!&gt;=12,"",Q38))</f>
        <v>#REF!</v>
      </c>
      <c r="Y38" s="77" t="e">
        <f>IF(#REF!="",R38,IF(#REF!&gt;=12,"",R38))</f>
        <v>#REF!</v>
      </c>
      <c r="Z38" s="77" t="e">
        <f>IF(#REF!="",S38,IF(#REF!&gt;=12,"",S38))</f>
        <v>#REF!</v>
      </c>
      <c r="AA38" s="77" t="e">
        <f>IF(#REF!="",T38,IF(#REF!&gt;=12,"",T38))</f>
        <v>#REF!</v>
      </c>
      <c r="AB38" s="77" t="str">
        <f t="shared" si="2"/>
        <v/>
      </c>
      <c r="AC38" s="77" t="str">
        <f t="shared" si="3"/>
        <v/>
      </c>
      <c r="AD38" s="77" t="str">
        <f t="shared" si="4"/>
        <v/>
      </c>
      <c r="AE38" s="77" t="str">
        <f>'GREEN SHEET'!EV38</f>
        <v/>
      </c>
      <c r="AF38" s="80" t="str">
        <f>'GREEN SHEET'!FG38</f>
        <v/>
      </c>
      <c r="AG38" s="80" t="str">
        <f>'GREEN SHEET'!FH38</f>
        <v/>
      </c>
      <c r="AH38" s="80" t="str">
        <f>'GREEN SHEET'!FI38</f>
        <v/>
      </c>
      <c r="AI38" s="80" t="str">
        <f>'GREEN SHEET'!FJ38</f>
        <v/>
      </c>
      <c r="AJ38" s="529" t="str">
        <f t="shared" si="6"/>
        <v/>
      </c>
    </row>
    <row r="39" spans="1:36" ht="16.8" x14ac:dyDescent="0.3">
      <c r="A39" s="6"/>
      <c r="B39" s="512" t="str">
        <f>IF(DATA!B37&lt;&gt;0,DATA!B37,"")</f>
        <v/>
      </c>
      <c r="C39" s="82" t="str">
        <f>IF(DATA!C37="","",DATA!C37)</f>
        <v/>
      </c>
      <c r="D39" s="82" t="str">
        <f>IF(DATA!D37="","",DATA!D37)</f>
        <v/>
      </c>
      <c r="E39" s="739" t="str">
        <f>IF(DATA!E37="","",DATA!E37)</f>
        <v/>
      </c>
      <c r="F39" s="739" t="str">
        <f>IF(DATA!F37="","",DATA!F37)</f>
        <v/>
      </c>
      <c r="G39" s="77" t="str">
        <f>IF(ATTENDANCE!Q40="","",ATTENDANCE!Q40&amp;"/"&amp;ATTENDANCE!$Q$7)</f>
        <v/>
      </c>
      <c r="H39" s="77" t="str">
        <f>'GREEN SHEET'!EH39</f>
        <v/>
      </c>
      <c r="I39" s="77" t="str">
        <f>'GREEN SHEET'!EI39</f>
        <v/>
      </c>
      <c r="J39" s="77" t="str">
        <f>'GREEN SHEET'!EJ39</f>
        <v/>
      </c>
      <c r="K39" s="77" t="str">
        <f>'GREEN SHEET'!EK39</f>
        <v/>
      </c>
      <c r="L39" s="77" t="str">
        <f>IFERROR(ROUNDUP((#REF!/#REF!)*100,2)&amp;"%","")</f>
        <v/>
      </c>
      <c r="M39" s="77" t="str">
        <f>IF(C39="TC","",IF(K39="","",IF(OR(K39="COMPARTMENT",K39="FAIL"),"",(#REF!*100/#REF!))))</f>
        <v/>
      </c>
      <c r="N39" s="77" t="str">
        <f>'GREEN SHEET'!EN39</f>
        <v/>
      </c>
      <c r="O39" s="77" t="str">
        <f>IF(C39="","",IF(C39="TC","",IF(AND(#REF!&gt;=6,#REF!&gt;=26,#REF!&gt;=33),"",$O$5&amp;",")))</f>
        <v/>
      </c>
      <c r="P39" s="77" t="str">
        <f>IF(C39="","",IF(C39="TC","",IF(AND(#REF!&gt;=6.6,#REF!&gt;=16.5,#REF!&gt;=33),"",$P$5&amp;",")))</f>
        <v/>
      </c>
      <c r="Q39" s="77" t="str">
        <f>IF(C39="","",IF(C39="TC","",IF(AND(#REF!&gt;=25,#REF!&gt;=8,#REF!&gt;=33,#REF!&gt;=23),"",$Q$5&amp;",")))</f>
        <v/>
      </c>
      <c r="R39" s="77" t="str">
        <f>IF(C39="","",IF(C39="TC","",IF(AND(#REF!&gt;=25,#REF!&gt;=8,#REF!&gt;=33,#REF!&gt;=23),"",$R$5&amp;",")))</f>
        <v/>
      </c>
      <c r="S39" s="77" t="str">
        <f>IF(C39="","",IF(C39="TC","",IF(AND(#REF!&gt;=25,#REF!&gt;=8,#REF!&gt;=33,#REF!&gt;=23),"",$S$5&amp;",")))</f>
        <v/>
      </c>
      <c r="T39" s="77" t="str">
        <f>IF(C39="","",IF(C39="TC","",IF(AND(#REF!&gt;=25,#REF!&gt;=8,#REF!&gt;=33,#REF!&gt;=23),"",$T$5&amp;",")))</f>
        <v/>
      </c>
      <c r="U39" s="77" t="str">
        <f t="shared" si="1"/>
        <v/>
      </c>
      <c r="V39" s="77" t="e">
        <f>IF(#REF!="",O39,IF(V39&gt;=26,"",O39))</f>
        <v>#REF!</v>
      </c>
      <c r="W39" s="77" t="e">
        <f>IF(#REF!="",P39,IF(#REF!&gt;=26,"",P39))</f>
        <v>#REF!</v>
      </c>
      <c r="X39" s="77" t="e">
        <f>IF(#REF!="",Q39,IF(#REF!&gt;=12,"",Q39))</f>
        <v>#REF!</v>
      </c>
      <c r="Y39" s="77" t="e">
        <f>IF(#REF!="",R39,IF(#REF!&gt;=12,"",R39))</f>
        <v>#REF!</v>
      </c>
      <c r="Z39" s="77" t="e">
        <f>IF(#REF!="",S39,IF(#REF!&gt;=12,"",S39))</f>
        <v>#REF!</v>
      </c>
      <c r="AA39" s="77" t="e">
        <f>IF(#REF!="",T39,IF(#REF!&gt;=12,"",T39))</f>
        <v>#REF!</v>
      </c>
      <c r="AB39" s="77" t="str">
        <f t="shared" si="2"/>
        <v/>
      </c>
      <c r="AC39" s="77" t="str">
        <f t="shared" si="3"/>
        <v/>
      </c>
      <c r="AD39" s="77" t="str">
        <f t="shared" si="4"/>
        <v/>
      </c>
      <c r="AE39" s="77" t="str">
        <f>'GREEN SHEET'!EV39</f>
        <v/>
      </c>
      <c r="AF39" s="80" t="str">
        <f>'GREEN SHEET'!FG39</f>
        <v/>
      </c>
      <c r="AG39" s="80" t="str">
        <f>'GREEN SHEET'!FH39</f>
        <v/>
      </c>
      <c r="AH39" s="80" t="str">
        <f>'GREEN SHEET'!FI39</f>
        <v/>
      </c>
      <c r="AI39" s="80" t="str">
        <f>'GREEN SHEET'!FJ39</f>
        <v/>
      </c>
      <c r="AJ39" s="529" t="str">
        <f t="shared" si="6"/>
        <v/>
      </c>
    </row>
    <row r="40" spans="1:36" ht="16.8" x14ac:dyDescent="0.3">
      <c r="A40" s="6"/>
      <c r="B40" s="512" t="str">
        <f>IF(DATA!B38&lt;&gt;0,DATA!B38,"")</f>
        <v/>
      </c>
      <c r="C40" s="82" t="str">
        <f>IF(DATA!C38="","",DATA!C38)</f>
        <v/>
      </c>
      <c r="D40" s="82" t="str">
        <f>IF(DATA!D38="","",DATA!D38)</f>
        <v/>
      </c>
      <c r="E40" s="739" t="str">
        <f>IF(DATA!E38="","",DATA!E38)</f>
        <v/>
      </c>
      <c r="F40" s="739" t="str">
        <f>IF(DATA!F38="","",DATA!F38)</f>
        <v/>
      </c>
      <c r="G40" s="77" t="str">
        <f>IF(ATTENDANCE!Q41="","",ATTENDANCE!Q41&amp;"/"&amp;ATTENDANCE!$Q$7)</f>
        <v/>
      </c>
      <c r="H40" s="77" t="str">
        <f>'GREEN SHEET'!EH40</f>
        <v/>
      </c>
      <c r="I40" s="77" t="str">
        <f>'GREEN SHEET'!EI40</f>
        <v/>
      </c>
      <c r="J40" s="77" t="str">
        <f>'GREEN SHEET'!EJ40</f>
        <v/>
      </c>
      <c r="K40" s="77" t="str">
        <f>'GREEN SHEET'!EK40</f>
        <v/>
      </c>
      <c r="L40" s="77" t="str">
        <f>IFERROR(ROUNDUP((#REF!/#REF!)*100,2)&amp;"%","")</f>
        <v/>
      </c>
      <c r="M40" s="77" t="str">
        <f>IF(C40="TC","",IF(K40="","",IF(OR(K40="COMPARTMENT",K40="FAIL"),"",(#REF!*100/#REF!))))</f>
        <v/>
      </c>
      <c r="N40" s="77" t="str">
        <f>'GREEN SHEET'!EN40</f>
        <v/>
      </c>
      <c r="O40" s="77" t="str">
        <f>IF(C40="","",IF(C40="TC","",IF(AND(#REF!&gt;=6,#REF!&gt;=26,#REF!&gt;=33),"",$O$5&amp;",")))</f>
        <v/>
      </c>
      <c r="P40" s="77" t="str">
        <f>IF(C40="","",IF(C40="TC","",IF(AND(#REF!&gt;=6.6,#REF!&gt;=16.5,#REF!&gt;=33),"",$P$5&amp;",")))</f>
        <v/>
      </c>
      <c r="Q40" s="77" t="str">
        <f>IF(C40="","",IF(C40="TC","",IF(AND(#REF!&gt;=25,#REF!&gt;=8,#REF!&gt;=33,#REF!&gt;=23),"",$Q$5&amp;",")))</f>
        <v/>
      </c>
      <c r="R40" s="77" t="str">
        <f>IF(C40="","",IF(C40="TC","",IF(AND(#REF!&gt;=25,#REF!&gt;=8,#REF!&gt;=33,#REF!&gt;=23),"",$R$5&amp;",")))</f>
        <v/>
      </c>
      <c r="S40" s="77" t="str">
        <f>IF(C40="","",IF(C40="TC","",IF(AND(#REF!&gt;=25,#REF!&gt;=8,#REF!&gt;=33,#REF!&gt;=23),"",$S$5&amp;",")))</f>
        <v/>
      </c>
      <c r="T40" s="77" t="str">
        <f>IF(C40="","",IF(C40="TC","",IF(AND(#REF!&gt;=25,#REF!&gt;=8,#REF!&gt;=33,#REF!&gt;=23),"",$T$5&amp;",")))</f>
        <v/>
      </c>
      <c r="U40" s="77" t="str">
        <f t="shared" si="1"/>
        <v/>
      </c>
      <c r="V40" s="77" t="e">
        <f>IF(#REF!="",O40,IF(V40&gt;=26,"",O40))</f>
        <v>#REF!</v>
      </c>
      <c r="W40" s="77" t="e">
        <f>IF(#REF!="",P40,IF(#REF!&gt;=26,"",P40))</f>
        <v>#REF!</v>
      </c>
      <c r="X40" s="77" t="e">
        <f>IF(#REF!="",Q40,IF(#REF!&gt;=12,"",Q40))</f>
        <v>#REF!</v>
      </c>
      <c r="Y40" s="77" t="e">
        <f>IF(#REF!="",R40,IF(#REF!&gt;=12,"",R40))</f>
        <v>#REF!</v>
      </c>
      <c r="Z40" s="77" t="e">
        <f>IF(#REF!="",S40,IF(#REF!&gt;=12,"",S40))</f>
        <v>#REF!</v>
      </c>
      <c r="AA40" s="77" t="e">
        <f>IF(#REF!="",T40,IF(#REF!&gt;=12,"",T40))</f>
        <v>#REF!</v>
      </c>
      <c r="AB40" s="77" t="str">
        <f t="shared" si="2"/>
        <v/>
      </c>
      <c r="AC40" s="77" t="str">
        <f t="shared" si="3"/>
        <v/>
      </c>
      <c r="AD40" s="77" t="str">
        <f t="shared" si="4"/>
        <v/>
      </c>
      <c r="AE40" s="77" t="str">
        <f>'GREEN SHEET'!EV40</f>
        <v/>
      </c>
      <c r="AF40" s="80" t="str">
        <f>'GREEN SHEET'!FG40</f>
        <v/>
      </c>
      <c r="AG40" s="80" t="str">
        <f>'GREEN SHEET'!FH40</f>
        <v/>
      </c>
      <c r="AH40" s="80" t="str">
        <f>'GREEN SHEET'!FI40</f>
        <v/>
      </c>
      <c r="AI40" s="80" t="str">
        <f>'GREEN SHEET'!FJ40</f>
        <v/>
      </c>
      <c r="AJ40" s="529" t="str">
        <f t="shared" si="6"/>
        <v/>
      </c>
    </row>
    <row r="41" spans="1:36" ht="16.8" x14ac:dyDescent="0.3">
      <c r="A41" s="6"/>
      <c r="B41" s="512" t="str">
        <f>IF(DATA!B39&lt;&gt;0,DATA!B39,"")</f>
        <v/>
      </c>
      <c r="C41" s="82" t="str">
        <f>IF(DATA!C39="","",DATA!C39)</f>
        <v/>
      </c>
      <c r="D41" s="82" t="str">
        <f>IF(DATA!D39="","",DATA!D39)</f>
        <v/>
      </c>
      <c r="E41" s="739" t="str">
        <f>IF(DATA!E39="","",DATA!E39)</f>
        <v/>
      </c>
      <c r="F41" s="739" t="str">
        <f>IF(DATA!F39="","",DATA!F39)</f>
        <v/>
      </c>
      <c r="G41" s="77" t="str">
        <f>IF(ATTENDANCE!Q42="","",ATTENDANCE!Q42&amp;"/"&amp;ATTENDANCE!$Q$7)</f>
        <v/>
      </c>
      <c r="H41" s="77" t="str">
        <f>'GREEN SHEET'!EH41</f>
        <v/>
      </c>
      <c r="I41" s="77" t="str">
        <f>'GREEN SHEET'!EI41</f>
        <v/>
      </c>
      <c r="J41" s="77" t="str">
        <f>'GREEN SHEET'!EJ41</f>
        <v/>
      </c>
      <c r="K41" s="77" t="str">
        <f>'GREEN SHEET'!EK41</f>
        <v/>
      </c>
      <c r="L41" s="77" t="str">
        <f>IFERROR(ROUNDUP((#REF!/#REF!)*100,2)&amp;"%","")</f>
        <v/>
      </c>
      <c r="M41" s="77" t="str">
        <f>IF(C41="TC","",IF(K41="","",IF(OR(K41="COMPARTMENT",K41="FAIL"),"",(#REF!*100/#REF!))))</f>
        <v/>
      </c>
      <c r="N41" s="77" t="str">
        <f>'GREEN SHEET'!EN41</f>
        <v/>
      </c>
      <c r="O41" s="77" t="str">
        <f>IF(C41="","",IF(C41="TC","",IF(AND(#REF!&gt;=6,#REF!&gt;=26,#REF!&gt;=33),"",$O$5&amp;",")))</f>
        <v/>
      </c>
      <c r="P41" s="77" t="str">
        <f>IF(C41="","",IF(C41="TC","",IF(AND(#REF!&gt;=6.6,#REF!&gt;=16.5,#REF!&gt;=33),"",$P$5&amp;",")))</f>
        <v/>
      </c>
      <c r="Q41" s="77" t="str">
        <f>IF(C41="","",IF(C41="TC","",IF(AND(#REF!&gt;=25,#REF!&gt;=8,#REF!&gt;=33,#REF!&gt;=23),"",$Q$5&amp;",")))</f>
        <v/>
      </c>
      <c r="R41" s="77" t="str">
        <f>IF(C41="","",IF(C41="TC","",IF(AND(#REF!&gt;=25,#REF!&gt;=8,#REF!&gt;=33,#REF!&gt;=23),"",$R$5&amp;",")))</f>
        <v/>
      </c>
      <c r="S41" s="77" t="str">
        <f>IF(C41="","",IF(C41="TC","",IF(AND(#REF!&gt;=25,#REF!&gt;=8,#REF!&gt;=33,#REF!&gt;=23),"",$S$5&amp;",")))</f>
        <v/>
      </c>
      <c r="T41" s="77" t="str">
        <f>IF(C41="","",IF(C41="TC","",IF(AND(#REF!&gt;=25,#REF!&gt;=8,#REF!&gt;=33,#REF!&gt;=23),"",$T$5&amp;",")))</f>
        <v/>
      </c>
      <c r="U41" s="77" t="str">
        <f t="shared" si="1"/>
        <v/>
      </c>
      <c r="V41" s="77" t="e">
        <f>IF(#REF!="",O41,IF(V41&gt;=26,"",O41))</f>
        <v>#REF!</v>
      </c>
      <c r="W41" s="77" t="e">
        <f>IF(#REF!="",P41,IF(#REF!&gt;=26,"",P41))</f>
        <v>#REF!</v>
      </c>
      <c r="X41" s="77" t="e">
        <f>IF(#REF!="",Q41,IF(#REF!&gt;=12,"",Q41))</f>
        <v>#REF!</v>
      </c>
      <c r="Y41" s="77" t="e">
        <f>IF(#REF!="",R41,IF(#REF!&gt;=12,"",R41))</f>
        <v>#REF!</v>
      </c>
      <c r="Z41" s="77" t="e">
        <f>IF(#REF!="",S41,IF(#REF!&gt;=12,"",S41))</f>
        <v>#REF!</v>
      </c>
      <c r="AA41" s="77" t="e">
        <f>IF(#REF!="",T41,IF(#REF!&gt;=12,"",T41))</f>
        <v>#REF!</v>
      </c>
      <c r="AB41" s="77" t="str">
        <f t="shared" si="2"/>
        <v/>
      </c>
      <c r="AC41" s="77" t="str">
        <f t="shared" si="3"/>
        <v/>
      </c>
      <c r="AD41" s="77" t="str">
        <f t="shared" si="4"/>
        <v/>
      </c>
      <c r="AE41" s="77" t="str">
        <f>'GREEN SHEET'!EV41</f>
        <v/>
      </c>
      <c r="AF41" s="80" t="str">
        <f>'GREEN SHEET'!FG41</f>
        <v/>
      </c>
      <c r="AG41" s="80" t="str">
        <f>'GREEN SHEET'!FH41</f>
        <v/>
      </c>
      <c r="AH41" s="80" t="str">
        <f>'GREEN SHEET'!FI41</f>
        <v/>
      </c>
      <c r="AI41" s="80" t="str">
        <f>'GREEN SHEET'!FJ41</f>
        <v/>
      </c>
      <c r="AJ41" s="529" t="str">
        <f t="shared" si="6"/>
        <v/>
      </c>
    </row>
    <row r="42" spans="1:36" ht="16.8" x14ac:dyDescent="0.3">
      <c r="A42" s="6"/>
      <c r="B42" s="512" t="str">
        <f>IF(DATA!B40&lt;&gt;0,DATA!B40,"")</f>
        <v/>
      </c>
      <c r="C42" s="82" t="str">
        <f>IF(DATA!C40="","",DATA!C40)</f>
        <v/>
      </c>
      <c r="D42" s="82" t="str">
        <f>IF(DATA!D40="","",DATA!D40)</f>
        <v/>
      </c>
      <c r="E42" s="739" t="str">
        <f>IF(DATA!E40="","",DATA!E40)</f>
        <v/>
      </c>
      <c r="F42" s="739" t="str">
        <f>IF(DATA!F40="","",DATA!F40)</f>
        <v/>
      </c>
      <c r="G42" s="77" t="str">
        <f>IF(ATTENDANCE!Q43="","",ATTENDANCE!Q43&amp;"/"&amp;ATTENDANCE!$Q$7)</f>
        <v/>
      </c>
      <c r="H42" s="77" t="str">
        <f>'GREEN SHEET'!EH42</f>
        <v/>
      </c>
      <c r="I42" s="77" t="str">
        <f>'GREEN SHEET'!EI42</f>
        <v/>
      </c>
      <c r="J42" s="77" t="str">
        <f>'GREEN SHEET'!EJ42</f>
        <v/>
      </c>
      <c r="K42" s="77" t="str">
        <f>'GREEN SHEET'!EK42</f>
        <v/>
      </c>
      <c r="L42" s="77" t="str">
        <f>IFERROR(ROUNDUP((#REF!/#REF!)*100,2)&amp;"%","")</f>
        <v/>
      </c>
      <c r="M42" s="77" t="str">
        <f>IF(C42="TC","",IF(K42="","",IF(OR(K42="COMPARTMENT",K42="FAIL"),"",(#REF!*100/#REF!))))</f>
        <v/>
      </c>
      <c r="N42" s="77" t="str">
        <f>'GREEN SHEET'!EN42</f>
        <v/>
      </c>
      <c r="O42" s="77" t="str">
        <f>IF(C42="","",IF(C42="TC","",IF(AND(#REF!&gt;=6,#REF!&gt;=26,#REF!&gt;=33),"",$O$5&amp;",")))</f>
        <v/>
      </c>
      <c r="P42" s="77" t="str">
        <f>IF(C42="","",IF(C42="TC","",IF(AND(#REF!&gt;=6.6,#REF!&gt;=16.5,#REF!&gt;=33),"",$P$5&amp;",")))</f>
        <v/>
      </c>
      <c r="Q42" s="77" t="str">
        <f>IF(C42="","",IF(C42="TC","",IF(AND(#REF!&gt;=25,#REF!&gt;=8,#REF!&gt;=33,#REF!&gt;=23),"",$Q$5&amp;",")))</f>
        <v/>
      </c>
      <c r="R42" s="77" t="str">
        <f>IF(C42="","",IF(C42="TC","",IF(AND(#REF!&gt;=25,#REF!&gt;=8,#REF!&gt;=33,#REF!&gt;=23),"",$R$5&amp;",")))</f>
        <v/>
      </c>
      <c r="S42" s="77" t="str">
        <f>IF(C42="","",IF(C42="TC","",IF(AND(#REF!&gt;=25,#REF!&gt;=8,#REF!&gt;=33,#REF!&gt;=23),"",$S$5&amp;",")))</f>
        <v/>
      </c>
      <c r="T42" s="77" t="str">
        <f>IF(C42="","",IF(C42="TC","",IF(AND(#REF!&gt;=25,#REF!&gt;=8,#REF!&gt;=33,#REF!&gt;=23),"",$T$5&amp;",")))</f>
        <v/>
      </c>
      <c r="U42" s="77" t="str">
        <f t="shared" si="1"/>
        <v/>
      </c>
      <c r="V42" s="77" t="e">
        <f>IF(#REF!="",O42,IF(V42&gt;=26,"",O42))</f>
        <v>#REF!</v>
      </c>
      <c r="W42" s="77" t="e">
        <f>IF(#REF!="",P42,IF(#REF!&gt;=26,"",P42))</f>
        <v>#REF!</v>
      </c>
      <c r="X42" s="77" t="e">
        <f>IF(#REF!="",Q42,IF(#REF!&gt;=12,"",Q42))</f>
        <v>#REF!</v>
      </c>
      <c r="Y42" s="77" t="e">
        <f>IF(#REF!="",R42,IF(#REF!&gt;=12,"",R42))</f>
        <v>#REF!</v>
      </c>
      <c r="Z42" s="77" t="e">
        <f>IF(#REF!="",S42,IF(#REF!&gt;=12,"",S42))</f>
        <v>#REF!</v>
      </c>
      <c r="AA42" s="77" t="e">
        <f>IF(#REF!="",T42,IF(#REF!&gt;=12,"",T42))</f>
        <v>#REF!</v>
      </c>
      <c r="AB42" s="77" t="str">
        <f t="shared" si="2"/>
        <v/>
      </c>
      <c r="AC42" s="77" t="str">
        <f t="shared" si="3"/>
        <v/>
      </c>
      <c r="AD42" s="77" t="str">
        <f t="shared" si="4"/>
        <v/>
      </c>
      <c r="AE42" s="77" t="str">
        <f>'GREEN SHEET'!EV42</f>
        <v/>
      </c>
      <c r="AF42" s="80" t="str">
        <f>'GREEN SHEET'!FG42</f>
        <v/>
      </c>
      <c r="AG42" s="80" t="str">
        <f>'GREEN SHEET'!FH42</f>
        <v/>
      </c>
      <c r="AH42" s="80" t="str">
        <f>'GREEN SHEET'!FI42</f>
        <v/>
      </c>
      <c r="AI42" s="80" t="str">
        <f>'GREEN SHEET'!FJ42</f>
        <v/>
      </c>
      <c r="AJ42" s="529" t="str">
        <f t="shared" si="6"/>
        <v/>
      </c>
    </row>
    <row r="43" spans="1:36" ht="16.8" x14ac:dyDescent="0.3">
      <c r="A43" s="6"/>
      <c r="B43" s="512" t="str">
        <f>IF(DATA!B41&lt;&gt;0,DATA!B41,"")</f>
        <v/>
      </c>
      <c r="C43" s="82" t="str">
        <f>IF(DATA!C41="","",DATA!C41)</f>
        <v/>
      </c>
      <c r="D43" s="82" t="str">
        <f>IF(DATA!D41="","",DATA!D41)</f>
        <v/>
      </c>
      <c r="E43" s="739" t="str">
        <f>IF(DATA!E41="","",DATA!E41)</f>
        <v/>
      </c>
      <c r="F43" s="739" t="str">
        <f>IF(DATA!F41="","",DATA!F41)</f>
        <v/>
      </c>
      <c r="G43" s="77" t="str">
        <f>IF(ATTENDANCE!Q44="","",ATTENDANCE!Q44&amp;"/"&amp;ATTENDANCE!$Q$7)</f>
        <v/>
      </c>
      <c r="H43" s="77" t="str">
        <f>'GREEN SHEET'!EH43</f>
        <v/>
      </c>
      <c r="I43" s="77" t="str">
        <f>'GREEN SHEET'!EI43</f>
        <v/>
      </c>
      <c r="J43" s="77" t="str">
        <f>'GREEN SHEET'!EJ43</f>
        <v/>
      </c>
      <c r="K43" s="77" t="str">
        <f>'GREEN SHEET'!EK43</f>
        <v/>
      </c>
      <c r="L43" s="77" t="str">
        <f>IFERROR(ROUNDUP((#REF!/#REF!)*100,2)&amp;"%","")</f>
        <v/>
      </c>
      <c r="M43" s="77" t="str">
        <f>IF(C43="TC","",IF(K43="","",IF(OR(K43="COMPARTMENT",K43="FAIL"),"",(#REF!*100/#REF!))))</f>
        <v/>
      </c>
      <c r="N43" s="77" t="str">
        <f>'GREEN SHEET'!EN43</f>
        <v/>
      </c>
      <c r="O43" s="77" t="str">
        <f>IF(C43="","",IF(C43="TC","",IF(AND(#REF!&gt;=6,#REF!&gt;=26,#REF!&gt;=33),"",$O$5&amp;",")))</f>
        <v/>
      </c>
      <c r="P43" s="77" t="str">
        <f>IF(C43="","",IF(C43="TC","",IF(AND(#REF!&gt;=6.6,#REF!&gt;=16.5,#REF!&gt;=33),"",$P$5&amp;",")))</f>
        <v/>
      </c>
      <c r="Q43" s="77" t="str">
        <f>IF(C43="","",IF(C43="TC","",IF(AND(#REF!&gt;=25,#REF!&gt;=8,#REF!&gt;=33,#REF!&gt;=23),"",$Q$5&amp;",")))</f>
        <v/>
      </c>
      <c r="R43" s="77" t="str">
        <f>IF(C43="","",IF(C43="TC","",IF(AND(#REF!&gt;=25,#REF!&gt;=8,#REF!&gt;=33,#REF!&gt;=23),"",$R$5&amp;",")))</f>
        <v/>
      </c>
      <c r="S43" s="77" t="str">
        <f>IF(C43="","",IF(C43="TC","",IF(AND(#REF!&gt;=25,#REF!&gt;=8,#REF!&gt;=33,#REF!&gt;=23),"",$S$5&amp;",")))</f>
        <v/>
      </c>
      <c r="T43" s="77" t="str">
        <f>IF(C43="","",IF(C43="TC","",IF(AND(#REF!&gt;=25,#REF!&gt;=8,#REF!&gt;=33,#REF!&gt;=23),"",$T$5&amp;",")))</f>
        <v/>
      </c>
      <c r="U43" s="77" t="str">
        <f t="shared" si="1"/>
        <v/>
      </c>
      <c r="V43" s="77" t="e">
        <f>IF(#REF!="",O43,IF(V43&gt;=26,"",O43))</f>
        <v>#REF!</v>
      </c>
      <c r="W43" s="77" t="e">
        <f>IF(#REF!="",P43,IF(#REF!&gt;=26,"",P43))</f>
        <v>#REF!</v>
      </c>
      <c r="X43" s="77" t="e">
        <f>IF(#REF!="",Q43,IF(#REF!&gt;=12,"",Q43))</f>
        <v>#REF!</v>
      </c>
      <c r="Y43" s="77" t="e">
        <f>IF(#REF!="",R43,IF(#REF!&gt;=12,"",R43))</f>
        <v>#REF!</v>
      </c>
      <c r="Z43" s="77" t="e">
        <f>IF(#REF!="",S43,IF(#REF!&gt;=12,"",S43))</f>
        <v>#REF!</v>
      </c>
      <c r="AA43" s="77" t="e">
        <f>IF(#REF!="",T43,IF(#REF!&gt;=12,"",T43))</f>
        <v>#REF!</v>
      </c>
      <c r="AB43" s="77" t="str">
        <f t="shared" si="2"/>
        <v/>
      </c>
      <c r="AC43" s="77" t="str">
        <f t="shared" si="3"/>
        <v/>
      </c>
      <c r="AD43" s="77" t="str">
        <f t="shared" si="4"/>
        <v/>
      </c>
      <c r="AE43" s="77" t="str">
        <f>'GREEN SHEET'!EV43</f>
        <v/>
      </c>
      <c r="AF43" s="80" t="str">
        <f>'GREEN SHEET'!FG43</f>
        <v/>
      </c>
      <c r="AG43" s="80" t="str">
        <f>'GREEN SHEET'!FH43</f>
        <v/>
      </c>
      <c r="AH43" s="80" t="str">
        <f>'GREEN SHEET'!FI43</f>
        <v/>
      </c>
      <c r="AI43" s="80" t="str">
        <f>'GREEN SHEET'!FJ43</f>
        <v/>
      </c>
      <c r="AJ43" s="529" t="str">
        <f t="shared" si="6"/>
        <v/>
      </c>
    </row>
    <row r="44" spans="1:36" ht="16.8" x14ac:dyDescent="0.3">
      <c r="A44" s="6"/>
      <c r="B44" s="512" t="str">
        <f>IF(DATA!B42&lt;&gt;0,DATA!B42,"")</f>
        <v/>
      </c>
      <c r="C44" s="82" t="str">
        <f>IF(DATA!C42="","",DATA!C42)</f>
        <v/>
      </c>
      <c r="D44" s="82" t="str">
        <f>IF(DATA!D42="","",DATA!D42)</f>
        <v/>
      </c>
      <c r="E44" s="739" t="str">
        <f>IF(DATA!E42="","",DATA!E42)</f>
        <v/>
      </c>
      <c r="F44" s="739" t="str">
        <f>IF(DATA!F42="","",DATA!F42)</f>
        <v/>
      </c>
      <c r="G44" s="77" t="str">
        <f>IF(ATTENDANCE!Q45="","",ATTENDANCE!Q45&amp;"/"&amp;ATTENDANCE!$Q$7)</f>
        <v/>
      </c>
      <c r="H44" s="77" t="str">
        <f>'GREEN SHEET'!EH44</f>
        <v/>
      </c>
      <c r="I44" s="77" t="str">
        <f>'GREEN SHEET'!EI44</f>
        <v/>
      </c>
      <c r="J44" s="77" t="str">
        <f>'GREEN SHEET'!EJ44</f>
        <v/>
      </c>
      <c r="K44" s="77" t="str">
        <f>'GREEN SHEET'!EK44</f>
        <v/>
      </c>
      <c r="L44" s="77" t="str">
        <f>IFERROR(ROUNDUP((#REF!/#REF!)*100,2)&amp;"%","")</f>
        <v/>
      </c>
      <c r="M44" s="77" t="str">
        <f>IF(C44="TC","",IF(K44="","",IF(OR(K44="COMPARTMENT",K44="FAIL"),"",(#REF!*100/#REF!))))</f>
        <v/>
      </c>
      <c r="N44" s="77" t="str">
        <f>'GREEN SHEET'!EN44</f>
        <v/>
      </c>
      <c r="O44" s="77" t="str">
        <f>IF(C44="","",IF(C44="TC","",IF(AND(#REF!&gt;=6,#REF!&gt;=26,#REF!&gt;=33),"",$O$5&amp;",")))</f>
        <v/>
      </c>
      <c r="P44" s="77" t="str">
        <f>IF(C44="","",IF(C44="TC","",IF(AND(#REF!&gt;=6.6,#REF!&gt;=16.5,#REF!&gt;=33),"",$P$5&amp;",")))</f>
        <v/>
      </c>
      <c r="Q44" s="77" t="str">
        <f>IF(C44="","",IF(C44="TC","",IF(AND(#REF!&gt;=25,#REF!&gt;=8,#REF!&gt;=33,#REF!&gt;=23),"",$Q$5&amp;",")))</f>
        <v/>
      </c>
      <c r="R44" s="77" t="str">
        <f>IF(C44="","",IF(C44="TC","",IF(AND(#REF!&gt;=25,#REF!&gt;=8,#REF!&gt;=33,#REF!&gt;=23),"",$R$5&amp;",")))</f>
        <v/>
      </c>
      <c r="S44" s="77" t="str">
        <f>IF(C44="","",IF(C44="TC","",IF(AND(#REF!&gt;=25,#REF!&gt;=8,#REF!&gt;=33,#REF!&gt;=23),"",$S$5&amp;",")))</f>
        <v/>
      </c>
      <c r="T44" s="77" t="str">
        <f>IF(C44="","",IF(C44="TC","",IF(AND(#REF!&gt;=25,#REF!&gt;=8,#REF!&gt;=33,#REF!&gt;=23),"",$T$5&amp;",")))</f>
        <v/>
      </c>
      <c r="U44" s="77" t="str">
        <f t="shared" si="1"/>
        <v/>
      </c>
      <c r="V44" s="77" t="e">
        <f>IF(#REF!="",O44,IF(V44&gt;=26,"",O44))</f>
        <v>#REF!</v>
      </c>
      <c r="W44" s="77" t="e">
        <f>IF(#REF!="",P44,IF(#REF!&gt;=26,"",P44))</f>
        <v>#REF!</v>
      </c>
      <c r="X44" s="77" t="e">
        <f>IF(#REF!="",Q44,IF(#REF!&gt;=12,"",Q44))</f>
        <v>#REF!</v>
      </c>
      <c r="Y44" s="77" t="e">
        <f>IF(#REF!="",R44,IF(#REF!&gt;=12,"",R44))</f>
        <v>#REF!</v>
      </c>
      <c r="Z44" s="77" t="e">
        <f>IF(#REF!="",S44,IF(#REF!&gt;=12,"",S44))</f>
        <v>#REF!</v>
      </c>
      <c r="AA44" s="77" t="e">
        <f>IF(#REF!="",T44,IF(#REF!&gt;=12,"",T44))</f>
        <v>#REF!</v>
      </c>
      <c r="AB44" s="77" t="str">
        <f t="shared" si="2"/>
        <v/>
      </c>
      <c r="AC44" s="77" t="str">
        <f t="shared" si="3"/>
        <v/>
      </c>
      <c r="AD44" s="77" t="str">
        <f t="shared" si="4"/>
        <v/>
      </c>
      <c r="AE44" s="77" t="str">
        <f>'GREEN SHEET'!EV44</f>
        <v/>
      </c>
      <c r="AF44" s="80" t="str">
        <f>'GREEN SHEET'!FG44</f>
        <v/>
      </c>
      <c r="AG44" s="80" t="str">
        <f>'GREEN SHEET'!FH44</f>
        <v/>
      </c>
      <c r="AH44" s="80" t="str">
        <f>'GREEN SHEET'!FI44</f>
        <v/>
      </c>
      <c r="AI44" s="80" t="str">
        <f>'GREEN SHEET'!FJ44</f>
        <v/>
      </c>
      <c r="AJ44" s="529" t="str">
        <f t="shared" si="6"/>
        <v/>
      </c>
    </row>
    <row r="45" spans="1:36" ht="16.8" x14ac:dyDescent="0.3">
      <c r="A45" s="6"/>
      <c r="B45" s="512" t="str">
        <f>IF(DATA!B43&lt;&gt;0,DATA!B43,"")</f>
        <v/>
      </c>
      <c r="C45" s="82" t="str">
        <f>IF(DATA!C43="","",DATA!C43)</f>
        <v/>
      </c>
      <c r="D45" s="82" t="str">
        <f>IF(DATA!D43="","",DATA!D43)</f>
        <v/>
      </c>
      <c r="E45" s="739" t="str">
        <f>IF(DATA!E43="","",DATA!E43)</f>
        <v/>
      </c>
      <c r="F45" s="739" t="str">
        <f>IF(DATA!F43="","",DATA!F43)</f>
        <v/>
      </c>
      <c r="G45" s="77" t="str">
        <f>IF(ATTENDANCE!Q46="","",ATTENDANCE!Q46&amp;"/"&amp;ATTENDANCE!$Q$7)</f>
        <v/>
      </c>
      <c r="H45" s="77" t="str">
        <f>'GREEN SHEET'!EH45</f>
        <v/>
      </c>
      <c r="I45" s="77" t="str">
        <f>'GREEN SHEET'!EI45</f>
        <v/>
      </c>
      <c r="J45" s="77" t="str">
        <f>'GREEN SHEET'!EJ45</f>
        <v/>
      </c>
      <c r="K45" s="77" t="str">
        <f>'GREEN SHEET'!EK45</f>
        <v/>
      </c>
      <c r="L45" s="77" t="str">
        <f>IFERROR(ROUNDUP((#REF!/#REF!)*100,2)&amp;"%","")</f>
        <v/>
      </c>
      <c r="M45" s="77" t="str">
        <f>IF(C45="TC","",IF(K45="","",IF(OR(K45="COMPARTMENT",K45="FAIL"),"",(#REF!*100/#REF!))))</f>
        <v/>
      </c>
      <c r="N45" s="77" t="str">
        <f>'GREEN SHEET'!EN45</f>
        <v/>
      </c>
      <c r="O45" s="77" t="str">
        <f>IF(C45="","",IF(C45="TC","",IF(AND(#REF!&gt;=6,#REF!&gt;=26,#REF!&gt;=33),"",$O$5&amp;",")))</f>
        <v/>
      </c>
      <c r="P45" s="77" t="str">
        <f>IF(C45="","",IF(C45="TC","",IF(AND(#REF!&gt;=6.6,#REF!&gt;=16.5,#REF!&gt;=33),"",$P$5&amp;",")))</f>
        <v/>
      </c>
      <c r="Q45" s="77" t="str">
        <f>IF(C45="","",IF(C45="TC","",IF(AND(#REF!&gt;=25,#REF!&gt;=8,#REF!&gt;=33,#REF!&gt;=23),"",$Q$5&amp;",")))</f>
        <v/>
      </c>
      <c r="R45" s="77" t="str">
        <f>IF(C45="","",IF(C45="TC","",IF(AND(#REF!&gt;=25,#REF!&gt;=8,#REF!&gt;=33,#REF!&gt;=23),"",$R$5&amp;",")))</f>
        <v/>
      </c>
      <c r="S45" s="77" t="str">
        <f>IF(C45="","",IF(C45="TC","",IF(AND(#REF!&gt;=25,#REF!&gt;=8,#REF!&gt;=33,#REF!&gt;=23),"",$S$5&amp;",")))</f>
        <v/>
      </c>
      <c r="T45" s="77" t="str">
        <f>IF(C45="","",IF(C45="TC","",IF(AND(#REF!&gt;=25,#REF!&gt;=8,#REF!&gt;=33,#REF!&gt;=23),"",$T$5&amp;",")))</f>
        <v/>
      </c>
      <c r="U45" s="77" t="str">
        <f t="shared" si="1"/>
        <v/>
      </c>
      <c r="V45" s="77" t="e">
        <f>IF(#REF!="",O45,IF(V45&gt;=26,"",O45))</f>
        <v>#REF!</v>
      </c>
      <c r="W45" s="77" t="e">
        <f>IF(#REF!="",P45,IF(#REF!&gt;=26,"",P45))</f>
        <v>#REF!</v>
      </c>
      <c r="X45" s="77" t="e">
        <f>IF(#REF!="",Q45,IF(#REF!&gt;=12,"",Q45))</f>
        <v>#REF!</v>
      </c>
      <c r="Y45" s="77" t="e">
        <f>IF(#REF!="",R45,IF(#REF!&gt;=12,"",R45))</f>
        <v>#REF!</v>
      </c>
      <c r="Z45" s="77" t="e">
        <f>IF(#REF!="",S45,IF(#REF!&gt;=12,"",S45))</f>
        <v>#REF!</v>
      </c>
      <c r="AA45" s="77" t="e">
        <f>IF(#REF!="",T45,IF(#REF!&gt;=12,"",T45))</f>
        <v>#REF!</v>
      </c>
      <c r="AB45" s="77" t="str">
        <f t="shared" si="2"/>
        <v/>
      </c>
      <c r="AC45" s="77" t="str">
        <f t="shared" si="3"/>
        <v/>
      </c>
      <c r="AD45" s="77" t="str">
        <f t="shared" si="4"/>
        <v/>
      </c>
      <c r="AE45" s="77" t="str">
        <f>'GREEN SHEET'!EV45</f>
        <v/>
      </c>
      <c r="AF45" s="80" t="str">
        <f>'GREEN SHEET'!FG45</f>
        <v/>
      </c>
      <c r="AG45" s="80" t="str">
        <f>'GREEN SHEET'!FH45</f>
        <v/>
      </c>
      <c r="AH45" s="80" t="str">
        <f>'GREEN SHEET'!FI45</f>
        <v/>
      </c>
      <c r="AI45" s="80" t="str">
        <f>'GREEN SHEET'!FJ45</f>
        <v/>
      </c>
      <c r="AJ45" s="529" t="str">
        <f t="shared" si="6"/>
        <v/>
      </c>
    </row>
    <row r="46" spans="1:36" ht="16.8" x14ac:dyDescent="0.3">
      <c r="A46" s="6"/>
      <c r="B46" s="512" t="str">
        <f>IF(DATA!B44&lt;&gt;0,DATA!B44,"")</f>
        <v/>
      </c>
      <c r="C46" s="82" t="str">
        <f>IF(DATA!C44="","",DATA!C44)</f>
        <v/>
      </c>
      <c r="D46" s="82" t="str">
        <f>IF(DATA!D44="","",DATA!D44)</f>
        <v/>
      </c>
      <c r="E46" s="739" t="str">
        <f>IF(DATA!E44="","",DATA!E44)</f>
        <v/>
      </c>
      <c r="F46" s="739" t="str">
        <f>IF(DATA!F44="","",DATA!F44)</f>
        <v/>
      </c>
      <c r="G46" s="77" t="str">
        <f>IF(ATTENDANCE!Q47="","",ATTENDANCE!Q47&amp;"/"&amp;ATTENDANCE!$Q$7)</f>
        <v/>
      </c>
      <c r="H46" s="77" t="str">
        <f>'GREEN SHEET'!EH46</f>
        <v/>
      </c>
      <c r="I46" s="77" t="str">
        <f>'GREEN SHEET'!EI46</f>
        <v/>
      </c>
      <c r="J46" s="77" t="str">
        <f>'GREEN SHEET'!EJ46</f>
        <v/>
      </c>
      <c r="K46" s="77" t="str">
        <f>'GREEN SHEET'!EK46</f>
        <v/>
      </c>
      <c r="L46" s="77" t="str">
        <f>IFERROR(ROUNDUP((#REF!/#REF!)*100,2)&amp;"%","")</f>
        <v/>
      </c>
      <c r="M46" s="77" t="str">
        <f>IF(C46="TC","",IF(K46="","",IF(OR(K46="COMPARTMENT",K46="FAIL"),"",(#REF!*100/#REF!))))</f>
        <v/>
      </c>
      <c r="N46" s="77" t="str">
        <f>'GREEN SHEET'!EN46</f>
        <v/>
      </c>
      <c r="O46" s="77" t="str">
        <f>IF(C46="","",IF(C46="TC","",IF(AND(#REF!&gt;=6,#REF!&gt;=26,#REF!&gt;=33),"",$O$5&amp;",")))</f>
        <v/>
      </c>
      <c r="P46" s="77" t="str">
        <f>IF(C46="","",IF(C46="TC","",IF(AND(#REF!&gt;=6.6,#REF!&gt;=16.5,#REF!&gt;=33),"",$P$5&amp;",")))</f>
        <v/>
      </c>
      <c r="Q46" s="77" t="str">
        <f>IF(C46="","",IF(C46="TC","",IF(AND(#REF!&gt;=25,#REF!&gt;=8,#REF!&gt;=33,#REF!&gt;=23),"",$Q$5&amp;",")))</f>
        <v/>
      </c>
      <c r="R46" s="77" t="str">
        <f>IF(C46="","",IF(C46="TC","",IF(AND(#REF!&gt;=25,#REF!&gt;=8,#REF!&gt;=33,#REF!&gt;=23),"",$R$5&amp;",")))</f>
        <v/>
      </c>
      <c r="S46" s="77" t="str">
        <f>IF(C46="","",IF(C46="TC","",IF(AND(#REF!&gt;=25,#REF!&gt;=8,#REF!&gt;=33,#REF!&gt;=23),"",$S$5&amp;",")))</f>
        <v/>
      </c>
      <c r="T46" s="77" t="str">
        <f>IF(C46="","",IF(C46="TC","",IF(AND(#REF!&gt;=25,#REF!&gt;=8,#REF!&gt;=33,#REF!&gt;=23),"",$T$5&amp;",")))</f>
        <v/>
      </c>
      <c r="U46" s="77" t="str">
        <f t="shared" si="1"/>
        <v/>
      </c>
      <c r="V46" s="77" t="e">
        <f>IF(#REF!="",O46,IF(V46&gt;=26,"",O46))</f>
        <v>#REF!</v>
      </c>
      <c r="W46" s="77" t="e">
        <f>IF(#REF!="",P46,IF(#REF!&gt;=26,"",P46))</f>
        <v>#REF!</v>
      </c>
      <c r="X46" s="77" t="e">
        <f>IF(#REF!="",Q46,IF(#REF!&gt;=12,"",Q46))</f>
        <v>#REF!</v>
      </c>
      <c r="Y46" s="77" t="e">
        <f>IF(#REF!="",R46,IF(#REF!&gt;=12,"",R46))</f>
        <v>#REF!</v>
      </c>
      <c r="Z46" s="77" t="e">
        <f>IF(#REF!="",S46,IF(#REF!&gt;=12,"",S46))</f>
        <v>#REF!</v>
      </c>
      <c r="AA46" s="77" t="e">
        <f>IF(#REF!="",T46,IF(#REF!&gt;=12,"",T46))</f>
        <v>#REF!</v>
      </c>
      <c r="AB46" s="77" t="str">
        <f t="shared" si="2"/>
        <v/>
      </c>
      <c r="AC46" s="77" t="str">
        <f t="shared" si="3"/>
        <v/>
      </c>
      <c r="AD46" s="77" t="str">
        <f t="shared" si="4"/>
        <v/>
      </c>
      <c r="AE46" s="77" t="str">
        <f>'GREEN SHEET'!EV46</f>
        <v/>
      </c>
      <c r="AF46" s="80" t="str">
        <f>'GREEN SHEET'!FG46</f>
        <v/>
      </c>
      <c r="AG46" s="80" t="str">
        <f>'GREEN SHEET'!FH46</f>
        <v/>
      </c>
      <c r="AH46" s="80" t="str">
        <f>'GREEN SHEET'!FI46</f>
        <v/>
      </c>
      <c r="AI46" s="80" t="str">
        <f>'GREEN SHEET'!FJ46</f>
        <v/>
      </c>
      <c r="AJ46" s="529" t="str">
        <f t="shared" si="6"/>
        <v/>
      </c>
    </row>
    <row r="47" spans="1:36" ht="16.8" x14ac:dyDescent="0.3">
      <c r="A47" s="6"/>
      <c r="B47" s="512" t="str">
        <f>IF(DATA!B45&lt;&gt;0,DATA!B45,"")</f>
        <v/>
      </c>
      <c r="C47" s="82" t="str">
        <f>IF(DATA!C45="","",DATA!C45)</f>
        <v/>
      </c>
      <c r="D47" s="82" t="str">
        <f>IF(DATA!D45="","",DATA!D45)</f>
        <v/>
      </c>
      <c r="E47" s="739" t="str">
        <f>IF(DATA!E45="","",DATA!E45)</f>
        <v/>
      </c>
      <c r="F47" s="739" t="str">
        <f>IF(DATA!F45="","",DATA!F45)</f>
        <v/>
      </c>
      <c r="G47" s="77" t="str">
        <f>IF(ATTENDANCE!Q48="","",ATTENDANCE!Q48&amp;"/"&amp;ATTENDANCE!$Q$7)</f>
        <v/>
      </c>
      <c r="H47" s="77" t="str">
        <f>'GREEN SHEET'!EH47</f>
        <v/>
      </c>
      <c r="I47" s="77" t="str">
        <f>'GREEN SHEET'!EI47</f>
        <v/>
      </c>
      <c r="J47" s="77" t="str">
        <f>'GREEN SHEET'!EJ47</f>
        <v/>
      </c>
      <c r="K47" s="77" t="str">
        <f>'GREEN SHEET'!EK47</f>
        <v/>
      </c>
      <c r="L47" s="77" t="str">
        <f>IFERROR(ROUNDUP((#REF!/#REF!)*100,2)&amp;"%","")</f>
        <v/>
      </c>
      <c r="M47" s="77" t="str">
        <f>IF(C47="TC","",IF(K47="","",IF(OR(K47="COMPARTMENT",K47="FAIL"),"",(#REF!*100/#REF!))))</f>
        <v/>
      </c>
      <c r="N47" s="77" t="str">
        <f>'GREEN SHEET'!EN47</f>
        <v/>
      </c>
      <c r="O47" s="77" t="str">
        <f>IF(C47="","",IF(C47="TC","",IF(AND(#REF!&gt;=6,#REF!&gt;=26,#REF!&gt;=33),"",$O$5&amp;",")))</f>
        <v/>
      </c>
      <c r="P47" s="77" t="str">
        <f>IF(C47="","",IF(C47="TC","",IF(AND(#REF!&gt;=6.6,#REF!&gt;=16.5,#REF!&gt;=33),"",$P$5&amp;",")))</f>
        <v/>
      </c>
      <c r="Q47" s="77" t="str">
        <f>IF(C47="","",IF(C47="TC","",IF(AND(#REF!&gt;=25,#REF!&gt;=8,#REF!&gt;=33,#REF!&gt;=23),"",$Q$5&amp;",")))</f>
        <v/>
      </c>
      <c r="R47" s="77" t="str">
        <f>IF(C47="","",IF(C47="TC","",IF(AND(#REF!&gt;=25,#REF!&gt;=8,#REF!&gt;=33,#REF!&gt;=23),"",$R$5&amp;",")))</f>
        <v/>
      </c>
      <c r="S47" s="77" t="str">
        <f>IF(C47="","",IF(C47="TC","",IF(AND(#REF!&gt;=25,#REF!&gt;=8,#REF!&gt;=33,#REF!&gt;=23),"",$S$5&amp;",")))</f>
        <v/>
      </c>
      <c r="T47" s="77" t="str">
        <f>IF(C47="","",IF(C47="TC","",IF(AND(#REF!&gt;=25,#REF!&gt;=8,#REF!&gt;=33,#REF!&gt;=23),"",$T$5&amp;",")))</f>
        <v/>
      </c>
      <c r="U47" s="77" t="str">
        <f t="shared" si="1"/>
        <v/>
      </c>
      <c r="V47" s="77" t="e">
        <f>IF(#REF!="",O47,IF(V47&gt;=26,"",O47))</f>
        <v>#REF!</v>
      </c>
      <c r="W47" s="77" t="e">
        <f>IF(#REF!="",P47,IF(#REF!&gt;=26,"",P47))</f>
        <v>#REF!</v>
      </c>
      <c r="X47" s="77" t="e">
        <f>IF(#REF!="",Q47,IF(#REF!&gt;=12,"",Q47))</f>
        <v>#REF!</v>
      </c>
      <c r="Y47" s="77" t="e">
        <f>IF(#REF!="",R47,IF(#REF!&gt;=12,"",R47))</f>
        <v>#REF!</v>
      </c>
      <c r="Z47" s="77" t="e">
        <f>IF(#REF!="",S47,IF(#REF!&gt;=12,"",S47))</f>
        <v>#REF!</v>
      </c>
      <c r="AA47" s="77" t="e">
        <f>IF(#REF!="",T47,IF(#REF!&gt;=12,"",T47))</f>
        <v>#REF!</v>
      </c>
      <c r="AB47" s="77" t="str">
        <f t="shared" si="2"/>
        <v/>
      </c>
      <c r="AC47" s="77" t="str">
        <f t="shared" si="3"/>
        <v/>
      </c>
      <c r="AD47" s="77" t="str">
        <f t="shared" si="4"/>
        <v/>
      </c>
      <c r="AE47" s="77" t="str">
        <f>'GREEN SHEET'!EV47</f>
        <v/>
      </c>
      <c r="AF47" s="80" t="str">
        <f>'GREEN SHEET'!FG47</f>
        <v/>
      </c>
      <c r="AG47" s="80" t="str">
        <f>'GREEN SHEET'!FH47</f>
        <v/>
      </c>
      <c r="AH47" s="80" t="str">
        <f>'GREEN SHEET'!FI47</f>
        <v/>
      </c>
      <c r="AI47" s="80" t="str">
        <f>'GREEN SHEET'!FJ47</f>
        <v/>
      </c>
      <c r="AJ47" s="529" t="str">
        <f t="shared" si="6"/>
        <v/>
      </c>
    </row>
    <row r="48" spans="1:36" ht="16.8" x14ac:dyDescent="0.3">
      <c r="A48" s="6"/>
      <c r="B48" s="512" t="str">
        <f>IF(DATA!B46&lt;&gt;0,DATA!B46,"")</f>
        <v/>
      </c>
      <c r="C48" s="82" t="str">
        <f>IF(DATA!C46="","",DATA!C46)</f>
        <v/>
      </c>
      <c r="D48" s="82" t="str">
        <f>IF(DATA!D46="","",DATA!D46)</f>
        <v/>
      </c>
      <c r="E48" s="739" t="str">
        <f>IF(DATA!E46="","",DATA!E46)</f>
        <v/>
      </c>
      <c r="F48" s="739" t="str">
        <f>IF(DATA!F46="","",DATA!F46)</f>
        <v/>
      </c>
      <c r="G48" s="77" t="str">
        <f>IF(ATTENDANCE!Q49="","",ATTENDANCE!Q49&amp;"/"&amp;ATTENDANCE!$Q$7)</f>
        <v/>
      </c>
      <c r="H48" s="77" t="str">
        <f>'GREEN SHEET'!EH48</f>
        <v/>
      </c>
      <c r="I48" s="77" t="str">
        <f>'GREEN SHEET'!EI48</f>
        <v/>
      </c>
      <c r="J48" s="77" t="str">
        <f>'GREEN SHEET'!EJ48</f>
        <v/>
      </c>
      <c r="K48" s="77" t="str">
        <f>'GREEN SHEET'!EK48</f>
        <v/>
      </c>
      <c r="L48" s="77" t="str">
        <f>IFERROR(ROUNDUP((#REF!/#REF!)*100,2)&amp;"%","")</f>
        <v/>
      </c>
      <c r="M48" s="77" t="str">
        <f>IF(C48="TC","",IF(K48="","",IF(OR(K48="COMPARTMENT",K48="FAIL"),"",(#REF!*100/#REF!))))</f>
        <v/>
      </c>
      <c r="N48" s="77" t="str">
        <f>'GREEN SHEET'!EN48</f>
        <v/>
      </c>
      <c r="O48" s="77" t="str">
        <f>IF(C48="","",IF(C48="TC","",IF(AND(#REF!&gt;=6,#REF!&gt;=26,#REF!&gt;=33),"",$O$5&amp;",")))</f>
        <v/>
      </c>
      <c r="P48" s="77" t="str">
        <f>IF(C48="","",IF(C48="TC","",IF(AND(#REF!&gt;=6.6,#REF!&gt;=16.5,#REF!&gt;=33),"",$P$5&amp;",")))</f>
        <v/>
      </c>
      <c r="Q48" s="77" t="str">
        <f>IF(C48="","",IF(C48="TC","",IF(AND(#REF!&gt;=25,#REF!&gt;=8,#REF!&gt;=33,#REF!&gt;=23),"",$Q$5&amp;",")))</f>
        <v/>
      </c>
      <c r="R48" s="77" t="str">
        <f>IF(C48="","",IF(C48="TC","",IF(AND(#REF!&gt;=25,#REF!&gt;=8,#REF!&gt;=33,#REF!&gt;=23),"",$R$5&amp;",")))</f>
        <v/>
      </c>
      <c r="S48" s="77" t="str">
        <f>IF(C48="","",IF(C48="TC","",IF(AND(#REF!&gt;=25,#REF!&gt;=8,#REF!&gt;=33,#REF!&gt;=23),"",$S$5&amp;",")))</f>
        <v/>
      </c>
      <c r="T48" s="77" t="str">
        <f>IF(C48="","",IF(C48="TC","",IF(AND(#REF!&gt;=25,#REF!&gt;=8,#REF!&gt;=33,#REF!&gt;=23),"",$T$5&amp;",")))</f>
        <v/>
      </c>
      <c r="U48" s="77" t="str">
        <f t="shared" si="1"/>
        <v/>
      </c>
      <c r="V48" s="77" t="e">
        <f>IF(#REF!="",O48,IF(V48&gt;=26,"",O48))</f>
        <v>#REF!</v>
      </c>
      <c r="W48" s="77" t="e">
        <f>IF(#REF!="",P48,IF(#REF!&gt;=26,"",P48))</f>
        <v>#REF!</v>
      </c>
      <c r="X48" s="77" t="e">
        <f>IF(#REF!="",Q48,IF(#REF!&gt;=12,"",Q48))</f>
        <v>#REF!</v>
      </c>
      <c r="Y48" s="77" t="e">
        <f>IF(#REF!="",R48,IF(#REF!&gt;=12,"",R48))</f>
        <v>#REF!</v>
      </c>
      <c r="Z48" s="77" t="e">
        <f>IF(#REF!="",S48,IF(#REF!&gt;=12,"",S48))</f>
        <v>#REF!</v>
      </c>
      <c r="AA48" s="77" t="e">
        <f>IF(#REF!="",T48,IF(#REF!&gt;=12,"",T48))</f>
        <v>#REF!</v>
      </c>
      <c r="AB48" s="77" t="str">
        <f t="shared" si="2"/>
        <v/>
      </c>
      <c r="AC48" s="77" t="str">
        <f t="shared" si="3"/>
        <v/>
      </c>
      <c r="AD48" s="77" t="str">
        <f t="shared" si="4"/>
        <v/>
      </c>
      <c r="AE48" s="77" t="str">
        <f>'GREEN SHEET'!EV48</f>
        <v/>
      </c>
      <c r="AF48" s="80" t="str">
        <f>'GREEN SHEET'!FG48</f>
        <v/>
      </c>
      <c r="AG48" s="80" t="str">
        <f>'GREEN SHEET'!FH48</f>
        <v/>
      </c>
      <c r="AH48" s="80" t="str">
        <f>'GREEN SHEET'!FI48</f>
        <v/>
      </c>
      <c r="AI48" s="80" t="str">
        <f>'GREEN SHEET'!FJ48</f>
        <v/>
      </c>
      <c r="AJ48" s="529" t="str">
        <f t="shared" si="6"/>
        <v/>
      </c>
    </row>
    <row r="49" spans="1:37" ht="16.8" x14ac:dyDescent="0.3">
      <c r="A49" s="6"/>
      <c r="B49" s="512" t="str">
        <f>IF(DATA!B47&lt;&gt;0,DATA!B47,"")</f>
        <v/>
      </c>
      <c r="C49" s="82" t="str">
        <f>IF(DATA!C47="","",DATA!C47)</f>
        <v/>
      </c>
      <c r="D49" s="82" t="str">
        <f>IF(DATA!D47="","",DATA!D47)</f>
        <v/>
      </c>
      <c r="E49" s="739" t="str">
        <f>IF(DATA!E47="","",DATA!E47)</f>
        <v/>
      </c>
      <c r="F49" s="739" t="str">
        <f>IF(DATA!F47="","",DATA!F47)</f>
        <v/>
      </c>
      <c r="G49" s="77" t="str">
        <f>IF(ATTENDANCE!Q50="","",ATTENDANCE!Q50&amp;"/"&amp;ATTENDANCE!$Q$7)</f>
        <v/>
      </c>
      <c r="H49" s="77" t="str">
        <f>'GREEN SHEET'!EH49</f>
        <v/>
      </c>
      <c r="I49" s="77" t="str">
        <f>'GREEN SHEET'!EI49</f>
        <v/>
      </c>
      <c r="J49" s="77" t="str">
        <f>'GREEN SHEET'!EJ49</f>
        <v/>
      </c>
      <c r="K49" s="77" t="str">
        <f>'GREEN SHEET'!EK49</f>
        <v/>
      </c>
      <c r="L49" s="77" t="str">
        <f>IFERROR(ROUNDUP((#REF!/#REF!)*100,2)&amp;"%","")</f>
        <v/>
      </c>
      <c r="M49" s="77" t="str">
        <f>IF(C49="TC","",IF(K49="","",IF(OR(K49="COMPARTMENT",K49="FAIL"),"",(#REF!*100/#REF!))))</f>
        <v/>
      </c>
      <c r="N49" s="77" t="str">
        <f>'GREEN SHEET'!EN49</f>
        <v/>
      </c>
      <c r="O49" s="77" t="str">
        <f>IF(C49="","",IF(C49="TC","",IF(AND(#REF!&gt;=6,#REF!&gt;=26,#REF!&gt;=33),"",$O$5&amp;",")))</f>
        <v/>
      </c>
      <c r="P49" s="77" t="str">
        <f>IF(C49="","",IF(C49="TC","",IF(AND(#REF!&gt;=6.6,#REF!&gt;=16.5,#REF!&gt;=33),"",$P$5&amp;",")))</f>
        <v/>
      </c>
      <c r="Q49" s="77" t="str">
        <f>IF(C49="","",IF(C49="TC","",IF(AND(#REF!&gt;=25,#REF!&gt;=8,#REF!&gt;=33,#REF!&gt;=23),"",$Q$5&amp;",")))</f>
        <v/>
      </c>
      <c r="R49" s="77" t="str">
        <f>IF(C49="","",IF(C49="TC","",IF(AND(#REF!&gt;=25,#REF!&gt;=8,#REF!&gt;=33,#REF!&gt;=23),"",$R$5&amp;",")))</f>
        <v/>
      </c>
      <c r="S49" s="77" t="str">
        <f>IF(C49="","",IF(C49="TC","",IF(AND(#REF!&gt;=25,#REF!&gt;=8,#REF!&gt;=33,#REF!&gt;=23),"",$S$5&amp;",")))</f>
        <v/>
      </c>
      <c r="T49" s="77" t="str">
        <f>IF(C49="","",IF(C49="TC","",IF(AND(#REF!&gt;=25,#REF!&gt;=8,#REF!&gt;=33,#REF!&gt;=23),"",$T$5&amp;",")))</f>
        <v/>
      </c>
      <c r="U49" s="77" t="str">
        <f t="shared" si="1"/>
        <v/>
      </c>
      <c r="V49" s="77" t="e">
        <f>IF(#REF!="",O49,IF(V49&gt;=26,"",O49))</f>
        <v>#REF!</v>
      </c>
      <c r="W49" s="77" t="e">
        <f>IF(#REF!="",P49,IF(#REF!&gt;=26,"",P49))</f>
        <v>#REF!</v>
      </c>
      <c r="X49" s="77" t="e">
        <f>IF(#REF!="",Q49,IF(#REF!&gt;=12,"",Q49))</f>
        <v>#REF!</v>
      </c>
      <c r="Y49" s="77" t="e">
        <f>IF(#REF!="",R49,IF(#REF!&gt;=12,"",R49))</f>
        <v>#REF!</v>
      </c>
      <c r="Z49" s="77" t="e">
        <f>IF(#REF!="",S49,IF(#REF!&gt;=12,"",S49))</f>
        <v>#REF!</v>
      </c>
      <c r="AA49" s="77" t="e">
        <f>IF(#REF!="",T49,IF(#REF!&gt;=12,"",T49))</f>
        <v>#REF!</v>
      </c>
      <c r="AB49" s="77" t="str">
        <f t="shared" si="2"/>
        <v/>
      </c>
      <c r="AC49" s="77" t="str">
        <f t="shared" si="3"/>
        <v/>
      </c>
      <c r="AD49" s="77" t="str">
        <f t="shared" si="4"/>
        <v/>
      </c>
      <c r="AE49" s="77" t="str">
        <f>'GREEN SHEET'!EV49</f>
        <v/>
      </c>
      <c r="AF49" s="80" t="str">
        <f>'GREEN SHEET'!FG49</f>
        <v/>
      </c>
      <c r="AG49" s="80" t="str">
        <f>'GREEN SHEET'!FH49</f>
        <v/>
      </c>
      <c r="AH49" s="80" t="str">
        <f>'GREEN SHEET'!FI49</f>
        <v/>
      </c>
      <c r="AI49" s="80" t="str">
        <f>'GREEN SHEET'!FJ49</f>
        <v/>
      </c>
      <c r="AJ49" s="529" t="str">
        <f t="shared" si="6"/>
        <v/>
      </c>
    </row>
    <row r="50" spans="1:37" ht="16.8" x14ac:dyDescent="0.3">
      <c r="A50" s="6"/>
      <c r="B50" s="512" t="str">
        <f>IF(DATA!B48&lt;&gt;0,DATA!B48,"")</f>
        <v/>
      </c>
      <c r="C50" s="82" t="str">
        <f>IF(DATA!C48="","",DATA!C48)</f>
        <v/>
      </c>
      <c r="D50" s="82" t="str">
        <f>IF(DATA!D48="","",DATA!D48)</f>
        <v/>
      </c>
      <c r="E50" s="739" t="str">
        <f>IF(DATA!E48="","",DATA!E48)</f>
        <v/>
      </c>
      <c r="F50" s="739" t="str">
        <f>IF(DATA!F48="","",DATA!F48)</f>
        <v/>
      </c>
      <c r="G50" s="77" t="str">
        <f>IF(ATTENDANCE!Q51="","",ATTENDANCE!Q51&amp;"/"&amp;ATTENDANCE!$Q$7)</f>
        <v/>
      </c>
      <c r="H50" s="77" t="str">
        <f>'GREEN SHEET'!EH50</f>
        <v/>
      </c>
      <c r="I50" s="77" t="str">
        <f>'GREEN SHEET'!EI50</f>
        <v/>
      </c>
      <c r="J50" s="77" t="str">
        <f>'GREEN SHEET'!EJ50</f>
        <v/>
      </c>
      <c r="K50" s="77" t="str">
        <f>'GREEN SHEET'!EK50</f>
        <v/>
      </c>
      <c r="L50" s="77" t="str">
        <f>IFERROR(ROUNDUP((#REF!/#REF!)*100,2)&amp;"%","")</f>
        <v/>
      </c>
      <c r="M50" s="77" t="str">
        <f>IF(C50="TC","",IF(K50="","",IF(OR(K50="COMPARTMENT",K50="FAIL"),"",(#REF!*100/#REF!))))</f>
        <v/>
      </c>
      <c r="N50" s="77" t="str">
        <f>'GREEN SHEET'!EN50</f>
        <v/>
      </c>
      <c r="O50" s="77" t="str">
        <f>IF(C50="","",IF(C50="TC","",IF(AND(#REF!&gt;=6,#REF!&gt;=26,#REF!&gt;=33),"",$O$5&amp;",")))</f>
        <v/>
      </c>
      <c r="P50" s="77" t="str">
        <f>IF(C50="","",IF(C50="TC","",IF(AND(#REF!&gt;=6.6,#REF!&gt;=16.5,#REF!&gt;=33),"",$P$5&amp;",")))</f>
        <v/>
      </c>
      <c r="Q50" s="77" t="str">
        <f>IF(C50="","",IF(C50="TC","",IF(AND(#REF!&gt;=25,#REF!&gt;=8,#REF!&gt;=33,#REF!&gt;=23),"",$Q$5&amp;",")))</f>
        <v/>
      </c>
      <c r="R50" s="77" t="str">
        <f>IF(C50="","",IF(C50="TC","",IF(AND(#REF!&gt;=25,#REF!&gt;=8,#REF!&gt;=33,#REF!&gt;=23),"",$R$5&amp;",")))</f>
        <v/>
      </c>
      <c r="S50" s="77" t="str">
        <f>IF(C50="","",IF(C50="TC","",IF(AND(#REF!&gt;=25,#REF!&gt;=8,#REF!&gt;=33,#REF!&gt;=23),"",$S$5&amp;",")))</f>
        <v/>
      </c>
      <c r="T50" s="77" t="str">
        <f>IF(C50="","",IF(C50="TC","",IF(AND(#REF!&gt;=25,#REF!&gt;=8,#REF!&gt;=33,#REF!&gt;=23),"",$T$5&amp;",")))</f>
        <v/>
      </c>
      <c r="U50" s="77" t="str">
        <f t="shared" si="1"/>
        <v/>
      </c>
      <c r="V50" s="77" t="e">
        <f>IF(#REF!="",O50,IF(V50&gt;=26,"",O50))</f>
        <v>#REF!</v>
      </c>
      <c r="W50" s="77" t="e">
        <f>IF(#REF!="",P50,IF(#REF!&gt;=26,"",P50))</f>
        <v>#REF!</v>
      </c>
      <c r="X50" s="77" t="e">
        <f>IF(#REF!="",Q50,IF(#REF!&gt;=12,"",Q50))</f>
        <v>#REF!</v>
      </c>
      <c r="Y50" s="77" t="e">
        <f>IF(#REF!="",R50,IF(#REF!&gt;=12,"",R50))</f>
        <v>#REF!</v>
      </c>
      <c r="Z50" s="77" t="e">
        <f>IF(#REF!="",S50,IF(#REF!&gt;=12,"",S50))</f>
        <v>#REF!</v>
      </c>
      <c r="AA50" s="77" t="e">
        <f>IF(#REF!="",T50,IF(#REF!&gt;=12,"",T50))</f>
        <v>#REF!</v>
      </c>
      <c r="AB50" s="77" t="str">
        <f t="shared" si="2"/>
        <v/>
      </c>
      <c r="AC50" s="77" t="str">
        <f t="shared" si="3"/>
        <v/>
      </c>
      <c r="AD50" s="77" t="str">
        <f t="shared" si="4"/>
        <v/>
      </c>
      <c r="AE50" s="77" t="str">
        <f>'GREEN SHEET'!EV50</f>
        <v/>
      </c>
      <c r="AF50" s="80" t="str">
        <f>'GREEN SHEET'!FG50</f>
        <v/>
      </c>
      <c r="AG50" s="80" t="str">
        <f>'GREEN SHEET'!FH50</f>
        <v/>
      </c>
      <c r="AH50" s="80" t="str">
        <f>'GREEN SHEET'!FI50</f>
        <v/>
      </c>
      <c r="AI50" s="80" t="str">
        <f>'GREEN SHEET'!FJ50</f>
        <v/>
      </c>
      <c r="AJ50" s="529" t="str">
        <f t="shared" si="6"/>
        <v/>
      </c>
    </row>
    <row r="51" spans="1:37" s="362" customFormat="1" ht="22.8" x14ac:dyDescent="0.3">
      <c r="A51" s="6"/>
      <c r="B51" s="512" t="str">
        <f>IF(DATA!B49&lt;&gt;0,DATA!B49,"")</f>
        <v/>
      </c>
      <c r="C51" s="82" t="str">
        <f>IF(DATA!C49="","",DATA!C49)</f>
        <v/>
      </c>
      <c r="D51" s="82" t="str">
        <f>IF(DATA!D49="","",DATA!D49)</f>
        <v/>
      </c>
      <c r="E51" s="739" t="str">
        <f>IF(DATA!E49="","",DATA!E49)</f>
        <v/>
      </c>
      <c r="F51" s="739" t="str">
        <f>IF(DATA!F49="","",DATA!F49)</f>
        <v/>
      </c>
      <c r="G51" s="77" t="str">
        <f>IF(ATTENDANCE!Q52="","",ATTENDANCE!Q52&amp;"/"&amp;ATTENDANCE!$Q$7)</f>
        <v/>
      </c>
      <c r="H51" s="77" t="str">
        <f>'GREEN SHEET'!EH51</f>
        <v/>
      </c>
      <c r="I51" s="77" t="str">
        <f>'GREEN SHEET'!EI51</f>
        <v/>
      </c>
      <c r="J51" s="77" t="str">
        <f>'GREEN SHEET'!EJ51</f>
        <v/>
      </c>
      <c r="K51" s="77" t="str">
        <f>'GREEN SHEET'!EK51</f>
        <v/>
      </c>
      <c r="L51" s="77" t="str">
        <f>IFERROR(ROUNDUP((#REF!/#REF!)*100,2)&amp;"%","")</f>
        <v/>
      </c>
      <c r="M51" s="77" t="str">
        <f>IF(C51="TC","",IF(K51="","",IF(OR(K51="COMPARTMENT",K51="FAIL"),"",(#REF!*100/#REF!))))</f>
        <v/>
      </c>
      <c r="N51" s="77" t="str">
        <f>'GREEN SHEET'!EN51</f>
        <v/>
      </c>
      <c r="O51" s="77" t="str">
        <f>IF(C51="","",IF(C51="TC","",IF(AND(#REF!&gt;=6,#REF!&gt;=26,#REF!&gt;=33),"",$O$5&amp;",")))</f>
        <v/>
      </c>
      <c r="P51" s="77" t="str">
        <f>IF(C51="","",IF(C51="TC","",IF(AND(#REF!&gt;=6.6,#REF!&gt;=16.5,#REF!&gt;=33),"",$P$5&amp;",")))</f>
        <v/>
      </c>
      <c r="Q51" s="77" t="str">
        <f>IF(C51="","",IF(C51="TC","",IF(AND(#REF!&gt;=25,#REF!&gt;=8,#REF!&gt;=33,#REF!&gt;=23),"",$Q$5&amp;",")))</f>
        <v/>
      </c>
      <c r="R51" s="77" t="str">
        <f>IF(C51="","",IF(C51="TC","",IF(AND(#REF!&gt;=25,#REF!&gt;=8,#REF!&gt;=33,#REF!&gt;=23),"",$R$5&amp;",")))</f>
        <v/>
      </c>
      <c r="S51" s="77" t="str">
        <f>IF(C51="","",IF(C51="TC","",IF(AND(#REF!&gt;=25,#REF!&gt;=8,#REF!&gt;=33,#REF!&gt;=23),"",$S$5&amp;",")))</f>
        <v/>
      </c>
      <c r="T51" s="77" t="str">
        <f>IF(C51="","",IF(C51="TC","",IF(AND(#REF!&gt;=25,#REF!&gt;=8,#REF!&gt;=33,#REF!&gt;=23),"",$T$5&amp;",")))</f>
        <v/>
      </c>
      <c r="U51" s="77" t="str">
        <f t="shared" si="1"/>
        <v/>
      </c>
      <c r="V51" s="77" t="e">
        <f>IF(#REF!="",O51,IF(V51&gt;=26,"",O51))</f>
        <v>#REF!</v>
      </c>
      <c r="W51" s="77" t="e">
        <f>IF(#REF!="",P51,IF(#REF!&gt;=26,"",P51))</f>
        <v>#REF!</v>
      </c>
      <c r="X51" s="77" t="e">
        <f>IF(#REF!="",Q51,IF(#REF!&gt;=12,"",Q51))</f>
        <v>#REF!</v>
      </c>
      <c r="Y51" s="77" t="e">
        <f>IF(#REF!="",R51,IF(#REF!&gt;=12,"",R51))</f>
        <v>#REF!</v>
      </c>
      <c r="Z51" s="77" t="e">
        <f>IF(#REF!="",S51,IF(#REF!&gt;=12,"",S51))</f>
        <v>#REF!</v>
      </c>
      <c r="AA51" s="77" t="e">
        <f>IF(#REF!="",T51,IF(#REF!&gt;=12,"",T51))</f>
        <v>#REF!</v>
      </c>
      <c r="AB51" s="77" t="str">
        <f t="shared" si="2"/>
        <v/>
      </c>
      <c r="AC51" s="77" t="str">
        <f t="shared" si="3"/>
        <v/>
      </c>
      <c r="AD51" s="77" t="str">
        <f t="shared" si="4"/>
        <v/>
      </c>
      <c r="AE51" s="77" t="str">
        <f>'GREEN SHEET'!EV51</f>
        <v/>
      </c>
      <c r="AF51" s="80" t="str">
        <f>'GREEN SHEET'!FG51</f>
        <v/>
      </c>
      <c r="AG51" s="80" t="str">
        <f>'GREEN SHEET'!FH51</f>
        <v/>
      </c>
      <c r="AH51" s="80" t="str">
        <f>'GREEN SHEET'!FI51</f>
        <v/>
      </c>
      <c r="AI51" s="80" t="str">
        <f>'GREEN SHEET'!FJ51</f>
        <v/>
      </c>
      <c r="AJ51" s="529" t="str">
        <f t="shared" si="6"/>
        <v/>
      </c>
      <c r="AK51" s="592"/>
    </row>
    <row r="52" spans="1:37" s="617" customFormat="1" ht="6" customHeight="1" thickBot="1" x14ac:dyDescent="0.35">
      <c r="A52" s="6"/>
      <c r="B52" s="613"/>
      <c r="C52" s="614"/>
      <c r="D52" s="614"/>
      <c r="E52" s="614"/>
      <c r="F52" s="614"/>
      <c r="G52" s="614"/>
      <c r="H52" s="614"/>
      <c r="I52" s="614"/>
      <c r="J52" s="614"/>
      <c r="K52" s="614"/>
      <c r="L52" s="614"/>
      <c r="M52" s="614"/>
      <c r="N52" s="614"/>
      <c r="O52" s="614"/>
      <c r="P52" s="614"/>
      <c r="Q52" s="614"/>
      <c r="R52" s="614"/>
      <c r="S52" s="614"/>
      <c r="T52" s="614"/>
      <c r="U52" s="614"/>
      <c r="V52" s="614"/>
      <c r="W52" s="614"/>
      <c r="X52" s="614"/>
      <c r="Y52" s="614"/>
      <c r="Z52" s="614"/>
      <c r="AA52" s="614"/>
      <c r="AB52" s="614"/>
      <c r="AC52" s="614"/>
      <c r="AD52" s="614"/>
      <c r="AE52" s="615"/>
      <c r="AF52" s="613"/>
      <c r="AG52" s="614"/>
      <c r="AH52" s="614"/>
      <c r="AI52" s="614"/>
      <c r="AJ52" s="616"/>
      <c r="AK52" s="592"/>
    </row>
    <row r="53" spans="1:37" s="622" customFormat="1" ht="67.2" customHeight="1" thickBot="1" x14ac:dyDescent="0.45">
      <c r="A53" s="618"/>
      <c r="B53" s="1422" t="s">
        <v>269</v>
      </c>
      <c r="C53" s="1423"/>
      <c r="D53" s="1423"/>
      <c r="E53" s="1423"/>
      <c r="F53" s="1423" t="s">
        <v>270</v>
      </c>
      <c r="G53" s="1423"/>
      <c r="H53" s="1423"/>
      <c r="I53" s="1423"/>
      <c r="J53" s="1423"/>
      <c r="K53" s="1424" t="s">
        <v>271</v>
      </c>
      <c r="L53" s="1424"/>
      <c r="M53" s="1424"/>
      <c r="N53" s="1424"/>
      <c r="O53" s="1424"/>
      <c r="P53" s="1424"/>
      <c r="Q53" s="1424"/>
      <c r="R53" s="1424"/>
      <c r="S53" s="1424"/>
      <c r="T53" s="1424"/>
      <c r="U53" s="1424"/>
      <c r="V53" s="1424"/>
      <c r="W53" s="1424"/>
      <c r="X53" s="1424"/>
      <c r="Y53" s="1424"/>
      <c r="Z53" s="1424"/>
      <c r="AA53" s="1424"/>
      <c r="AB53" s="1424"/>
      <c r="AC53" s="1424"/>
      <c r="AD53" s="1424"/>
      <c r="AE53" s="1424"/>
      <c r="AF53" s="619"/>
      <c r="AG53" s="619"/>
      <c r="AH53" s="619"/>
      <c r="AI53" s="620"/>
      <c r="AJ53" s="533" t="str">
        <f>IF(C53="","",V53&amp;W53&amp;X53&amp;Y53&amp;Z53&amp;AA53)</f>
        <v/>
      </c>
      <c r="AK53" s="621"/>
    </row>
    <row r="54" spans="1:37" s="362" customFormat="1" ht="22.8" x14ac:dyDescent="0.3">
      <c r="A54" s="6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363"/>
    </row>
    <row r="55" spans="1:37" ht="15" hidden="1" customHeight="1" x14ac:dyDescent="0.3"/>
    <row r="56" spans="1:37" ht="15" hidden="1" customHeight="1" x14ac:dyDescent="0.3"/>
    <row r="57" spans="1:37" ht="15" hidden="1" customHeight="1" x14ac:dyDescent="0.3"/>
    <row r="58" spans="1:37" ht="15" hidden="1" customHeight="1" x14ac:dyDescent="0.3"/>
    <row r="59" spans="1:37" ht="15" hidden="1" customHeight="1" x14ac:dyDescent="0.3"/>
    <row r="60" spans="1:37" ht="15" hidden="1" customHeight="1" x14ac:dyDescent="0.3"/>
    <row r="61" spans="1:37" ht="15" hidden="1" customHeight="1" x14ac:dyDescent="0.3"/>
    <row r="62" spans="1:37" ht="15" hidden="1" customHeight="1" x14ac:dyDescent="0.3"/>
    <row r="63" spans="1:37" ht="15" hidden="1" customHeight="1" x14ac:dyDescent="0.3"/>
    <row r="64" spans="1:37" ht="15" hidden="1" customHeight="1" x14ac:dyDescent="0.3">
      <c r="A64" s="593"/>
      <c r="B64" s="593"/>
      <c r="C64" s="593"/>
      <c r="D64" s="593"/>
      <c r="E64" s="593"/>
      <c r="F64" s="593"/>
      <c r="G64" s="593"/>
      <c r="H64" s="593"/>
      <c r="I64" s="593"/>
      <c r="J64" s="593"/>
      <c r="K64" s="593"/>
      <c r="L64" s="593"/>
      <c r="M64" s="593"/>
      <c r="N64" s="593"/>
      <c r="O64" s="593"/>
      <c r="P64" s="593"/>
      <c r="Q64" s="593"/>
      <c r="R64" s="593"/>
      <c r="S64" s="593"/>
      <c r="T64" s="593"/>
      <c r="U64" s="593"/>
      <c r="V64" s="593"/>
      <c r="W64" s="593"/>
      <c r="X64" s="593"/>
      <c r="Y64" s="593"/>
      <c r="Z64" s="593"/>
      <c r="AA64" s="593"/>
      <c r="AB64" s="593"/>
      <c r="AC64" s="593"/>
      <c r="AD64" s="593"/>
      <c r="AE64" s="593"/>
      <c r="AF64" s="593"/>
      <c r="AG64" s="593"/>
      <c r="AH64" s="593"/>
      <c r="AI64" s="593"/>
      <c r="AJ64" s="593"/>
      <c r="AK64" s="593"/>
    </row>
    <row r="65" spans="1:37" ht="15" hidden="1" customHeight="1" x14ac:dyDescent="0.3">
      <c r="A65" s="593"/>
      <c r="B65" s="593"/>
      <c r="C65" s="593"/>
      <c r="D65" s="593"/>
      <c r="E65" s="593"/>
      <c r="F65" s="593"/>
      <c r="G65" s="593"/>
      <c r="H65" s="593"/>
      <c r="I65" s="593"/>
      <c r="J65" s="593"/>
      <c r="K65" s="593"/>
      <c r="L65" s="593"/>
      <c r="M65" s="593"/>
      <c r="N65" s="593"/>
      <c r="O65" s="593"/>
      <c r="P65" s="593"/>
      <c r="Q65" s="593"/>
      <c r="R65" s="593"/>
      <c r="S65" s="593"/>
      <c r="T65" s="593"/>
      <c r="U65" s="593"/>
      <c r="V65" s="593"/>
      <c r="W65" s="593"/>
      <c r="X65" s="593"/>
      <c r="Y65" s="593"/>
      <c r="Z65" s="593"/>
      <c r="AA65" s="593"/>
      <c r="AB65" s="593"/>
      <c r="AC65" s="593"/>
      <c r="AD65" s="593"/>
      <c r="AE65" s="593"/>
      <c r="AF65" s="593"/>
      <c r="AG65" s="593"/>
      <c r="AH65" s="593"/>
      <c r="AI65" s="593"/>
      <c r="AJ65" s="593"/>
      <c r="AK65" s="593"/>
    </row>
    <row r="66" spans="1:37" ht="15" hidden="1" customHeight="1" x14ac:dyDescent="0.3">
      <c r="A66" s="593"/>
      <c r="B66" s="593"/>
      <c r="C66" s="593"/>
      <c r="D66" s="593"/>
      <c r="E66" s="593"/>
      <c r="F66" s="593"/>
      <c r="G66" s="593"/>
      <c r="H66" s="593"/>
      <c r="I66" s="593"/>
      <c r="J66" s="593"/>
      <c r="K66" s="593"/>
      <c r="L66" s="593"/>
      <c r="M66" s="593"/>
      <c r="N66" s="593"/>
      <c r="O66" s="593"/>
      <c r="P66" s="593"/>
      <c r="Q66" s="593"/>
      <c r="R66" s="593"/>
      <c r="S66" s="593"/>
      <c r="T66" s="593"/>
      <c r="U66" s="593"/>
      <c r="V66" s="593"/>
      <c r="W66" s="593"/>
      <c r="X66" s="593"/>
      <c r="Y66" s="593"/>
      <c r="Z66" s="593"/>
      <c r="AA66" s="593"/>
      <c r="AB66" s="593"/>
      <c r="AC66" s="593"/>
      <c r="AD66" s="593"/>
      <c r="AE66" s="593"/>
      <c r="AF66" s="593"/>
      <c r="AG66" s="593"/>
      <c r="AH66" s="593"/>
      <c r="AI66" s="593"/>
      <c r="AJ66" s="593"/>
      <c r="AK66" s="593"/>
    </row>
    <row r="67" spans="1:37" ht="15" hidden="1" customHeight="1" x14ac:dyDescent="0.3">
      <c r="A67" s="593"/>
      <c r="B67" s="593"/>
      <c r="C67" s="593"/>
      <c r="D67" s="593"/>
      <c r="E67" s="593"/>
      <c r="F67" s="593"/>
      <c r="G67" s="593"/>
      <c r="H67" s="593"/>
      <c r="I67" s="593"/>
      <c r="J67" s="593"/>
      <c r="K67" s="593"/>
      <c r="L67" s="593"/>
      <c r="M67" s="593"/>
      <c r="N67" s="593"/>
      <c r="O67" s="593"/>
      <c r="P67" s="593"/>
      <c r="Q67" s="593"/>
      <c r="R67" s="593"/>
      <c r="S67" s="593"/>
      <c r="T67" s="593"/>
      <c r="U67" s="593"/>
      <c r="V67" s="593"/>
      <c r="W67" s="593"/>
      <c r="X67" s="593"/>
      <c r="Y67" s="593"/>
      <c r="Z67" s="593"/>
      <c r="AA67" s="593"/>
      <c r="AB67" s="593"/>
      <c r="AC67" s="593"/>
      <c r="AD67" s="593"/>
      <c r="AE67" s="593"/>
      <c r="AF67" s="593"/>
      <c r="AG67" s="593"/>
      <c r="AH67" s="593"/>
      <c r="AI67" s="593"/>
      <c r="AJ67" s="593"/>
      <c r="AK67" s="593"/>
    </row>
    <row r="68" spans="1:37" ht="15" hidden="1" customHeight="1" x14ac:dyDescent="0.3">
      <c r="A68" s="593"/>
      <c r="B68" s="593"/>
      <c r="C68" s="593"/>
      <c r="D68" s="593"/>
      <c r="E68" s="593"/>
      <c r="F68" s="593"/>
      <c r="G68" s="593"/>
      <c r="H68" s="593"/>
      <c r="I68" s="593"/>
      <c r="J68" s="593"/>
      <c r="K68" s="593"/>
      <c r="L68" s="593"/>
      <c r="M68" s="593"/>
      <c r="N68" s="593"/>
      <c r="O68" s="593"/>
      <c r="P68" s="593"/>
      <c r="Q68" s="593"/>
      <c r="R68" s="593"/>
      <c r="S68" s="593"/>
      <c r="T68" s="593"/>
      <c r="U68" s="593"/>
      <c r="V68" s="593"/>
      <c r="W68" s="593"/>
      <c r="X68" s="593"/>
      <c r="Y68" s="593"/>
      <c r="Z68" s="593"/>
      <c r="AA68" s="593"/>
      <c r="AB68" s="593"/>
      <c r="AC68" s="593"/>
      <c r="AD68" s="593"/>
      <c r="AE68" s="593"/>
      <c r="AF68" s="593"/>
      <c r="AG68" s="593"/>
      <c r="AH68" s="593"/>
      <c r="AI68" s="593"/>
      <c r="AJ68" s="593"/>
      <c r="AK68" s="593"/>
    </row>
    <row r="69" spans="1:37" ht="15" hidden="1" customHeight="1" x14ac:dyDescent="0.3">
      <c r="A69" s="593"/>
      <c r="B69" s="593"/>
      <c r="C69" s="593"/>
      <c r="D69" s="593"/>
      <c r="E69" s="593"/>
      <c r="F69" s="593"/>
      <c r="G69" s="593"/>
      <c r="H69" s="593"/>
      <c r="I69" s="593"/>
      <c r="J69" s="593"/>
      <c r="K69" s="593"/>
      <c r="L69" s="593"/>
      <c r="M69" s="593"/>
      <c r="N69" s="593"/>
      <c r="O69" s="593"/>
      <c r="P69" s="593"/>
      <c r="Q69" s="593"/>
      <c r="R69" s="593"/>
      <c r="S69" s="593"/>
      <c r="T69" s="593"/>
      <c r="U69" s="593"/>
      <c r="V69" s="593"/>
      <c r="W69" s="593"/>
      <c r="X69" s="593"/>
      <c r="Y69" s="593"/>
      <c r="Z69" s="593"/>
      <c r="AA69" s="593"/>
      <c r="AB69" s="593"/>
      <c r="AC69" s="593"/>
      <c r="AD69" s="593"/>
      <c r="AE69" s="593"/>
      <c r="AF69" s="593"/>
      <c r="AG69" s="593"/>
      <c r="AH69" s="593"/>
      <c r="AI69" s="593"/>
      <c r="AJ69" s="593"/>
      <c r="AK69" s="593"/>
    </row>
    <row r="70" spans="1:37" ht="15" hidden="1" customHeight="1" x14ac:dyDescent="0.3">
      <c r="A70" s="593"/>
      <c r="B70" s="593"/>
      <c r="C70" s="593"/>
      <c r="D70" s="593"/>
      <c r="E70" s="593"/>
      <c r="F70" s="593"/>
      <c r="G70" s="593"/>
      <c r="H70" s="593"/>
      <c r="I70" s="593"/>
      <c r="J70" s="593"/>
      <c r="K70" s="593"/>
      <c r="L70" s="593"/>
      <c r="M70" s="593"/>
      <c r="N70" s="593"/>
      <c r="O70" s="593"/>
      <c r="P70" s="593"/>
      <c r="Q70" s="593"/>
      <c r="R70" s="593"/>
      <c r="S70" s="593"/>
      <c r="T70" s="593"/>
      <c r="U70" s="593"/>
      <c r="V70" s="593"/>
      <c r="W70" s="593"/>
      <c r="X70" s="593"/>
      <c r="Y70" s="593"/>
      <c r="Z70" s="593"/>
      <c r="AA70" s="593"/>
      <c r="AB70" s="593"/>
      <c r="AC70" s="593"/>
      <c r="AD70" s="593"/>
      <c r="AE70" s="593"/>
      <c r="AF70" s="593"/>
      <c r="AG70" s="593"/>
      <c r="AH70" s="593"/>
      <c r="AI70" s="593"/>
      <c r="AJ70" s="593"/>
      <c r="AK70" s="593"/>
    </row>
    <row r="71" spans="1:37" ht="15" hidden="1" customHeight="1" x14ac:dyDescent="0.3">
      <c r="A71" s="593"/>
      <c r="B71" s="593"/>
      <c r="C71" s="593"/>
      <c r="D71" s="593"/>
      <c r="E71" s="593"/>
      <c r="F71" s="593"/>
      <c r="G71" s="593"/>
      <c r="H71" s="593"/>
      <c r="I71" s="593"/>
      <c r="J71" s="593"/>
      <c r="K71" s="593"/>
      <c r="L71" s="593"/>
      <c r="M71" s="593"/>
      <c r="N71" s="593"/>
      <c r="O71" s="593"/>
      <c r="P71" s="593"/>
      <c r="Q71" s="593"/>
      <c r="R71" s="593"/>
      <c r="S71" s="593"/>
      <c r="T71" s="593"/>
      <c r="U71" s="593"/>
      <c r="V71" s="593"/>
      <c r="W71" s="593"/>
      <c r="X71" s="593"/>
      <c r="Y71" s="593"/>
      <c r="Z71" s="593"/>
      <c r="AA71" s="593"/>
      <c r="AB71" s="593"/>
      <c r="AC71" s="593"/>
      <c r="AD71" s="593"/>
      <c r="AE71" s="593"/>
      <c r="AF71" s="593"/>
      <c r="AG71" s="593"/>
      <c r="AH71" s="593"/>
      <c r="AI71" s="593"/>
      <c r="AJ71" s="593"/>
      <c r="AK71" s="593"/>
    </row>
    <row r="72" spans="1:37" ht="15" hidden="1" customHeight="1" x14ac:dyDescent="0.3">
      <c r="A72" s="593"/>
      <c r="B72" s="593"/>
      <c r="C72" s="593"/>
      <c r="D72" s="593"/>
      <c r="E72" s="593"/>
      <c r="F72" s="593"/>
      <c r="G72" s="593"/>
      <c r="H72" s="593"/>
      <c r="I72" s="593"/>
      <c r="J72" s="593"/>
      <c r="K72" s="593"/>
      <c r="L72" s="593"/>
      <c r="M72" s="593"/>
      <c r="N72" s="593"/>
      <c r="O72" s="593"/>
      <c r="P72" s="593"/>
      <c r="Q72" s="593"/>
      <c r="R72" s="593"/>
      <c r="S72" s="593"/>
      <c r="T72" s="593"/>
      <c r="U72" s="593"/>
      <c r="V72" s="593"/>
      <c r="W72" s="593"/>
      <c r="X72" s="593"/>
      <c r="Y72" s="593"/>
      <c r="Z72" s="593"/>
      <c r="AA72" s="593"/>
      <c r="AB72" s="593"/>
      <c r="AC72" s="593"/>
      <c r="AD72" s="593"/>
      <c r="AE72" s="593"/>
      <c r="AF72" s="593"/>
      <c r="AG72" s="593"/>
      <c r="AH72" s="593"/>
      <c r="AI72" s="593"/>
      <c r="AJ72" s="593"/>
      <c r="AK72" s="593"/>
    </row>
    <row r="73" spans="1:37" ht="15" hidden="1" customHeight="1" x14ac:dyDescent="0.3">
      <c r="A73" s="593"/>
      <c r="B73" s="593"/>
      <c r="C73" s="593"/>
      <c r="D73" s="593"/>
      <c r="E73" s="593"/>
      <c r="F73" s="593"/>
      <c r="G73" s="593"/>
      <c r="H73" s="593"/>
      <c r="I73" s="593"/>
      <c r="J73" s="593"/>
      <c r="K73" s="593"/>
      <c r="L73" s="593"/>
      <c r="M73" s="593"/>
      <c r="N73" s="593"/>
      <c r="O73" s="593"/>
      <c r="P73" s="593"/>
      <c r="Q73" s="593"/>
      <c r="R73" s="593"/>
      <c r="S73" s="593"/>
      <c r="T73" s="593"/>
      <c r="U73" s="593"/>
      <c r="V73" s="593"/>
      <c r="W73" s="593"/>
      <c r="X73" s="593"/>
      <c r="Y73" s="593"/>
      <c r="Z73" s="593"/>
      <c r="AA73" s="593"/>
      <c r="AB73" s="593"/>
      <c r="AC73" s="593"/>
      <c r="AD73" s="593"/>
      <c r="AE73" s="593"/>
      <c r="AF73" s="593"/>
      <c r="AG73" s="593"/>
      <c r="AH73" s="593"/>
      <c r="AI73" s="593"/>
      <c r="AJ73" s="593"/>
      <c r="AK73" s="593"/>
    </row>
    <row r="74" spans="1:37" ht="15" hidden="1" customHeight="1" x14ac:dyDescent="0.3">
      <c r="A74" s="593"/>
      <c r="B74" s="593"/>
      <c r="C74" s="593"/>
      <c r="D74" s="593"/>
      <c r="E74" s="593"/>
      <c r="F74" s="593"/>
      <c r="G74" s="593"/>
      <c r="H74" s="593"/>
      <c r="I74" s="593"/>
      <c r="J74" s="593"/>
      <c r="K74" s="593"/>
      <c r="L74" s="593"/>
      <c r="M74" s="593"/>
      <c r="N74" s="593"/>
      <c r="O74" s="593"/>
      <c r="P74" s="593"/>
      <c r="Q74" s="593"/>
      <c r="R74" s="593"/>
      <c r="S74" s="593"/>
      <c r="T74" s="593"/>
      <c r="U74" s="593"/>
      <c r="V74" s="593"/>
      <c r="W74" s="593"/>
      <c r="X74" s="593"/>
      <c r="Y74" s="593"/>
      <c r="Z74" s="593"/>
      <c r="AA74" s="593"/>
      <c r="AB74" s="593"/>
      <c r="AC74" s="593"/>
      <c r="AD74" s="593"/>
      <c r="AE74" s="593"/>
      <c r="AF74" s="593"/>
      <c r="AG74" s="593"/>
      <c r="AH74" s="593"/>
      <c r="AI74" s="593"/>
      <c r="AJ74" s="593"/>
      <c r="AK74" s="593"/>
    </row>
    <row r="75" spans="1:37" ht="15" hidden="1" customHeight="1" x14ac:dyDescent="0.3">
      <c r="A75" s="593"/>
      <c r="B75" s="593"/>
      <c r="C75" s="593"/>
      <c r="D75" s="593"/>
      <c r="E75" s="593"/>
      <c r="F75" s="593"/>
      <c r="G75" s="593"/>
      <c r="H75" s="593"/>
      <c r="I75" s="593"/>
      <c r="J75" s="593"/>
      <c r="K75" s="593"/>
      <c r="L75" s="593"/>
      <c r="M75" s="593"/>
      <c r="N75" s="593"/>
      <c r="O75" s="593"/>
      <c r="P75" s="593"/>
      <c r="Q75" s="593"/>
      <c r="R75" s="593"/>
      <c r="S75" s="593"/>
      <c r="T75" s="593"/>
      <c r="U75" s="593"/>
      <c r="V75" s="593"/>
      <c r="W75" s="593"/>
      <c r="X75" s="593"/>
      <c r="Y75" s="593"/>
      <c r="Z75" s="593"/>
      <c r="AA75" s="593"/>
      <c r="AB75" s="593"/>
      <c r="AC75" s="593"/>
      <c r="AD75" s="593"/>
      <c r="AE75" s="593"/>
      <c r="AF75" s="593"/>
      <c r="AG75" s="593"/>
      <c r="AH75" s="593"/>
      <c r="AI75" s="593"/>
      <c r="AJ75" s="593"/>
      <c r="AK75" s="593"/>
    </row>
    <row r="76" spans="1:37" ht="15" hidden="1" customHeight="1" x14ac:dyDescent="0.3">
      <c r="A76" s="593"/>
      <c r="B76" s="593"/>
      <c r="C76" s="593"/>
      <c r="D76" s="593"/>
      <c r="E76" s="593"/>
      <c r="F76" s="593"/>
      <c r="G76" s="593"/>
      <c r="H76" s="593"/>
      <c r="I76" s="593"/>
      <c r="J76" s="593"/>
      <c r="K76" s="593"/>
      <c r="L76" s="593"/>
      <c r="M76" s="593"/>
      <c r="N76" s="593"/>
      <c r="O76" s="593"/>
      <c r="P76" s="593"/>
      <c r="Q76" s="593"/>
      <c r="R76" s="593"/>
      <c r="S76" s="593"/>
      <c r="T76" s="593"/>
      <c r="U76" s="593"/>
      <c r="V76" s="593"/>
      <c r="W76" s="593"/>
      <c r="X76" s="593"/>
      <c r="Y76" s="593"/>
      <c r="Z76" s="593"/>
      <c r="AA76" s="593"/>
      <c r="AB76" s="593"/>
      <c r="AC76" s="593"/>
      <c r="AD76" s="593"/>
      <c r="AE76" s="593"/>
      <c r="AF76" s="593"/>
      <c r="AG76" s="593"/>
      <c r="AH76" s="593"/>
      <c r="AI76" s="593"/>
      <c r="AJ76" s="593"/>
      <c r="AK76" s="593"/>
    </row>
    <row r="77" spans="1:37" ht="15" hidden="1" customHeight="1" x14ac:dyDescent="0.3">
      <c r="A77" s="593"/>
      <c r="B77" s="593"/>
      <c r="C77" s="593"/>
      <c r="D77" s="593"/>
      <c r="E77" s="593"/>
      <c r="F77" s="593"/>
      <c r="G77" s="593"/>
      <c r="H77" s="593"/>
      <c r="I77" s="593"/>
      <c r="J77" s="593"/>
      <c r="K77" s="593"/>
      <c r="L77" s="593"/>
      <c r="M77" s="593"/>
      <c r="N77" s="593"/>
      <c r="O77" s="593"/>
      <c r="P77" s="593"/>
      <c r="Q77" s="593"/>
      <c r="R77" s="593"/>
      <c r="S77" s="593"/>
      <c r="T77" s="593"/>
      <c r="U77" s="593"/>
      <c r="V77" s="593"/>
      <c r="W77" s="593"/>
      <c r="X77" s="593"/>
      <c r="Y77" s="593"/>
      <c r="Z77" s="593"/>
      <c r="AA77" s="593"/>
      <c r="AB77" s="593"/>
      <c r="AC77" s="593"/>
      <c r="AD77" s="593"/>
      <c r="AE77" s="593"/>
      <c r="AF77" s="593"/>
      <c r="AG77" s="593"/>
      <c r="AH77" s="593"/>
      <c r="AI77" s="593"/>
      <c r="AJ77" s="593"/>
      <c r="AK77" s="593"/>
    </row>
    <row r="78" spans="1:37" ht="15" hidden="1" customHeight="1" x14ac:dyDescent="0.3">
      <c r="A78" s="593"/>
      <c r="B78" s="593"/>
      <c r="C78" s="593"/>
      <c r="D78" s="593"/>
      <c r="E78" s="593"/>
      <c r="F78" s="593"/>
      <c r="G78" s="593"/>
      <c r="H78" s="593"/>
      <c r="I78" s="593"/>
      <c r="J78" s="593"/>
      <c r="K78" s="593"/>
      <c r="L78" s="593"/>
      <c r="M78" s="593"/>
      <c r="N78" s="593"/>
      <c r="O78" s="593"/>
      <c r="P78" s="593"/>
      <c r="Q78" s="593"/>
      <c r="R78" s="593"/>
      <c r="S78" s="593"/>
      <c r="T78" s="593"/>
      <c r="U78" s="593"/>
      <c r="V78" s="593"/>
      <c r="W78" s="593"/>
      <c r="X78" s="593"/>
      <c r="Y78" s="593"/>
      <c r="Z78" s="593"/>
      <c r="AA78" s="593"/>
      <c r="AB78" s="593"/>
      <c r="AC78" s="593"/>
      <c r="AD78" s="593"/>
      <c r="AE78" s="593"/>
      <c r="AF78" s="593"/>
      <c r="AG78" s="593"/>
      <c r="AH78" s="593"/>
      <c r="AI78" s="593"/>
      <c r="AJ78" s="593"/>
      <c r="AK78" s="593"/>
    </row>
  </sheetData>
  <sheetProtection algorithmName="SHA-512" hashValue="L4gZgyrn61dDrjgjxGS/0Cg3eLbPs1RtsBFKj5GVf0QlnatuGXQu2BwHpsZzx/su0n21PgvukERBt12MPAt/ZA==" saltValue="9ZWxSeUo5HBtBdFeV5XH7g==" spinCount="100000" sheet="1" objects="1" scenarios="1" selectLockedCells="1"/>
  <mergeCells count="9">
    <mergeCell ref="B2:AI2"/>
    <mergeCell ref="B3:AI3"/>
    <mergeCell ref="B5:F5"/>
    <mergeCell ref="AF4:AJ4"/>
    <mergeCell ref="B53:E53"/>
    <mergeCell ref="F53:J53"/>
    <mergeCell ref="K53:AE53"/>
    <mergeCell ref="G4:AE4"/>
    <mergeCell ref="B4:F4"/>
  </mergeCells>
  <hyperlinks>
    <hyperlink ref="A1" location="DASHBOARD!A1" display="D"/>
  </hyperlinks>
  <printOptions horizontalCentered="1"/>
  <pageMargins left="0.09" right="3.9370078740157501E-2" top="0.3" bottom="7.8740157480315001E-2" header="0.19" footer="0.31496062992126"/>
  <pageSetup paperSize="9" scale="40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53"/>
  <sheetViews>
    <sheetView workbookViewId="0">
      <selection activeCell="B2" sqref="B2:H2"/>
    </sheetView>
  </sheetViews>
  <sheetFormatPr defaultColWidth="0" defaultRowHeight="0" customHeight="1" zeroHeight="1" x14ac:dyDescent="0.3"/>
  <cols>
    <col min="1" max="1" width="5.109375" style="617" customWidth="1"/>
    <col min="2" max="2" width="7.33203125" style="21" customWidth="1"/>
    <col min="3" max="3" width="9.88671875" style="21" customWidth="1"/>
    <col min="4" max="4" width="15" style="21" bestFit="1" customWidth="1"/>
    <col min="5" max="5" width="21.88671875" style="21" bestFit="1" customWidth="1"/>
    <col min="6" max="6" width="18.5546875" style="21" bestFit="1" customWidth="1"/>
    <col min="7" max="7" width="16.88671875" style="21" customWidth="1"/>
    <col min="8" max="8" width="23.5546875" style="21" customWidth="1"/>
    <col min="9" max="9" width="4" style="22" customWidth="1"/>
    <col min="10" max="17" width="0" style="617" hidden="1" customWidth="1"/>
    <col min="18" max="16384" width="9.109375" style="617" hidden="1"/>
  </cols>
  <sheetData>
    <row r="1" spans="1:9" ht="21" x14ac:dyDescent="0.3">
      <c r="A1" s="5"/>
      <c r="B1" s="22"/>
      <c r="C1" s="22"/>
      <c r="D1" s="22"/>
      <c r="E1" s="22"/>
      <c r="F1" s="22"/>
      <c r="G1" s="22"/>
      <c r="H1" s="22"/>
    </row>
    <row r="2" spans="1:9" ht="27" customHeight="1" x14ac:dyDescent="0.3">
      <c r="A2" s="4"/>
      <c r="B2" s="847" t="str">
        <f>"SWAMI VIVEKANAND GOVT. MODEL SCHOOL,"&amp;DASHBOARD!B3</f>
        <v xml:space="preserve">SWAMI VIVEKANAND GOVT. MODEL SCHOOL,AMET, BLOCK-AMET, RAJSAMAND                                                                </v>
      </c>
      <c r="C2" s="847"/>
      <c r="D2" s="847"/>
      <c r="E2" s="847"/>
      <c r="F2" s="847"/>
      <c r="G2" s="847"/>
      <c r="H2" s="847"/>
      <c r="I2" s="294"/>
    </row>
    <row r="3" spans="1:9" ht="27" customHeight="1" x14ac:dyDescent="0.3">
      <c r="A3" s="4"/>
      <c r="B3" s="1434" t="str">
        <f>IF(DASHBOARD!B4="","",DASHBOARD!B4)</f>
        <v>SESSION    -  2025-26</v>
      </c>
      <c r="C3" s="1434"/>
      <c r="D3" s="1434"/>
      <c r="E3" s="1434"/>
      <c r="F3" s="1434"/>
      <c r="G3" s="1434"/>
      <c r="H3" s="1434"/>
      <c r="I3" s="294"/>
    </row>
    <row r="4" spans="1:9" s="648" customFormat="1" ht="24" thickBot="1" x14ac:dyDescent="0.5">
      <c r="A4" s="12"/>
      <c r="B4" s="23"/>
      <c r="C4" s="23"/>
      <c r="D4" s="24" t="s">
        <v>63</v>
      </c>
      <c r="E4" s="23" t="str">
        <f>DASHBOARD!B8&amp;DASHBOARD!C8</f>
        <v>XI A</v>
      </c>
      <c r="F4" s="819" t="s">
        <v>324</v>
      </c>
      <c r="G4" s="819"/>
      <c r="H4" s="819"/>
      <c r="I4" s="23"/>
    </row>
    <row r="5" spans="1:9" ht="27.6" x14ac:dyDescent="0.3">
      <c r="A5" s="4"/>
      <c r="B5" s="651" t="s">
        <v>65</v>
      </c>
      <c r="C5" s="652" t="s">
        <v>3</v>
      </c>
      <c r="D5" s="652" t="s">
        <v>315</v>
      </c>
      <c r="E5" s="652" t="s">
        <v>316</v>
      </c>
      <c r="F5" s="653" t="s">
        <v>317</v>
      </c>
      <c r="G5" s="652" t="s">
        <v>256</v>
      </c>
      <c r="H5" s="654" t="s">
        <v>318</v>
      </c>
      <c r="I5" s="581"/>
    </row>
    <row r="6" spans="1:9" ht="17.399999999999999" x14ac:dyDescent="0.3">
      <c r="A6" s="4"/>
      <c r="B6" s="655">
        <v>1</v>
      </c>
      <c r="C6" s="45">
        <f>IF(DATA!C5="","",DATA!C5)</f>
        <v>1101</v>
      </c>
      <c r="D6" s="45">
        <f>IF(DATA!D5="","",DATA!D5)</f>
        <v>1168</v>
      </c>
      <c r="E6" s="656" t="str">
        <f>IF(DATA!E5="","",UPPER(DATA!E5))</f>
        <v>DEVENDRA SHARMA</v>
      </c>
      <c r="F6" s="656" t="str">
        <f>IF(DATA!F5="","",UPPER(DATA!F5))</f>
        <v>SURESH SHARMA</v>
      </c>
      <c r="G6" s="29"/>
      <c r="H6" s="649"/>
      <c r="I6" s="640"/>
    </row>
    <row r="7" spans="1:9" ht="17.399999999999999" x14ac:dyDescent="0.3">
      <c r="A7" s="4"/>
      <c r="B7" s="655">
        <v>2</v>
      </c>
      <c r="C7" s="45">
        <f>IF(DATA!C6="","",DATA!C6)</f>
        <v>1102</v>
      </c>
      <c r="D7" s="45">
        <f>IF(DATA!D6="","",DATA!D6)</f>
        <v>714</v>
      </c>
      <c r="E7" s="656" t="str">
        <f>IF(DATA!E6="","",UPPER(DATA!E6))</f>
        <v>DHARA SALVI</v>
      </c>
      <c r="F7" s="656" t="str">
        <f>IF(DATA!F6="","",UPPER(DATA!F6))</f>
        <v>HITESH LAL</v>
      </c>
      <c r="G7" s="29"/>
      <c r="H7" s="649"/>
      <c r="I7" s="640"/>
    </row>
    <row r="8" spans="1:9" ht="17.399999999999999" x14ac:dyDescent="0.3">
      <c r="A8" s="4"/>
      <c r="B8" s="655">
        <v>3</v>
      </c>
      <c r="C8" s="45">
        <f>IF(DATA!C7="","",DATA!C7)</f>
        <v>1103</v>
      </c>
      <c r="D8" s="45">
        <f>IF(DATA!D7="","",DATA!D7)</f>
        <v>710</v>
      </c>
      <c r="E8" s="656" t="str">
        <f>IF(DATA!E7="","",UPPER(DATA!E7))</f>
        <v>HARSHIKA RAO</v>
      </c>
      <c r="F8" s="656" t="str">
        <f>IF(DATA!F7="","",UPPER(DATA!F7))</f>
        <v>DEVI SINGH RAO</v>
      </c>
      <c r="G8" s="29"/>
      <c r="H8" s="649"/>
      <c r="I8" s="640"/>
    </row>
    <row r="9" spans="1:9" ht="17.399999999999999" x14ac:dyDescent="0.3">
      <c r="A9" s="4"/>
      <c r="B9" s="655">
        <v>4</v>
      </c>
      <c r="C9" s="45" t="str">
        <f>IF(DATA!C8="","",DATA!C8)</f>
        <v/>
      </c>
      <c r="D9" s="45" t="str">
        <f>IF(DATA!D8="","",DATA!D8)</f>
        <v/>
      </c>
      <c r="E9" s="656" t="str">
        <f>IF(DATA!E8="","",UPPER(DATA!E8))</f>
        <v/>
      </c>
      <c r="F9" s="656" t="str">
        <f>IF(DATA!F8="","",UPPER(DATA!F8))</f>
        <v/>
      </c>
      <c r="G9" s="29"/>
      <c r="H9" s="649"/>
      <c r="I9" s="640"/>
    </row>
    <row r="10" spans="1:9" ht="17.399999999999999" x14ac:dyDescent="0.3">
      <c r="A10" s="4"/>
      <c r="B10" s="655">
        <v>5</v>
      </c>
      <c r="C10" s="45" t="str">
        <f>IF(DATA!C9="","",DATA!C9)</f>
        <v/>
      </c>
      <c r="D10" s="45" t="str">
        <f>IF(DATA!D9="","",DATA!D9)</f>
        <v/>
      </c>
      <c r="E10" s="656" t="str">
        <f>IF(DATA!E9="","",UPPER(DATA!E9))</f>
        <v/>
      </c>
      <c r="F10" s="656" t="str">
        <f>IF(DATA!F9="","",UPPER(DATA!F9))</f>
        <v/>
      </c>
      <c r="G10" s="29"/>
      <c r="H10" s="649"/>
      <c r="I10" s="640"/>
    </row>
    <row r="11" spans="1:9" ht="18" x14ac:dyDescent="0.3">
      <c r="A11" s="4"/>
      <c r="B11" s="655">
        <v>6</v>
      </c>
      <c r="C11" s="45" t="str">
        <f>IF(DATA!C10="","",DATA!C10)</f>
        <v/>
      </c>
      <c r="D11" s="45" t="str">
        <f>IF(DATA!D10="","",DATA!D10)</f>
        <v/>
      </c>
      <c r="E11" s="656" t="str">
        <f>IF(DATA!E10="","",UPPER(DATA!E10))</f>
        <v/>
      </c>
      <c r="F11" s="656" t="str">
        <f>IF(DATA!F10="","",UPPER(DATA!F10))</f>
        <v/>
      </c>
      <c r="G11" s="29"/>
      <c r="H11" s="649"/>
      <c r="I11" s="590"/>
    </row>
    <row r="12" spans="1:9" ht="17.399999999999999" x14ac:dyDescent="0.3">
      <c r="A12" s="4"/>
      <c r="B12" s="655">
        <v>7</v>
      </c>
      <c r="C12" s="45" t="str">
        <f>IF(DATA!C11="","",DATA!C11)</f>
        <v/>
      </c>
      <c r="D12" s="45" t="str">
        <f>IF(DATA!D11="","",DATA!D11)</f>
        <v/>
      </c>
      <c r="E12" s="656" t="str">
        <f>IF(DATA!E11="","",UPPER(DATA!E11))</f>
        <v/>
      </c>
      <c r="F12" s="656" t="str">
        <f>IF(DATA!F11="","",UPPER(DATA!F11))</f>
        <v/>
      </c>
      <c r="G12" s="29"/>
      <c r="H12" s="649"/>
      <c r="I12" s="640"/>
    </row>
    <row r="13" spans="1:9" ht="17.399999999999999" x14ac:dyDescent="0.3">
      <c r="A13" s="4"/>
      <c r="B13" s="655">
        <v>8</v>
      </c>
      <c r="C13" s="45" t="str">
        <f>IF(DATA!C12="","",DATA!C12)</f>
        <v/>
      </c>
      <c r="D13" s="45" t="str">
        <f>IF(DATA!D12="","",DATA!D12)</f>
        <v/>
      </c>
      <c r="E13" s="656" t="str">
        <f>IF(DATA!E12="","",UPPER(DATA!E12))</f>
        <v/>
      </c>
      <c r="F13" s="656" t="str">
        <f>IF(DATA!F12="","",UPPER(DATA!F12))</f>
        <v/>
      </c>
      <c r="G13" s="29"/>
      <c r="H13" s="649"/>
      <c r="I13" s="640"/>
    </row>
    <row r="14" spans="1:9" ht="17.399999999999999" x14ac:dyDescent="0.3">
      <c r="A14" s="4"/>
      <c r="B14" s="655">
        <v>9</v>
      </c>
      <c r="C14" s="45" t="str">
        <f>IF(DATA!C13="","",DATA!C13)</f>
        <v/>
      </c>
      <c r="D14" s="45" t="str">
        <f>IF(DATA!D13="","",DATA!D13)</f>
        <v/>
      </c>
      <c r="E14" s="656" t="str">
        <f>IF(DATA!E13="","",UPPER(DATA!E13))</f>
        <v/>
      </c>
      <c r="F14" s="656" t="str">
        <f>IF(DATA!F13="","",UPPER(DATA!F13))</f>
        <v/>
      </c>
      <c r="G14" s="29"/>
      <c r="H14" s="649"/>
      <c r="I14" s="640"/>
    </row>
    <row r="15" spans="1:9" ht="17.399999999999999" x14ac:dyDescent="0.3">
      <c r="A15" s="4"/>
      <c r="B15" s="655">
        <v>10</v>
      </c>
      <c r="C15" s="45" t="str">
        <f>IF(DATA!C14="","",DATA!C14)</f>
        <v/>
      </c>
      <c r="D15" s="45" t="str">
        <f>IF(DATA!D14="","",DATA!D14)</f>
        <v/>
      </c>
      <c r="E15" s="656" t="str">
        <f>IF(DATA!E14="","",UPPER(DATA!E14))</f>
        <v/>
      </c>
      <c r="F15" s="656" t="str">
        <f>IF(DATA!F14="","",UPPER(DATA!F14))</f>
        <v/>
      </c>
      <c r="G15" s="29"/>
      <c r="H15" s="649"/>
      <c r="I15" s="640"/>
    </row>
    <row r="16" spans="1:9" ht="17.399999999999999" x14ac:dyDescent="0.3">
      <c r="A16" s="4"/>
      <c r="B16" s="655">
        <v>11</v>
      </c>
      <c r="C16" s="29" t="str">
        <f>IF(DATA!C15="","",DATA!C15)</f>
        <v/>
      </c>
      <c r="D16" s="29" t="str">
        <f>IF(DATA!D15="","",DATA!D15)</f>
        <v/>
      </c>
      <c r="E16" s="656" t="str">
        <f>IF(DATA!E15="","",UPPER(DATA!E15))</f>
        <v/>
      </c>
      <c r="F16" s="656" t="str">
        <f>IF(DATA!F15="","",UPPER(DATA!F15))</f>
        <v/>
      </c>
      <c r="G16" s="29"/>
      <c r="H16" s="649"/>
      <c r="I16" s="640"/>
    </row>
    <row r="17" spans="1:9" ht="17.399999999999999" x14ac:dyDescent="0.3">
      <c r="A17" s="4"/>
      <c r="B17" s="655">
        <v>12</v>
      </c>
      <c r="C17" s="29" t="str">
        <f>IF(DATA!C16="","",DATA!C16)</f>
        <v/>
      </c>
      <c r="D17" s="29" t="str">
        <f>IF(DATA!D16="","",DATA!D16)</f>
        <v/>
      </c>
      <c r="E17" s="656" t="str">
        <f>IF(DATA!E16="","",UPPER(DATA!E16))</f>
        <v/>
      </c>
      <c r="F17" s="656" t="str">
        <f>IF(DATA!F16="","",UPPER(DATA!F16))</f>
        <v/>
      </c>
      <c r="G17" s="29"/>
      <c r="H17" s="649"/>
      <c r="I17" s="640"/>
    </row>
    <row r="18" spans="1:9" ht="17.399999999999999" x14ac:dyDescent="0.3">
      <c r="A18" s="4"/>
      <c r="B18" s="655">
        <v>13</v>
      </c>
      <c r="C18" s="29" t="str">
        <f>IF(DATA!C17="","",DATA!C17)</f>
        <v/>
      </c>
      <c r="D18" s="29" t="str">
        <f>IF(DATA!D17="","",DATA!D17)</f>
        <v/>
      </c>
      <c r="E18" s="656" t="str">
        <f>IF(DATA!E17="","",UPPER(DATA!E17))</f>
        <v/>
      </c>
      <c r="F18" s="656" t="str">
        <f>IF(DATA!F17="","",UPPER(DATA!F17))</f>
        <v/>
      </c>
      <c r="G18" s="29"/>
      <c r="H18" s="649"/>
      <c r="I18" s="640"/>
    </row>
    <row r="19" spans="1:9" ht="17.399999999999999" x14ac:dyDescent="0.3">
      <c r="A19" s="4"/>
      <c r="B19" s="655">
        <v>14</v>
      </c>
      <c r="C19" s="29" t="str">
        <f>IF(DATA!C18="","",DATA!C18)</f>
        <v/>
      </c>
      <c r="D19" s="29" t="str">
        <f>IF(DATA!D18="","",DATA!D18)</f>
        <v/>
      </c>
      <c r="E19" s="656" t="str">
        <f>IF(DATA!E18="","",UPPER(DATA!E18))</f>
        <v/>
      </c>
      <c r="F19" s="656" t="str">
        <f>IF(DATA!F18="","",UPPER(DATA!F18))</f>
        <v/>
      </c>
      <c r="G19" s="29"/>
      <c r="H19" s="649"/>
      <c r="I19" s="640"/>
    </row>
    <row r="20" spans="1:9" ht="17.399999999999999" x14ac:dyDescent="0.3">
      <c r="A20" s="4"/>
      <c r="B20" s="655">
        <v>15</v>
      </c>
      <c r="C20" s="29" t="str">
        <f>IF(DATA!C19="","",DATA!C19)</f>
        <v/>
      </c>
      <c r="D20" s="29" t="str">
        <f>IF(DATA!D19="","",DATA!D19)</f>
        <v/>
      </c>
      <c r="E20" s="656" t="str">
        <f>IF(DATA!E19="","",UPPER(DATA!E19))</f>
        <v/>
      </c>
      <c r="F20" s="656" t="str">
        <f>IF(DATA!F19="","",UPPER(DATA!F19))</f>
        <v/>
      </c>
      <c r="G20" s="29"/>
      <c r="H20" s="649"/>
      <c r="I20" s="640"/>
    </row>
    <row r="21" spans="1:9" ht="17.399999999999999" x14ac:dyDescent="0.3">
      <c r="A21" s="4"/>
      <c r="B21" s="655">
        <v>16</v>
      </c>
      <c r="C21" s="29" t="str">
        <f>IF(DATA!C20="","",DATA!C20)</f>
        <v/>
      </c>
      <c r="D21" s="29" t="str">
        <f>IF(DATA!D20="","",DATA!D20)</f>
        <v/>
      </c>
      <c r="E21" s="656" t="str">
        <f>IF(DATA!E20="","",UPPER(DATA!E20))</f>
        <v/>
      </c>
      <c r="F21" s="656" t="str">
        <f>IF(DATA!F20="","",UPPER(DATA!F20))</f>
        <v/>
      </c>
      <c r="G21" s="29"/>
      <c r="H21" s="649"/>
      <c r="I21" s="640"/>
    </row>
    <row r="22" spans="1:9" ht="17.399999999999999" x14ac:dyDescent="0.3">
      <c r="A22" s="4"/>
      <c r="B22" s="655">
        <v>17</v>
      </c>
      <c r="C22" s="29" t="str">
        <f>IF(DATA!C21="","",DATA!C21)</f>
        <v/>
      </c>
      <c r="D22" s="29" t="str">
        <f>IF(DATA!D21="","",DATA!D21)</f>
        <v/>
      </c>
      <c r="E22" s="656" t="str">
        <f>IF(DATA!E21="","",UPPER(DATA!E21))</f>
        <v/>
      </c>
      <c r="F22" s="656" t="str">
        <f>IF(DATA!F21="","",UPPER(DATA!F21))</f>
        <v/>
      </c>
      <c r="G22" s="29"/>
      <c r="H22" s="649"/>
      <c r="I22" s="640"/>
    </row>
    <row r="23" spans="1:9" ht="17.399999999999999" x14ac:dyDescent="0.3">
      <c r="A23" s="4"/>
      <c r="B23" s="655">
        <v>18</v>
      </c>
      <c r="C23" s="29" t="str">
        <f>IF(DATA!C22="","",DATA!C22)</f>
        <v/>
      </c>
      <c r="D23" s="29" t="str">
        <f>IF(DATA!D22="","",DATA!D22)</f>
        <v/>
      </c>
      <c r="E23" s="656" t="str">
        <f>IF(DATA!E22="","",UPPER(DATA!E22))</f>
        <v/>
      </c>
      <c r="F23" s="656" t="str">
        <f>IF(DATA!F22="","",UPPER(DATA!F22))</f>
        <v/>
      </c>
      <c r="G23" s="29"/>
      <c r="H23" s="649"/>
      <c r="I23" s="640"/>
    </row>
    <row r="24" spans="1:9" ht="17.399999999999999" x14ac:dyDescent="0.3">
      <c r="A24" s="4"/>
      <c r="B24" s="655">
        <v>19</v>
      </c>
      <c r="C24" s="29" t="str">
        <f>IF(DATA!C23="","",DATA!C23)</f>
        <v/>
      </c>
      <c r="D24" s="29" t="str">
        <f>IF(DATA!D23="","",DATA!D23)</f>
        <v/>
      </c>
      <c r="E24" s="656" t="str">
        <f>IF(DATA!E23="","",UPPER(DATA!E23))</f>
        <v/>
      </c>
      <c r="F24" s="656" t="str">
        <f>IF(DATA!F23="","",UPPER(DATA!F23))</f>
        <v/>
      </c>
      <c r="G24" s="29"/>
      <c r="H24" s="649"/>
      <c r="I24" s="640"/>
    </row>
    <row r="25" spans="1:9" ht="17.399999999999999" x14ac:dyDescent="0.3">
      <c r="A25" s="4"/>
      <c r="B25" s="655">
        <v>20</v>
      </c>
      <c r="C25" s="29" t="str">
        <f>IF(DATA!C24="","",DATA!C24)</f>
        <v/>
      </c>
      <c r="D25" s="29" t="str">
        <f>IF(DATA!D24="","",DATA!D24)</f>
        <v/>
      </c>
      <c r="E25" s="656" t="str">
        <f>IF(DATA!E24="","",UPPER(DATA!E24))</f>
        <v/>
      </c>
      <c r="F25" s="656" t="str">
        <f>IF(DATA!F24="","",UPPER(DATA!F24))</f>
        <v/>
      </c>
      <c r="G25" s="29"/>
      <c r="H25" s="649"/>
      <c r="I25" s="640"/>
    </row>
    <row r="26" spans="1:9" ht="17.399999999999999" x14ac:dyDescent="0.3">
      <c r="A26" s="4"/>
      <c r="B26" s="655">
        <v>21</v>
      </c>
      <c r="C26" s="29" t="str">
        <f>IF(DATA!C25="","",DATA!C25)</f>
        <v/>
      </c>
      <c r="D26" s="29" t="str">
        <f>IF(DATA!D25="","",DATA!D25)</f>
        <v/>
      </c>
      <c r="E26" s="656" t="str">
        <f>IF(DATA!E25="","",UPPER(DATA!E25))</f>
        <v/>
      </c>
      <c r="F26" s="656" t="str">
        <f>IF(DATA!F25="","",UPPER(DATA!F25))</f>
        <v/>
      </c>
      <c r="G26" s="29"/>
      <c r="H26" s="649"/>
      <c r="I26" s="640"/>
    </row>
    <row r="27" spans="1:9" ht="17.399999999999999" x14ac:dyDescent="0.3">
      <c r="A27" s="4"/>
      <c r="B27" s="655">
        <v>22</v>
      </c>
      <c r="C27" s="29" t="str">
        <f>IF(DATA!C26="","",DATA!C26)</f>
        <v/>
      </c>
      <c r="D27" s="29" t="str">
        <f>IF(DATA!D26="","",DATA!D26)</f>
        <v/>
      </c>
      <c r="E27" s="656" t="str">
        <f>IF(DATA!E26="","",UPPER(DATA!E26))</f>
        <v/>
      </c>
      <c r="F27" s="656" t="str">
        <f>IF(DATA!F26="","",UPPER(DATA!F26))</f>
        <v/>
      </c>
      <c r="G27" s="29"/>
      <c r="H27" s="649"/>
      <c r="I27" s="640"/>
    </row>
    <row r="28" spans="1:9" ht="17.399999999999999" x14ac:dyDescent="0.3">
      <c r="A28" s="4"/>
      <c r="B28" s="655">
        <v>23</v>
      </c>
      <c r="C28" s="29" t="str">
        <f>IF(DATA!C27="","",DATA!C27)</f>
        <v/>
      </c>
      <c r="D28" s="29" t="str">
        <f>IF(DATA!D27="","",DATA!D27)</f>
        <v/>
      </c>
      <c r="E28" s="656" t="str">
        <f>IF(DATA!E27="","",UPPER(DATA!E27))</f>
        <v/>
      </c>
      <c r="F28" s="656" t="str">
        <f>IF(DATA!F27="","",UPPER(DATA!F27))</f>
        <v/>
      </c>
      <c r="G28" s="29"/>
      <c r="H28" s="649"/>
      <c r="I28" s="640"/>
    </row>
    <row r="29" spans="1:9" ht="17.399999999999999" x14ac:dyDescent="0.3">
      <c r="A29" s="4"/>
      <c r="B29" s="655">
        <v>24</v>
      </c>
      <c r="C29" s="29" t="str">
        <f>IF(DATA!C28="","",DATA!C28)</f>
        <v/>
      </c>
      <c r="D29" s="29" t="str">
        <f>IF(DATA!D28="","",DATA!D28)</f>
        <v/>
      </c>
      <c r="E29" s="656" t="str">
        <f>IF(DATA!E28="","",UPPER(DATA!E28))</f>
        <v/>
      </c>
      <c r="F29" s="656" t="str">
        <f>IF(DATA!F28="","",UPPER(DATA!F28))</f>
        <v/>
      </c>
      <c r="G29" s="29"/>
      <c r="H29" s="649"/>
      <c r="I29" s="640"/>
    </row>
    <row r="30" spans="1:9" ht="17.399999999999999" x14ac:dyDescent="0.3">
      <c r="A30" s="4"/>
      <c r="B30" s="655">
        <v>25</v>
      </c>
      <c r="C30" s="29" t="str">
        <f>IF(DATA!C29="","",DATA!C29)</f>
        <v/>
      </c>
      <c r="D30" s="29" t="str">
        <f>IF(DATA!D29="","",DATA!D29)</f>
        <v/>
      </c>
      <c r="E30" s="656" t="str">
        <f>IF(DATA!E29="","",UPPER(DATA!E29))</f>
        <v/>
      </c>
      <c r="F30" s="656" t="str">
        <f>IF(DATA!F29="","",UPPER(DATA!F29))</f>
        <v/>
      </c>
      <c r="G30" s="29"/>
      <c r="H30" s="649"/>
      <c r="I30" s="640"/>
    </row>
    <row r="31" spans="1:9" ht="17.399999999999999" x14ac:dyDescent="0.3">
      <c r="A31" s="4"/>
      <c r="B31" s="655">
        <v>26</v>
      </c>
      <c r="C31" s="29" t="str">
        <f>IF(DATA!C30="","",DATA!C30)</f>
        <v/>
      </c>
      <c r="D31" s="29" t="str">
        <f>IF(DATA!D30="","",DATA!D30)</f>
        <v/>
      </c>
      <c r="E31" s="656" t="str">
        <f>IF(DATA!E30="","",UPPER(DATA!E30))</f>
        <v/>
      </c>
      <c r="F31" s="656" t="str">
        <f>IF(DATA!F30="","",UPPER(DATA!F30))</f>
        <v/>
      </c>
      <c r="G31" s="29"/>
      <c r="H31" s="649"/>
      <c r="I31" s="640"/>
    </row>
    <row r="32" spans="1:9" ht="17.399999999999999" x14ac:dyDescent="0.3">
      <c r="A32" s="4"/>
      <c r="B32" s="655">
        <v>27</v>
      </c>
      <c r="C32" s="29" t="str">
        <f>IF(DATA!C31="","",DATA!C31)</f>
        <v/>
      </c>
      <c r="D32" s="29" t="str">
        <f>IF(DATA!D31="","",DATA!D31)</f>
        <v/>
      </c>
      <c r="E32" s="656" t="str">
        <f>IF(DATA!E31="","",UPPER(DATA!E31))</f>
        <v/>
      </c>
      <c r="F32" s="656" t="str">
        <f>IF(DATA!F31="","",UPPER(DATA!F31))</f>
        <v/>
      </c>
      <c r="G32" s="29"/>
      <c r="H32" s="649"/>
      <c r="I32" s="640"/>
    </row>
    <row r="33" spans="1:9" ht="17.399999999999999" x14ac:dyDescent="0.3">
      <c r="A33" s="4"/>
      <c r="B33" s="655">
        <v>28</v>
      </c>
      <c r="C33" s="29" t="str">
        <f>IF(DATA!C32="","",DATA!C32)</f>
        <v/>
      </c>
      <c r="D33" s="29" t="str">
        <f>IF(DATA!D32="","",DATA!D32)</f>
        <v/>
      </c>
      <c r="E33" s="656" t="str">
        <f>IF(DATA!E32="","",UPPER(DATA!E32))</f>
        <v/>
      </c>
      <c r="F33" s="656" t="str">
        <f>IF(DATA!F32="","",UPPER(DATA!F32))</f>
        <v/>
      </c>
      <c r="G33" s="29"/>
      <c r="H33" s="649"/>
      <c r="I33" s="640"/>
    </row>
    <row r="34" spans="1:9" ht="17.399999999999999" x14ac:dyDescent="0.3">
      <c r="A34" s="4"/>
      <c r="B34" s="655">
        <v>29</v>
      </c>
      <c r="C34" s="29" t="str">
        <f>IF(DATA!C33="","",DATA!C33)</f>
        <v/>
      </c>
      <c r="D34" s="29" t="str">
        <f>IF(DATA!D33="","",DATA!D33)</f>
        <v/>
      </c>
      <c r="E34" s="656" t="str">
        <f>IF(DATA!E33="","",UPPER(DATA!E33))</f>
        <v/>
      </c>
      <c r="F34" s="656" t="str">
        <f>IF(DATA!F33="","",UPPER(DATA!F33))</f>
        <v/>
      </c>
      <c r="G34" s="29"/>
      <c r="H34" s="649"/>
      <c r="I34" s="640"/>
    </row>
    <row r="35" spans="1:9" ht="17.399999999999999" x14ac:dyDescent="0.3">
      <c r="A35" s="4"/>
      <c r="B35" s="655">
        <v>30</v>
      </c>
      <c r="C35" s="29" t="str">
        <f>IF(DATA!C34="","",DATA!C34)</f>
        <v/>
      </c>
      <c r="D35" s="29" t="str">
        <f>IF(DATA!D34="","",DATA!D34)</f>
        <v/>
      </c>
      <c r="E35" s="656" t="str">
        <f>IF(DATA!E34="","",UPPER(DATA!E34))</f>
        <v/>
      </c>
      <c r="F35" s="656" t="str">
        <f>IF(DATA!F34="","",UPPER(DATA!F34))</f>
        <v/>
      </c>
      <c r="G35" s="29"/>
      <c r="H35" s="649"/>
      <c r="I35" s="640"/>
    </row>
    <row r="36" spans="1:9" ht="17.399999999999999" x14ac:dyDescent="0.3">
      <c r="A36" s="4"/>
      <c r="B36" s="655">
        <v>31</v>
      </c>
      <c r="C36" s="29" t="str">
        <f>IF(DATA!C35="","",DATA!C35)</f>
        <v/>
      </c>
      <c r="D36" s="29" t="str">
        <f>IF(DATA!D35="","",DATA!D35)</f>
        <v/>
      </c>
      <c r="E36" s="656" t="str">
        <f>IF(DATA!E35="","",UPPER(DATA!E35))</f>
        <v/>
      </c>
      <c r="F36" s="656" t="str">
        <f>IF(DATA!F35="","",UPPER(DATA!F35))</f>
        <v/>
      </c>
      <c r="G36" s="29"/>
      <c r="H36" s="649"/>
      <c r="I36" s="640"/>
    </row>
    <row r="37" spans="1:9" ht="17.399999999999999" x14ac:dyDescent="0.3">
      <c r="A37" s="4"/>
      <c r="B37" s="655">
        <v>32</v>
      </c>
      <c r="C37" s="29" t="str">
        <f>IF(DATA!C36="","",DATA!C36)</f>
        <v/>
      </c>
      <c r="D37" s="29" t="str">
        <f>IF(DATA!D36="","",DATA!D36)</f>
        <v/>
      </c>
      <c r="E37" s="656" t="str">
        <f>IF(DATA!E36="","",UPPER(DATA!E36))</f>
        <v/>
      </c>
      <c r="F37" s="656" t="str">
        <f>IF(DATA!F36="","",UPPER(DATA!F36))</f>
        <v/>
      </c>
      <c r="G37" s="29"/>
      <c r="H37" s="649"/>
      <c r="I37" s="640"/>
    </row>
    <row r="38" spans="1:9" ht="17.399999999999999" x14ac:dyDescent="0.3">
      <c r="A38" s="4"/>
      <c r="B38" s="655">
        <v>33</v>
      </c>
      <c r="C38" s="29" t="str">
        <f>IF(DATA!C37="","",DATA!C37)</f>
        <v/>
      </c>
      <c r="D38" s="29" t="str">
        <f>IF(DATA!D37="","",DATA!D37)</f>
        <v/>
      </c>
      <c r="E38" s="656" t="str">
        <f>IF(DATA!E37="","",UPPER(DATA!E37))</f>
        <v/>
      </c>
      <c r="F38" s="656" t="str">
        <f>IF(DATA!F37="","",UPPER(DATA!F37))</f>
        <v/>
      </c>
      <c r="G38" s="29"/>
      <c r="H38" s="649"/>
      <c r="I38" s="640"/>
    </row>
    <row r="39" spans="1:9" ht="17.399999999999999" x14ac:dyDescent="0.3">
      <c r="A39" s="4"/>
      <c r="B39" s="655">
        <v>34</v>
      </c>
      <c r="C39" s="29" t="str">
        <f>IF(DATA!C38="","",DATA!C38)</f>
        <v/>
      </c>
      <c r="D39" s="29" t="str">
        <f>IF(DATA!D38="","",DATA!D38)</f>
        <v/>
      </c>
      <c r="E39" s="656" t="str">
        <f>IF(DATA!E38="","",UPPER(DATA!E38))</f>
        <v/>
      </c>
      <c r="F39" s="656" t="str">
        <f>IF(DATA!F38="","",UPPER(DATA!F38))</f>
        <v/>
      </c>
      <c r="G39" s="29"/>
      <c r="H39" s="649"/>
      <c r="I39" s="640"/>
    </row>
    <row r="40" spans="1:9" ht="17.399999999999999" x14ac:dyDescent="0.3">
      <c r="A40" s="4"/>
      <c r="B40" s="655">
        <v>35</v>
      </c>
      <c r="C40" s="29" t="str">
        <f>IF(DATA!C39="","",DATA!C39)</f>
        <v/>
      </c>
      <c r="D40" s="29" t="str">
        <f>IF(DATA!D39="","",DATA!D39)</f>
        <v/>
      </c>
      <c r="E40" s="656" t="str">
        <f>IF(DATA!E39="","",UPPER(DATA!E39))</f>
        <v/>
      </c>
      <c r="F40" s="656" t="str">
        <f>IF(DATA!F39="","",UPPER(DATA!F39))</f>
        <v/>
      </c>
      <c r="G40" s="29"/>
      <c r="H40" s="649"/>
      <c r="I40" s="640"/>
    </row>
    <row r="41" spans="1:9" ht="17.399999999999999" x14ac:dyDescent="0.3">
      <c r="A41" s="4"/>
      <c r="B41" s="655">
        <v>36</v>
      </c>
      <c r="C41" s="29" t="str">
        <f>IF(DATA!C40="","",DATA!C40)</f>
        <v/>
      </c>
      <c r="D41" s="29" t="str">
        <f>IF(DATA!D40="","",DATA!D40)</f>
        <v/>
      </c>
      <c r="E41" s="656" t="str">
        <f>IF(DATA!E40="","",UPPER(DATA!E40))</f>
        <v/>
      </c>
      <c r="F41" s="656" t="str">
        <f>IF(DATA!F40="","",UPPER(DATA!F40))</f>
        <v/>
      </c>
      <c r="G41" s="29"/>
      <c r="H41" s="649"/>
      <c r="I41" s="640"/>
    </row>
    <row r="42" spans="1:9" ht="17.399999999999999" x14ac:dyDescent="0.3">
      <c r="A42" s="4"/>
      <c r="B42" s="655">
        <v>37</v>
      </c>
      <c r="C42" s="29" t="str">
        <f>IF(DATA!C41="","",DATA!C41)</f>
        <v/>
      </c>
      <c r="D42" s="29" t="str">
        <f>IF(DATA!D41="","",DATA!D41)</f>
        <v/>
      </c>
      <c r="E42" s="656" t="str">
        <f>IF(DATA!E41="","",UPPER(DATA!E41))</f>
        <v/>
      </c>
      <c r="F42" s="656" t="str">
        <f>IF(DATA!F41="","",UPPER(DATA!F41))</f>
        <v/>
      </c>
      <c r="G42" s="29"/>
      <c r="H42" s="649"/>
      <c r="I42" s="640"/>
    </row>
    <row r="43" spans="1:9" ht="17.399999999999999" x14ac:dyDescent="0.3">
      <c r="A43" s="4"/>
      <c r="B43" s="655">
        <v>38</v>
      </c>
      <c r="C43" s="29" t="str">
        <f>IF(DATA!C42="","",DATA!C42)</f>
        <v/>
      </c>
      <c r="D43" s="29" t="str">
        <f>IF(DATA!D42="","",DATA!D42)</f>
        <v/>
      </c>
      <c r="E43" s="656" t="str">
        <f>IF(DATA!E42="","",UPPER(DATA!E42))</f>
        <v/>
      </c>
      <c r="F43" s="656" t="str">
        <f>IF(DATA!F42="","",UPPER(DATA!F42))</f>
        <v/>
      </c>
      <c r="G43" s="29"/>
      <c r="H43" s="649"/>
      <c r="I43" s="640"/>
    </row>
    <row r="44" spans="1:9" ht="17.399999999999999" x14ac:dyDescent="0.3">
      <c r="A44" s="4"/>
      <c r="B44" s="655">
        <v>39</v>
      </c>
      <c r="C44" s="29" t="str">
        <f>IF(DATA!C43="","",DATA!C43)</f>
        <v/>
      </c>
      <c r="D44" s="29" t="str">
        <f>IF(DATA!D43="","",DATA!D43)</f>
        <v/>
      </c>
      <c r="E44" s="656" t="str">
        <f>IF(DATA!E43="","",UPPER(DATA!E43))</f>
        <v/>
      </c>
      <c r="F44" s="656" t="str">
        <f>IF(DATA!F43="","",UPPER(DATA!F43))</f>
        <v/>
      </c>
      <c r="G44" s="29"/>
      <c r="H44" s="649"/>
      <c r="I44" s="640"/>
    </row>
    <row r="45" spans="1:9" ht="17.399999999999999" x14ac:dyDescent="0.3">
      <c r="A45" s="4"/>
      <c r="B45" s="655">
        <v>40</v>
      </c>
      <c r="C45" s="29" t="str">
        <f>IF(DATA!C44="","",DATA!C44)</f>
        <v/>
      </c>
      <c r="D45" s="29" t="str">
        <f>IF(DATA!D44="","",DATA!D44)</f>
        <v/>
      </c>
      <c r="E45" s="656" t="str">
        <f>IF(DATA!E44="","",UPPER(DATA!E44))</f>
        <v/>
      </c>
      <c r="F45" s="656" t="str">
        <f>IF(DATA!F44="","",UPPER(DATA!F44))</f>
        <v/>
      </c>
      <c r="G45" s="29"/>
      <c r="H45" s="649"/>
      <c r="I45" s="640"/>
    </row>
    <row r="46" spans="1:9" ht="17.399999999999999" x14ac:dyDescent="0.3">
      <c r="A46" s="4"/>
      <c r="B46" s="655">
        <v>41</v>
      </c>
      <c r="C46" s="29" t="str">
        <f>IF(DATA!C45="","",DATA!C45)</f>
        <v/>
      </c>
      <c r="D46" s="29" t="str">
        <f>IF(DATA!D45="","",DATA!D45)</f>
        <v/>
      </c>
      <c r="E46" s="656" t="str">
        <f>IF(DATA!E45="","",UPPER(DATA!E45))</f>
        <v/>
      </c>
      <c r="F46" s="656" t="str">
        <f>IF(DATA!F45="","",UPPER(DATA!F45))</f>
        <v/>
      </c>
      <c r="G46" s="29"/>
      <c r="H46" s="649"/>
      <c r="I46" s="640"/>
    </row>
    <row r="47" spans="1:9" ht="17.399999999999999" x14ac:dyDescent="0.3">
      <c r="A47" s="4"/>
      <c r="B47" s="655">
        <v>42</v>
      </c>
      <c r="C47" s="29" t="str">
        <f>IF(DATA!C46="","",DATA!C46)</f>
        <v/>
      </c>
      <c r="D47" s="29" t="str">
        <f>IF(DATA!D46="","",DATA!D46)</f>
        <v/>
      </c>
      <c r="E47" s="656" t="str">
        <f>IF(DATA!E46="","",UPPER(DATA!E46))</f>
        <v/>
      </c>
      <c r="F47" s="656" t="str">
        <f>IF(DATA!F46="","",UPPER(DATA!F46))</f>
        <v/>
      </c>
      <c r="G47" s="29"/>
      <c r="H47" s="649"/>
      <c r="I47" s="640"/>
    </row>
    <row r="48" spans="1:9" ht="17.399999999999999" x14ac:dyDescent="0.3">
      <c r="A48" s="4"/>
      <c r="B48" s="655">
        <v>43</v>
      </c>
      <c r="C48" s="29" t="str">
        <f>IF(DATA!C47="","",DATA!C47)</f>
        <v/>
      </c>
      <c r="D48" s="29" t="str">
        <f>IF(DATA!D47="","",DATA!D47)</f>
        <v/>
      </c>
      <c r="E48" s="656" t="str">
        <f>IF(DATA!E47="","",UPPER(DATA!E47))</f>
        <v/>
      </c>
      <c r="F48" s="656" t="str">
        <f>IF(DATA!F47="","",UPPER(DATA!F47))</f>
        <v/>
      </c>
      <c r="G48" s="29"/>
      <c r="H48" s="649"/>
      <c r="I48" s="640"/>
    </row>
    <row r="49" spans="1:9" ht="17.399999999999999" x14ac:dyDescent="0.3">
      <c r="A49" s="4"/>
      <c r="B49" s="655">
        <v>44</v>
      </c>
      <c r="C49" s="29" t="str">
        <f>IF(DATA!C48="","",DATA!C48)</f>
        <v/>
      </c>
      <c r="D49" s="29" t="str">
        <f>IF(DATA!D48="","",DATA!D48)</f>
        <v/>
      </c>
      <c r="E49" s="656" t="str">
        <f>IF(DATA!E48="","",UPPER(DATA!E48))</f>
        <v/>
      </c>
      <c r="F49" s="656" t="str">
        <f>IF(DATA!F48="","",UPPER(DATA!F48))</f>
        <v/>
      </c>
      <c r="G49" s="29"/>
      <c r="H49" s="649"/>
      <c r="I49" s="640"/>
    </row>
    <row r="50" spans="1:9" ht="18" thickBot="1" x14ac:dyDescent="0.35">
      <c r="A50" s="4"/>
      <c r="B50" s="664">
        <v>45</v>
      </c>
      <c r="C50" s="29" t="str">
        <f>IF(DATA!C49="","",DATA!C49)</f>
        <v/>
      </c>
      <c r="D50" s="29" t="str">
        <f>IF(DATA!D49="","",DATA!D49)</f>
        <v/>
      </c>
      <c r="E50" s="656" t="str">
        <f>IF(DATA!E49="","",UPPER(DATA!E49))</f>
        <v/>
      </c>
      <c r="F50" s="656" t="str">
        <f>IF(DATA!F49="","",UPPER(DATA!F49))</f>
        <v/>
      </c>
      <c r="G50" s="375"/>
      <c r="H50" s="650"/>
      <c r="I50" s="640"/>
    </row>
    <row r="51" spans="1:9" ht="50.4" customHeight="1" thickBot="1" x14ac:dyDescent="0.35">
      <c r="A51" s="4"/>
      <c r="B51" s="1431" t="s">
        <v>231</v>
      </c>
      <c r="C51" s="1432"/>
      <c r="D51" s="1432"/>
      <c r="E51" s="1432"/>
      <c r="F51" s="1432"/>
      <c r="G51" s="1432"/>
      <c r="H51" s="1433"/>
      <c r="I51" s="640"/>
    </row>
    <row r="52" spans="1:9" ht="14.4" x14ac:dyDescent="0.3">
      <c r="A52" s="4"/>
      <c r="B52" s="22"/>
      <c r="C52" s="22"/>
      <c r="D52" s="22"/>
      <c r="E52" s="22"/>
      <c r="F52" s="22"/>
      <c r="G52" s="22"/>
      <c r="H52" s="22"/>
    </row>
    <row r="53" spans="1:9" ht="14.4" hidden="1" x14ac:dyDescent="0.3"/>
  </sheetData>
  <sheetProtection algorithmName="SHA-512" hashValue="ofooid4QE4nUO/R0a69ptVXrGMDUz62q5FUPD0h80lqobvyEsgfQKep5YRK3W7335gpdnDPDXLvbPujU5k9L5Q==" saltValue="kLRBu0MRZmPg1/DxgjBaCA==" spinCount="100000" sheet="1" objects="1" scenarios="1"/>
  <mergeCells count="5">
    <mergeCell ref="B51:E51"/>
    <mergeCell ref="F51:H51"/>
    <mergeCell ref="B2:H2"/>
    <mergeCell ref="B3:H3"/>
    <mergeCell ref="F4:H4"/>
  </mergeCells>
  <printOptions horizontalCentered="1"/>
  <pageMargins left="0.32" right="0.2" top="0.43" bottom="0.33" header="0.3" footer="0.3"/>
  <pageSetup paperSize="9" scale="7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L29"/>
  <sheetViews>
    <sheetView topLeftCell="A10" workbookViewId="0"/>
  </sheetViews>
  <sheetFormatPr defaultColWidth="0" defaultRowHeight="14.4" zeroHeight="1" x14ac:dyDescent="0.3"/>
  <cols>
    <col min="1" max="1" width="2.44140625" style="617" customWidth="1"/>
    <col min="2" max="2" width="27.6640625" style="21" bestFit="1" customWidth="1"/>
    <col min="3" max="3" width="23.109375" style="21" customWidth="1"/>
    <col min="4" max="4" width="17.33203125" style="21" customWidth="1"/>
    <col min="5" max="8" width="23.109375" style="21" customWidth="1"/>
    <col min="9" max="9" width="2.88671875" style="617" customWidth="1"/>
    <col min="10" max="16384" width="9.109375" style="617" hidden="1"/>
  </cols>
  <sheetData>
    <row r="1" spans="1:12" s="4" customFormat="1" ht="12.6" customHeight="1" x14ac:dyDescent="0.3">
      <c r="A1" s="10" t="s">
        <v>20</v>
      </c>
      <c r="B1" s="22"/>
      <c r="C1" s="22"/>
      <c r="D1" s="22"/>
      <c r="E1" s="22"/>
      <c r="F1" s="22"/>
      <c r="G1" s="22"/>
      <c r="H1" s="22"/>
    </row>
    <row r="2" spans="1:12" s="4" customFormat="1" ht="45" customHeight="1" x14ac:dyDescent="0.3">
      <c r="C2" s="1439" t="str">
        <f>DASHBOARD!B2&amp;DASHBOARD!B3</f>
        <v xml:space="preserve">SWAMI VIVEKANAND GOVT. MODEL SCHOOL,  AMET, BLOCK-AMET, RAJSAMAND                                                                </v>
      </c>
      <c r="D2" s="1439"/>
      <c r="E2" s="1439"/>
      <c r="F2" s="1439"/>
      <c r="G2" s="1439"/>
      <c r="H2" s="1439"/>
      <c r="I2" s="11"/>
      <c r="J2" s="11"/>
      <c r="K2" s="11"/>
      <c r="L2" s="11"/>
    </row>
    <row r="3" spans="1:12" s="4" customFormat="1" ht="30.75" customHeight="1" x14ac:dyDescent="0.3">
      <c r="C3" s="1439" t="str">
        <f>IF(DASHBOARD!B4="","",DASHBOARD!B4)</f>
        <v>SESSION    -  2025-26</v>
      </c>
      <c r="D3" s="1439"/>
      <c r="E3" s="1439"/>
      <c r="F3" s="1439"/>
      <c r="G3" s="1439"/>
      <c r="H3" s="552"/>
      <c r="I3" s="11"/>
      <c r="J3" s="11"/>
      <c r="K3" s="11"/>
      <c r="L3" s="11"/>
    </row>
    <row r="4" spans="1:12" s="4" customFormat="1" ht="22.2" x14ac:dyDescent="0.35">
      <c r="B4" s="1438" t="s">
        <v>285</v>
      </c>
      <c r="C4" s="1438"/>
      <c r="D4" s="1438"/>
      <c r="E4" s="1438"/>
      <c r="F4" s="1438"/>
      <c r="G4" s="1438"/>
      <c r="H4" s="1438"/>
    </row>
    <row r="5" spans="1:12" s="4" customFormat="1" ht="22.8" thickBot="1" x14ac:dyDescent="0.4">
      <c r="B5" s="1438" t="str">
        <f>CONCATENATE("CLASS : ", DASHBOARD!B8,DASHBOARD!C8)</f>
        <v>CLASS : XI A</v>
      </c>
      <c r="C5" s="1438"/>
      <c r="D5" s="1438"/>
      <c r="E5" s="1438"/>
      <c r="F5" s="1438"/>
      <c r="G5" s="1438"/>
      <c r="H5" s="1438"/>
    </row>
    <row r="6" spans="1:12" s="4" customFormat="1" ht="35.25" customHeight="1" x14ac:dyDescent="0.3">
      <c r="B6" s="1440" t="s">
        <v>57</v>
      </c>
      <c r="C6" s="558" t="str">
        <f>IF(DASHBOARD!C12="","",DASHBOARD!C12)</f>
        <v>SUREKHA</v>
      </c>
      <c r="D6" s="106" t="str">
        <f>IF(DASHBOARD!C13="","",DASHBOARD!C13)</f>
        <v>NILESH KUMAR KHATIK</v>
      </c>
      <c r="E6" s="106" t="str">
        <f>IF(DASHBOARD!E12="","",DASHBOARD!E12)</f>
        <v>KAMLESH KUMAR</v>
      </c>
      <c r="F6" s="106" t="str">
        <f>IF(DASHBOARD!E13="","",DASHBOARD!E13)</f>
        <v>KAMLESH KUMAR</v>
      </c>
      <c r="G6" s="106" t="str">
        <f>IF(DASHBOARD!E14="","",DASHBOARD!E14)</f>
        <v>BIOLOGY</v>
      </c>
      <c r="H6" s="107" t="str">
        <f>IF(DASHBOARD!E15="","",DASHBOARD!E15)</f>
        <v>SUREKHA</v>
      </c>
    </row>
    <row r="7" spans="1:12" s="4" customFormat="1" ht="33.75" customHeight="1" thickBot="1" x14ac:dyDescent="0.35">
      <c r="B7" s="1441"/>
      <c r="C7" s="559" t="str">
        <f>DASHBOARD!B12</f>
        <v>ENGLISH</v>
      </c>
      <c r="D7" s="41" t="str">
        <f>DASHBOARD!B13</f>
        <v>MATHS</v>
      </c>
      <c r="E7" s="41" t="str">
        <f>DASHBOARD!D12</f>
        <v xml:space="preserve">PHYSICS </v>
      </c>
      <c r="F7" s="41" t="str">
        <f>DASHBOARD!D13</f>
        <v>CHEMISTRY</v>
      </c>
      <c r="G7" s="41" t="str">
        <f>DASHBOARD!D14</f>
        <v xml:space="preserve">BIOLOGY </v>
      </c>
      <c r="H7" s="557" t="str">
        <f>DASHBOARD!D15</f>
        <v xml:space="preserve">PHYSICAL EDUCATION </v>
      </c>
    </row>
    <row r="8" spans="1:12" s="4" customFormat="1" ht="20.399999999999999" x14ac:dyDescent="0.3">
      <c r="B8" s="562" t="s">
        <v>42</v>
      </c>
      <c r="C8" s="560">
        <f>IF('GREEN SHEET'!AC52="","",'GREEN SHEET'!AC52)</f>
        <v>3</v>
      </c>
      <c r="D8" s="555">
        <f>IF('GREEN SHEET'!AT52="","",'GREEN SHEET'!AT52)</f>
        <v>0</v>
      </c>
      <c r="E8" s="555">
        <f>IF('GREEN SHEET'!BN52="","",'GREEN SHEET'!BN52)</f>
        <v>3</v>
      </c>
      <c r="F8" s="555">
        <f>IF('GREEN SHEET'!CG52="","",'GREEN SHEET'!CG52)</f>
        <v>3</v>
      </c>
      <c r="G8" s="555">
        <f>IF('GREEN SHEET'!CZ52="","",'GREEN SHEET'!CZ52)</f>
        <v>1</v>
      </c>
      <c r="H8" s="556">
        <f>IF('GREEN SHEET'!DS52="","",'GREEN SHEET'!DS52)</f>
        <v>3</v>
      </c>
    </row>
    <row r="9" spans="1:12" s="4" customFormat="1" ht="20.399999999999999" x14ac:dyDescent="0.3">
      <c r="B9" s="563" t="s">
        <v>43</v>
      </c>
      <c r="C9" s="561">
        <f>IF('GREEN SHEET'!AC53="","",'GREEN SHEET'!AC53)</f>
        <v>3</v>
      </c>
      <c r="D9" s="108">
        <f>IF('GREEN SHEET'!AT53="","",'GREEN SHEET'!AT53)</f>
        <v>0</v>
      </c>
      <c r="E9" s="108">
        <f>IF('GREEN SHEET'!BN53="","",'GREEN SHEET'!BN53)</f>
        <v>3</v>
      </c>
      <c r="F9" s="108">
        <f>IF('GREEN SHEET'!CG53="","",'GREEN SHEET'!CG53)</f>
        <v>3</v>
      </c>
      <c r="G9" s="108">
        <f>IF('GREEN SHEET'!CZ53="","",'GREEN SHEET'!CZ53)</f>
        <v>1</v>
      </c>
      <c r="H9" s="553">
        <f>IF('GREEN SHEET'!DS53="","",'GREEN SHEET'!DS53)</f>
        <v>3</v>
      </c>
    </row>
    <row r="10" spans="1:12" s="4" customFormat="1" ht="20.399999999999999" x14ac:dyDescent="0.3">
      <c r="B10" s="563" t="s">
        <v>44</v>
      </c>
      <c r="C10" s="561">
        <f>IF('GREEN SHEET'!AC54="","",'GREEN SHEET'!AC54)</f>
        <v>0</v>
      </c>
      <c r="D10" s="108">
        <f>IF('GREEN SHEET'!AT54="","",'GREEN SHEET'!AT54)</f>
        <v>0</v>
      </c>
      <c r="E10" s="108">
        <f>IF('GREEN SHEET'!BN54="","",'GREEN SHEET'!BN54)</f>
        <v>0</v>
      </c>
      <c r="F10" s="108">
        <f>IF('GREEN SHEET'!CG54="","",'GREEN SHEET'!CG54)</f>
        <v>0</v>
      </c>
      <c r="G10" s="108">
        <f>IF('GREEN SHEET'!CZ54="","",'GREEN SHEET'!CZ54)</f>
        <v>0</v>
      </c>
      <c r="H10" s="553">
        <f>IF('GREEN SHEET'!DS54="","",'GREEN SHEET'!DS54)</f>
        <v>0</v>
      </c>
    </row>
    <row r="11" spans="1:12" s="4" customFormat="1" ht="21" thickBot="1" x14ac:dyDescent="0.35">
      <c r="B11" s="566" t="s">
        <v>45</v>
      </c>
      <c r="C11" s="567" t="str">
        <f>IF('GREEN SHEET'!AC55="","",'GREEN SHEET'!AC55)</f>
        <v>100 %</v>
      </c>
      <c r="D11" s="377" t="str">
        <f>IF('GREEN SHEET'!AT55="","",'GREEN SHEET'!AT55)</f>
        <v>N/A</v>
      </c>
      <c r="E11" s="377" t="str">
        <f>IF('GREEN SHEET'!BN55="","",'GREEN SHEET'!BN55)</f>
        <v>100 %</v>
      </c>
      <c r="F11" s="377" t="str">
        <f>IF('GREEN SHEET'!CG55="","",'GREEN SHEET'!CG55)</f>
        <v>100 %</v>
      </c>
      <c r="G11" s="377" t="str">
        <f>IF('GREEN SHEET'!CZ55="","",'GREEN SHEET'!CZ55)</f>
        <v>100 %</v>
      </c>
      <c r="H11" s="568" t="str">
        <f>IF('GREEN SHEET'!DS55="","",'GREEN SHEET'!DS55)</f>
        <v>100 %</v>
      </c>
    </row>
    <row r="12" spans="1:12" s="4" customFormat="1" ht="6" customHeight="1" thickBot="1" x14ac:dyDescent="0.35">
      <c r="B12" s="1435"/>
      <c r="C12" s="1436"/>
      <c r="D12" s="1436"/>
      <c r="E12" s="1436"/>
      <c r="F12" s="1436"/>
      <c r="G12" s="1436"/>
      <c r="H12" s="1437"/>
    </row>
    <row r="13" spans="1:12" s="4" customFormat="1" ht="20.399999999999999" x14ac:dyDescent="0.3">
      <c r="B13" s="569" t="s">
        <v>276</v>
      </c>
      <c r="C13" s="560">
        <f>IF('GREEN SHEET'!AC57="","",'GREEN SHEET'!AC57)</f>
        <v>1</v>
      </c>
      <c r="D13" s="555">
        <f>IF('GREEN SHEET'!AT57="","",'GREEN SHEET'!AT57)</f>
        <v>0</v>
      </c>
      <c r="E13" s="555">
        <f>IF('GREEN SHEET'!BN57="","",'GREEN SHEET'!BN57)</f>
        <v>0</v>
      </c>
      <c r="F13" s="555">
        <f>IF('GREEN SHEET'!CG57="","",'GREEN SHEET'!CG57)</f>
        <v>0</v>
      </c>
      <c r="G13" s="555">
        <f>IF('GREEN SHEET'!CZ57="","",'GREEN SHEET'!CZ57)</f>
        <v>1</v>
      </c>
      <c r="H13" s="556">
        <f>IF('GREEN SHEET'!DS57="","",'GREEN SHEET'!DS57)</f>
        <v>0</v>
      </c>
    </row>
    <row r="14" spans="1:12" s="4" customFormat="1" ht="20.399999999999999" x14ac:dyDescent="0.3">
      <c r="B14" s="563" t="s">
        <v>48</v>
      </c>
      <c r="C14" s="561">
        <f>IF('GREEN SHEET'!AC58="","",'GREEN SHEET'!AC58)</f>
        <v>0</v>
      </c>
      <c r="D14" s="108">
        <f>IF('GREEN SHEET'!AT58="","",'GREEN SHEET'!AT58)</f>
        <v>0</v>
      </c>
      <c r="E14" s="108">
        <f>IF('GREEN SHEET'!BN58="","",'GREEN SHEET'!BN58)</f>
        <v>0</v>
      </c>
      <c r="F14" s="108">
        <f>IF('GREEN SHEET'!CG58="","",'GREEN SHEET'!CG58)</f>
        <v>0</v>
      </c>
      <c r="G14" s="108">
        <f>IF('GREEN SHEET'!CZ58="","",'GREEN SHEET'!CZ58)</f>
        <v>0</v>
      </c>
      <c r="H14" s="553">
        <f>IF('GREEN SHEET'!DS58="","",'GREEN SHEET'!DS58)</f>
        <v>0</v>
      </c>
    </row>
    <row r="15" spans="1:12" s="4" customFormat="1" ht="20.399999999999999" x14ac:dyDescent="0.3">
      <c r="B15" s="563" t="s">
        <v>40</v>
      </c>
      <c r="C15" s="561">
        <f>IF('GREEN SHEET'!AC59="","",'GREEN SHEET'!AC59)</f>
        <v>1</v>
      </c>
      <c r="D15" s="108">
        <f>IF('GREEN SHEET'!AT59="","",'GREEN SHEET'!AT59)</f>
        <v>0</v>
      </c>
      <c r="E15" s="108">
        <f>IF('GREEN SHEET'!BN59="","",'GREEN SHEET'!BN59)</f>
        <v>0</v>
      </c>
      <c r="F15" s="108">
        <f>IF('GREEN SHEET'!CG59="","",'GREEN SHEET'!CG59)</f>
        <v>0</v>
      </c>
      <c r="G15" s="108">
        <f>IF('GREEN SHEET'!CZ59="","",'GREEN SHEET'!CZ59)</f>
        <v>0</v>
      </c>
      <c r="H15" s="553">
        <f>IF('GREEN SHEET'!DS59="","",'GREEN SHEET'!DS59)</f>
        <v>0</v>
      </c>
    </row>
    <row r="16" spans="1:12" s="4" customFormat="1" ht="20.399999999999999" x14ac:dyDescent="0.3">
      <c r="B16" s="563" t="s">
        <v>49</v>
      </c>
      <c r="C16" s="561">
        <f>IF('GREEN SHEET'!AC60="","",'GREEN SHEET'!AC60)</f>
        <v>0</v>
      </c>
      <c r="D16" s="108">
        <f>IF('GREEN SHEET'!AT60="","",'GREEN SHEET'!AT60)</f>
        <v>0</v>
      </c>
      <c r="E16" s="108">
        <f>IF('GREEN SHEET'!BN60="","",'GREEN SHEET'!BN60)</f>
        <v>0</v>
      </c>
      <c r="F16" s="108">
        <f>IF('GREEN SHEET'!CG60="","",'GREEN SHEET'!CG60)</f>
        <v>0</v>
      </c>
      <c r="G16" s="108">
        <f>IF('GREEN SHEET'!CZ60="","",'GREEN SHEET'!CZ60)</f>
        <v>0</v>
      </c>
      <c r="H16" s="553">
        <f>IF('GREEN SHEET'!DS60="","",'GREEN SHEET'!DS60)</f>
        <v>1</v>
      </c>
    </row>
    <row r="17" spans="2:8" s="4" customFormat="1" ht="20.399999999999999" x14ac:dyDescent="0.3">
      <c r="B17" s="563" t="s">
        <v>50</v>
      </c>
      <c r="C17" s="561">
        <f>IF('GREEN SHEET'!AC61="","",'GREEN SHEET'!AC61)</f>
        <v>0</v>
      </c>
      <c r="D17" s="108">
        <f>IF('GREEN SHEET'!AT61="","",'GREEN SHEET'!AT61)</f>
        <v>0</v>
      </c>
      <c r="E17" s="108">
        <f>IF('GREEN SHEET'!BN61="","",'GREEN SHEET'!BN61)</f>
        <v>0</v>
      </c>
      <c r="F17" s="108">
        <f>IF('GREEN SHEET'!CG61="","",'GREEN SHEET'!CG61)</f>
        <v>1</v>
      </c>
      <c r="G17" s="108">
        <f>IF('GREEN SHEET'!CZ61="","",'GREEN SHEET'!CZ61)</f>
        <v>0</v>
      </c>
      <c r="H17" s="553">
        <f>IF('GREEN SHEET'!DS61="","",'GREEN SHEET'!DS61)</f>
        <v>0</v>
      </c>
    </row>
    <row r="18" spans="2:8" s="4" customFormat="1" ht="20.399999999999999" x14ac:dyDescent="0.3">
      <c r="B18" s="563" t="s">
        <v>51</v>
      </c>
      <c r="C18" s="561">
        <f>IF('GREEN SHEET'!AC62="","",'GREEN SHEET'!AC62)</f>
        <v>0</v>
      </c>
      <c r="D18" s="108">
        <f>IF('GREEN SHEET'!AT62="","",'GREEN SHEET'!AT62)</f>
        <v>0</v>
      </c>
      <c r="E18" s="108">
        <f>IF('GREEN SHEET'!BN62="","",'GREEN SHEET'!BN62)</f>
        <v>3</v>
      </c>
      <c r="F18" s="108">
        <f>IF('GREEN SHEET'!CG62="","",'GREEN SHEET'!CG62)</f>
        <v>2</v>
      </c>
      <c r="G18" s="108">
        <f>IF('GREEN SHEET'!CZ62="","",'GREEN SHEET'!CZ62)</f>
        <v>0</v>
      </c>
      <c r="H18" s="553">
        <f>IF('GREEN SHEET'!DS62="","",'GREEN SHEET'!DS62)</f>
        <v>0</v>
      </c>
    </row>
    <row r="19" spans="2:8" s="4" customFormat="1" ht="20.399999999999999" x14ac:dyDescent="0.3">
      <c r="B19" s="563" t="s">
        <v>39</v>
      </c>
      <c r="C19" s="561">
        <f>IF('GREEN SHEET'!AC63="","",'GREEN SHEET'!AC63)</f>
        <v>1</v>
      </c>
      <c r="D19" s="108">
        <f>IF('GREEN SHEET'!AT63="","",'GREEN SHEET'!AT63)</f>
        <v>0</v>
      </c>
      <c r="E19" s="108">
        <f>IF('GREEN SHEET'!BN63="","",'GREEN SHEET'!BN63)</f>
        <v>0</v>
      </c>
      <c r="F19" s="108">
        <f>IF('GREEN SHEET'!CG63="","",'GREEN SHEET'!CG63)</f>
        <v>0</v>
      </c>
      <c r="G19" s="108">
        <f>IF('GREEN SHEET'!CZ63="","",'GREEN SHEET'!CZ63)</f>
        <v>0</v>
      </c>
      <c r="H19" s="553">
        <f>IF('GREEN SHEET'!DS63="","",'GREEN SHEET'!DS63)</f>
        <v>1</v>
      </c>
    </row>
    <row r="20" spans="2:8" s="4" customFormat="1" ht="20.399999999999999" x14ac:dyDescent="0.3">
      <c r="B20" s="563" t="s">
        <v>38</v>
      </c>
      <c r="C20" s="561">
        <f>IF('GREEN SHEET'!AC64="","",'GREEN SHEET'!AC64)</f>
        <v>0</v>
      </c>
      <c r="D20" s="108">
        <f>IF('GREEN SHEET'!AT64="","",'GREEN SHEET'!AT64)</f>
        <v>0</v>
      </c>
      <c r="E20" s="108">
        <f>IF('GREEN SHEET'!BN64="","",'GREEN SHEET'!BN64)</f>
        <v>0</v>
      </c>
      <c r="F20" s="108">
        <f>IF('GREEN SHEET'!CG64="","",'GREEN SHEET'!CG64)</f>
        <v>0</v>
      </c>
      <c r="G20" s="108">
        <f>IF('GREEN SHEET'!CZ64="","",'GREEN SHEET'!CZ64)</f>
        <v>0</v>
      </c>
      <c r="H20" s="553">
        <f>IF('GREEN SHEET'!DS64="","",'GREEN SHEET'!DS64)</f>
        <v>1</v>
      </c>
    </row>
    <row r="21" spans="2:8" s="4" customFormat="1" ht="21" thickBot="1" x14ac:dyDescent="0.35">
      <c r="B21" s="566" t="s">
        <v>199</v>
      </c>
      <c r="C21" s="567">
        <f>IF('GREEN SHEET'!AC65="","",'GREEN SHEET'!AC65)</f>
        <v>3</v>
      </c>
      <c r="D21" s="377">
        <f>IF('GREEN SHEET'!AT65="","",'GREEN SHEET'!AT65)</f>
        <v>0</v>
      </c>
      <c r="E21" s="377">
        <f>IF('GREEN SHEET'!BN65="","",'GREEN SHEET'!BN65)</f>
        <v>3</v>
      </c>
      <c r="F21" s="377">
        <f>IF('GREEN SHEET'!CG65="","",'GREEN SHEET'!CG65)</f>
        <v>3</v>
      </c>
      <c r="G21" s="377">
        <f>IF('GREEN SHEET'!CZ65="","",'GREEN SHEET'!CZ65)</f>
        <v>0</v>
      </c>
      <c r="H21" s="568">
        <f>IF('GREEN SHEET'!DS65="","",'GREEN SHEET'!DS65)</f>
        <v>3</v>
      </c>
    </row>
    <row r="22" spans="2:8" s="4" customFormat="1" ht="5.4" customHeight="1" thickBot="1" x14ac:dyDescent="0.35">
      <c r="B22" s="1435"/>
      <c r="C22" s="1436"/>
      <c r="D22" s="1436"/>
      <c r="E22" s="1436"/>
      <c r="F22" s="1436"/>
      <c r="G22" s="1436"/>
      <c r="H22" s="1437"/>
    </row>
    <row r="23" spans="2:8" s="4" customFormat="1" ht="20.399999999999999" x14ac:dyDescent="0.3">
      <c r="B23" s="569" t="s">
        <v>53</v>
      </c>
      <c r="C23" s="560">
        <f>IF('GREEN SHEET'!AC66="","",'GREEN SHEET'!AC66)</f>
        <v>1</v>
      </c>
      <c r="D23" s="555">
        <f>IF('GREEN SHEET'!AT66="","",'GREEN SHEET'!AT66)</f>
        <v>0</v>
      </c>
      <c r="E23" s="555">
        <f>IF('GREEN SHEET'!BN66="","",'GREEN SHEET'!BN66)</f>
        <v>3</v>
      </c>
      <c r="F23" s="555">
        <f>IF('GREEN SHEET'!CG66="","",'GREEN SHEET'!CG66)</f>
        <v>3</v>
      </c>
      <c r="G23" s="555">
        <f>IF('GREEN SHEET'!CZ66="","",'GREEN SHEET'!CZ66)</f>
        <v>0</v>
      </c>
      <c r="H23" s="556">
        <f>IF('GREEN SHEET'!DS66="","",'GREEN SHEET'!DS66)</f>
        <v>3</v>
      </c>
    </row>
    <row r="24" spans="2:8" s="4" customFormat="1" ht="20.399999999999999" x14ac:dyDescent="0.3">
      <c r="B24" s="563" t="s">
        <v>54</v>
      </c>
      <c r="C24" s="561">
        <f>IF('GREEN SHEET'!AC67="","",'GREEN SHEET'!AC67)</f>
        <v>0</v>
      </c>
      <c r="D24" s="108">
        <f>IF('GREEN SHEET'!AT67="","",'GREEN SHEET'!AT67)</f>
        <v>0</v>
      </c>
      <c r="E24" s="108">
        <f>IF('GREEN SHEET'!BN67="","",'GREEN SHEET'!BN67)</f>
        <v>0</v>
      </c>
      <c r="F24" s="108">
        <f>IF('GREEN SHEET'!CG67="","",'GREEN SHEET'!CG67)</f>
        <v>0</v>
      </c>
      <c r="G24" s="108">
        <f>IF('GREEN SHEET'!CZ67="","",'GREEN SHEET'!CZ67)</f>
        <v>1</v>
      </c>
      <c r="H24" s="553">
        <f>IF('GREEN SHEET'!DS67="","",'GREEN SHEET'!DS67)</f>
        <v>0</v>
      </c>
    </row>
    <row r="25" spans="2:8" s="4" customFormat="1" ht="20.399999999999999" x14ac:dyDescent="0.3">
      <c r="B25" s="563" t="s">
        <v>55</v>
      </c>
      <c r="C25" s="561">
        <f>IF('GREEN SHEET'!AC68="","",'GREEN SHEET'!AC68)</f>
        <v>1</v>
      </c>
      <c r="D25" s="108">
        <f>IF('GREEN SHEET'!AT68="","",'GREEN SHEET'!AT68)</f>
        <v>0</v>
      </c>
      <c r="E25" s="108">
        <f>IF('GREEN SHEET'!BN68="","",'GREEN SHEET'!BN68)</f>
        <v>0</v>
      </c>
      <c r="F25" s="108">
        <f>IF('GREEN SHEET'!CG68="","",'GREEN SHEET'!CG68)</f>
        <v>0</v>
      </c>
      <c r="G25" s="108">
        <f>IF('GREEN SHEET'!CZ68="","",'GREEN SHEET'!CZ68)</f>
        <v>0</v>
      </c>
      <c r="H25" s="553">
        <f>IF('GREEN SHEET'!DS68="","",'GREEN SHEET'!DS68)</f>
        <v>0</v>
      </c>
    </row>
    <row r="26" spans="2:8" s="4" customFormat="1" ht="20.399999999999999" x14ac:dyDescent="0.3">
      <c r="B26" s="563" t="s">
        <v>56</v>
      </c>
      <c r="C26" s="561">
        <f>IF('GREEN SHEET'!AC69="","",'GREEN SHEET'!AC69)</f>
        <v>0</v>
      </c>
      <c r="D26" s="108">
        <f>IF('GREEN SHEET'!AT69="","",'GREEN SHEET'!AT69)</f>
        <v>0</v>
      </c>
      <c r="E26" s="108">
        <f>IF('GREEN SHEET'!BN69="","",'GREEN SHEET'!BN69)</f>
        <v>0</v>
      </c>
      <c r="F26" s="108">
        <f>IF('GREEN SHEET'!CG69="","",'GREEN SHEET'!CG69)</f>
        <v>0</v>
      </c>
      <c r="G26" s="108">
        <f>IF('GREEN SHEET'!CZ69="","",'GREEN SHEET'!CZ69)</f>
        <v>0</v>
      </c>
      <c r="H26" s="553">
        <f>IF('GREEN SHEET'!DS69="","",'GREEN SHEET'!DS69)</f>
        <v>0</v>
      </c>
    </row>
    <row r="27" spans="2:8" s="4" customFormat="1" ht="21" thickBot="1" x14ac:dyDescent="0.35">
      <c r="B27" s="564" t="s">
        <v>41</v>
      </c>
      <c r="C27" s="565">
        <f t="shared" ref="C27:H27" si="0">SUM(C23:C26)</f>
        <v>2</v>
      </c>
      <c r="D27" s="109">
        <f t="shared" si="0"/>
        <v>0</v>
      </c>
      <c r="E27" s="109">
        <f t="shared" si="0"/>
        <v>3</v>
      </c>
      <c r="F27" s="109">
        <f t="shared" si="0"/>
        <v>3</v>
      </c>
      <c r="G27" s="109">
        <f t="shared" si="0"/>
        <v>1</v>
      </c>
      <c r="H27" s="554">
        <f t="shared" si="0"/>
        <v>3</v>
      </c>
    </row>
    <row r="28" spans="2:8" s="4" customFormat="1" ht="16.95" customHeight="1" x14ac:dyDescent="0.3">
      <c r="B28" s="110"/>
      <c r="C28" s="110"/>
      <c r="D28" s="49"/>
      <c r="E28" s="49"/>
      <c r="F28" s="49"/>
      <c r="G28" s="49"/>
      <c r="H28" s="49"/>
    </row>
    <row r="29" spans="2:8" hidden="1" x14ac:dyDescent="0.3"/>
  </sheetData>
  <sheetProtection algorithmName="SHA-512" hashValue="vE0peHS1xJ/DpCNzkfd9Inet5oIo5CsMP+CMmE9SPZpGU4GZFipz2NudwvxSm4baINggoJUkjLFprxWS5B+myA==" saltValue="bXHu5MfDrcBgVVVsN+M+pw==" spinCount="100000" sheet="1" objects="1" scenarios="1" selectLockedCells="1"/>
  <mergeCells count="7">
    <mergeCell ref="B22:H22"/>
    <mergeCell ref="B5:H5"/>
    <mergeCell ref="C2:H2"/>
    <mergeCell ref="C3:G3"/>
    <mergeCell ref="B4:H4"/>
    <mergeCell ref="B6:B7"/>
    <mergeCell ref="B12:H12"/>
  </mergeCells>
  <hyperlinks>
    <hyperlink ref="A1" location="DASHBOARD!A1" display="D"/>
  </hyperlinks>
  <pageMargins left="0.35" right="0.34" top="0.75" bottom="0.75" header="0.3" footer="0.3"/>
  <pageSetup scale="79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S25"/>
  <sheetViews>
    <sheetView workbookViewId="0">
      <selection activeCell="C1" sqref="C1:N1048576"/>
    </sheetView>
  </sheetViews>
  <sheetFormatPr defaultColWidth="0" defaultRowHeight="14.4" zeroHeight="1" x14ac:dyDescent="0.3"/>
  <cols>
    <col min="1" max="1" width="5" style="617" bestFit="1" customWidth="1"/>
    <col min="2" max="2" width="6.6640625" style="617" hidden="1" customWidth="1"/>
    <col min="3" max="14" width="10.109375" style="617" customWidth="1"/>
    <col min="15" max="15" width="5" style="617" customWidth="1"/>
    <col min="16" max="16" width="4.5546875" style="617" hidden="1" customWidth="1"/>
    <col min="17" max="19" width="0" style="617" hidden="1" customWidth="1"/>
    <col min="20" max="16384" width="9.109375" style="617" hidden="1"/>
  </cols>
  <sheetData>
    <row r="1" spans="1:19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9" ht="45.6" customHeight="1" x14ac:dyDescent="0.3">
      <c r="A2" s="4"/>
      <c r="B2" s="4"/>
      <c r="C2" s="4"/>
      <c r="D2" s="4"/>
      <c r="E2" s="1442" t="str">
        <f>DASHBOARD!B2&amp;DASHBOARD!B3</f>
        <v xml:space="preserve">SWAMI VIVEKANAND GOVT. MODEL SCHOOL,  AMET, BLOCK-AMET, RAJSAMAND                                                                </v>
      </c>
      <c r="F2" s="1442"/>
      <c r="G2" s="1442"/>
      <c r="H2" s="1442"/>
      <c r="I2" s="1442"/>
      <c r="J2" s="1442"/>
      <c r="K2" s="1442"/>
      <c r="L2" s="1442"/>
      <c r="M2" s="1442"/>
      <c r="N2" s="1442"/>
      <c r="O2" s="4"/>
    </row>
    <row r="3" spans="1:19" ht="20.399999999999999" x14ac:dyDescent="0.3">
      <c r="A3" s="4"/>
      <c r="B3" s="4"/>
      <c r="C3" s="4"/>
      <c r="D3" s="4"/>
      <c r="E3" s="1443" t="str">
        <f>IF(DASHBOARD!B4="","",DASHBOARD!B4)</f>
        <v>SESSION    -  2025-26</v>
      </c>
      <c r="F3" s="1443"/>
      <c r="G3" s="1443"/>
      <c r="H3" s="1443"/>
      <c r="I3" s="1443"/>
      <c r="J3" s="1443"/>
      <c r="K3" s="1443"/>
      <c r="L3" s="1443"/>
      <c r="M3" s="623"/>
      <c r="N3" s="623"/>
      <c r="O3" s="4"/>
    </row>
    <row r="4" spans="1:19" ht="22.2" x14ac:dyDescent="0.35">
      <c r="A4" s="4"/>
      <c r="B4" s="4"/>
      <c r="C4" s="1438" t="s">
        <v>286</v>
      </c>
      <c r="D4" s="1438"/>
      <c r="E4" s="1438"/>
      <c r="F4" s="1438"/>
      <c r="G4" s="1438"/>
      <c r="H4" s="1438"/>
      <c r="I4" s="1438"/>
      <c r="J4" s="1438"/>
      <c r="K4" s="1438"/>
      <c r="L4" s="1438"/>
      <c r="M4" s="1438"/>
      <c r="N4" s="1438"/>
      <c r="O4" s="4"/>
    </row>
    <row r="5" spans="1:19" ht="22.5" customHeight="1" thickBot="1" x14ac:dyDescent="0.35">
      <c r="A5" s="624"/>
      <c r="B5" s="624"/>
      <c r="C5" s="1453" t="str">
        <f>IF(DASHBOARD!B8="","","CLASS :- "&amp;DASHBOARD!B8&amp;DASHBOARD!C8)</f>
        <v>CLASS :- XI A</v>
      </c>
      <c r="D5" s="1453"/>
      <c r="E5" s="1453"/>
      <c r="F5" s="1453"/>
      <c r="G5" s="1453"/>
      <c r="H5" s="1453"/>
      <c r="I5" s="1453"/>
      <c r="J5" s="1453"/>
      <c r="K5" s="1453"/>
      <c r="L5" s="1453"/>
      <c r="M5" s="1453"/>
      <c r="N5" s="1453"/>
      <c r="O5" s="625"/>
    </row>
    <row r="6" spans="1:19" ht="15" thickBot="1" x14ac:dyDescent="0.35">
      <c r="A6" s="4"/>
      <c r="B6" s="4"/>
      <c r="C6" s="1456"/>
      <c r="D6" s="1450" t="s">
        <v>160</v>
      </c>
      <c r="E6" s="1451"/>
      <c r="F6" s="1451"/>
      <c r="G6" s="1451"/>
      <c r="H6" s="1451"/>
      <c r="I6" s="1451" t="s">
        <v>161</v>
      </c>
      <c r="J6" s="1451"/>
      <c r="K6" s="1451"/>
      <c r="L6" s="1451"/>
      <c r="M6" s="1452"/>
      <c r="N6" s="1454" t="s">
        <v>166</v>
      </c>
      <c r="O6" s="4"/>
    </row>
    <row r="7" spans="1:19" ht="16.2" thickBot="1" x14ac:dyDescent="0.35">
      <c r="A7" s="4"/>
      <c r="B7" s="4" t="s">
        <v>159</v>
      </c>
      <c r="C7" s="1457"/>
      <c r="D7" s="626" t="s">
        <v>162</v>
      </c>
      <c r="E7" s="627" t="s">
        <v>163</v>
      </c>
      <c r="F7" s="627" t="s">
        <v>164</v>
      </c>
      <c r="G7" s="628" t="s">
        <v>165</v>
      </c>
      <c r="H7" s="629" t="s">
        <v>41</v>
      </c>
      <c r="I7" s="630" t="s">
        <v>162</v>
      </c>
      <c r="J7" s="627" t="s">
        <v>163</v>
      </c>
      <c r="K7" s="627" t="s">
        <v>164</v>
      </c>
      <c r="L7" s="628" t="s">
        <v>165</v>
      </c>
      <c r="M7" s="629" t="s">
        <v>41</v>
      </c>
      <c r="N7" s="1455"/>
      <c r="O7" s="4"/>
    </row>
    <row r="8" spans="1:19" ht="21" customHeight="1" x14ac:dyDescent="0.3">
      <c r="A8" s="1448" t="s">
        <v>200</v>
      </c>
      <c r="B8" s="631" t="s">
        <v>255</v>
      </c>
      <c r="C8" s="544" t="s">
        <v>47</v>
      </c>
      <c r="D8" s="536">
        <f>COUNTIFS('GREEN SHEET'!$J$7:$J$51,D$7,'GREEN SHEET'!$FM$7:$FM$51,$B8,'GREEN SHEET'!$I$7:$I$51,"BOY")</f>
        <v>0</v>
      </c>
      <c r="E8" s="534">
        <f>COUNTIFS('GREEN SHEET'!$J$7:$J$51,E$7,'GREEN SHEET'!$FM$7:$FM$51,$B8,'GREEN SHEET'!$I$7:$I$51,"BOY")</f>
        <v>0</v>
      </c>
      <c r="F8" s="534">
        <f>COUNTIFS('GREEN SHEET'!$J$7:$J$51,F$7,'GREEN SHEET'!$FM$7:$FM$51,$B8,'GREEN SHEET'!$I$7:$I$51,"BOY")</f>
        <v>0</v>
      </c>
      <c r="G8" s="540">
        <f>COUNTIFS('GREEN SHEET'!$J$7:$J$51,G$7,'GREEN SHEET'!$FM$7:$FM$51,$B8,'GREEN SHEET'!$I$7:$I$51,"BOY")</f>
        <v>0</v>
      </c>
      <c r="H8" s="547">
        <f>SUM(D8:G8)</f>
        <v>0</v>
      </c>
      <c r="I8" s="536">
        <f>COUNTIFS('GREEN SHEET'!$J$7:$J$51,I$7,'GREEN SHEET'!$FM$7:$FM$51,$B8,'GREEN SHEET'!$I$7:$I$51,"GIRL")</f>
        <v>0</v>
      </c>
      <c r="J8" s="534">
        <f>COUNTIFS('GREEN SHEET'!$J$7:$J$51,J$7,'GREEN SHEET'!$FM$7:$FM$51,$B8,'GREEN SHEET'!$I$7:$I$51,"GIRL")</f>
        <v>0</v>
      </c>
      <c r="K8" s="534">
        <f>COUNTIFS('GREEN SHEET'!$J$7:$J$51,K$7,'GREEN SHEET'!$FM$7:$FM$51,$B8,'GREEN SHEET'!$I$7:$I$51,"GIRL")</f>
        <v>0</v>
      </c>
      <c r="L8" s="540">
        <f>COUNTIFS('GREEN SHEET'!$J$7:$J$51,L$7,'GREEN SHEET'!$FM$7:$FM$51,$B8,'GREEN SHEET'!$I$7:$I$51,"GIRL")</f>
        <v>0</v>
      </c>
      <c r="M8" s="547">
        <f>SUM(I8:L8)</f>
        <v>0</v>
      </c>
      <c r="N8" s="551">
        <f>SUM(H8,M8)</f>
        <v>0</v>
      </c>
      <c r="O8" s="4"/>
    </row>
    <row r="9" spans="1:19" ht="21" customHeight="1" x14ac:dyDescent="0.3">
      <c r="A9" s="1448"/>
      <c r="B9" s="631" t="s">
        <v>20</v>
      </c>
      <c r="C9" s="545" t="s">
        <v>48</v>
      </c>
      <c r="D9" s="537">
        <f>COUNTIFS('GREEN SHEET'!$J$7:$J$51,D$7,'GREEN SHEET'!$FM$7:$FM$51,$B9,'GREEN SHEET'!$I$7:$I$51,"BOY")</f>
        <v>0</v>
      </c>
      <c r="E9" s="136">
        <f>COUNTIFS('GREEN SHEET'!$J$7:$J$51,E$7,'GREEN SHEET'!$FM$7:$FM$51,$B9,'GREEN SHEET'!$I$7:$I$51,"BOY")</f>
        <v>0</v>
      </c>
      <c r="F9" s="136">
        <f>COUNTIFS('GREEN SHEET'!$J$7:$J$51,F$7,'GREEN SHEET'!$FM$7:$FM$51,$B9,'GREEN SHEET'!$I$7:$I$51,"BOY")</f>
        <v>0</v>
      </c>
      <c r="G9" s="541">
        <f>COUNTIFS('GREEN SHEET'!$J$7:$J$51,G$7,'GREEN SHEET'!$FM$7:$FM$51,$B9,'GREEN SHEET'!$I$7:$I$51,"BOY")</f>
        <v>0</v>
      </c>
      <c r="H9" s="548">
        <f t="shared" ref="H9:H15" si="0">SUM(D9:G9)</f>
        <v>0</v>
      </c>
      <c r="I9" s="537">
        <f>COUNTIFS('GREEN SHEET'!$J$7:$J$51,I$7,'GREEN SHEET'!$FM$7:$FM$51,$B9,'GREEN SHEET'!$I$7:$I$51,"GIRL")</f>
        <v>0</v>
      </c>
      <c r="J9" s="136">
        <f>COUNTIFS('GREEN SHEET'!$J$7:$J$51,J$7,'GREEN SHEET'!$FM$7:$FM$51,$B9,'GREEN SHEET'!$I$7:$I$51,"GIRL")</f>
        <v>0</v>
      </c>
      <c r="K9" s="136">
        <f>COUNTIFS('GREEN SHEET'!$J$7:$J$51,K$7,'GREEN SHEET'!$FM$7:$FM$51,$B9,'GREEN SHEET'!$I$7:$I$51,"GIRL")</f>
        <v>0</v>
      </c>
      <c r="L9" s="541">
        <f>COUNTIFS('GREEN SHEET'!$J$7:$J$51,L$7,'GREEN SHEET'!$FM$7:$FM$51,$B9,'GREEN SHEET'!$I$7:$I$51,"GIRL")</f>
        <v>0</v>
      </c>
      <c r="M9" s="548">
        <f t="shared" ref="M9:M15" si="1">SUM(I9:L9)</f>
        <v>0</v>
      </c>
      <c r="N9" s="549">
        <f t="shared" ref="N9:N15" si="2">SUM(H9,M9)</f>
        <v>0</v>
      </c>
      <c r="O9" s="4"/>
    </row>
    <row r="10" spans="1:19" ht="21" customHeight="1" x14ac:dyDescent="0.3">
      <c r="A10" s="1448"/>
      <c r="B10" s="631" t="s">
        <v>250</v>
      </c>
      <c r="C10" s="545" t="s">
        <v>40</v>
      </c>
      <c r="D10" s="537">
        <f>COUNTIFS('GREEN SHEET'!$J$7:$J$51,D$7,'GREEN SHEET'!$FM$7:$FM$51,$B10,'GREEN SHEET'!$I$7:$I$51,"BOY")</f>
        <v>0</v>
      </c>
      <c r="E10" s="136">
        <f>COUNTIFS('GREEN SHEET'!$J$7:$J$51,E$7,'GREEN SHEET'!$FM$7:$FM$51,$B10,'GREEN SHEET'!$I$7:$I$51,"BOY")</f>
        <v>0</v>
      </c>
      <c r="F10" s="136">
        <f>COUNTIFS('GREEN SHEET'!$J$7:$J$51,F$7,'GREEN SHEET'!$FM$7:$FM$51,$B10,'GREEN SHEET'!$I$7:$I$51,"BOY")</f>
        <v>0</v>
      </c>
      <c r="G10" s="541">
        <f>COUNTIFS('GREEN SHEET'!$J$7:$J$51,G$7,'GREEN SHEET'!$FM$7:$FM$51,$B10,'GREEN SHEET'!$I$7:$I$51,"BOY")</f>
        <v>0</v>
      </c>
      <c r="H10" s="548">
        <f t="shared" si="0"/>
        <v>0</v>
      </c>
      <c r="I10" s="537">
        <f>COUNTIFS('GREEN SHEET'!$J$7:$J$51,I$7,'GREEN SHEET'!$FM$7:$FM$51,$B10,'GREEN SHEET'!$I$7:$I$51,"GIRL")</f>
        <v>0</v>
      </c>
      <c r="J10" s="136">
        <f>COUNTIFS('GREEN SHEET'!$J$7:$J$51,J$7,'GREEN SHEET'!$FM$7:$FM$51,$B10,'GREEN SHEET'!$I$7:$I$51,"GIRL")</f>
        <v>0</v>
      </c>
      <c r="K10" s="136">
        <f>COUNTIFS('GREEN SHEET'!$J$7:$J$51,K$7,'GREEN SHEET'!$FM$7:$FM$51,$B10,'GREEN SHEET'!$I$7:$I$51,"GIRL")</f>
        <v>1</v>
      </c>
      <c r="L10" s="541">
        <f>COUNTIFS('GREEN SHEET'!$J$7:$J$51,L$7,'GREEN SHEET'!$FM$7:$FM$51,$B10,'GREEN SHEET'!$I$7:$I$51,"GIRL")</f>
        <v>0</v>
      </c>
      <c r="M10" s="548">
        <f t="shared" si="1"/>
        <v>1</v>
      </c>
      <c r="N10" s="549">
        <f t="shared" si="2"/>
        <v>1</v>
      </c>
      <c r="O10" s="4"/>
    </row>
    <row r="11" spans="1:19" ht="21" customHeight="1" x14ac:dyDescent="0.3">
      <c r="A11" s="1448"/>
      <c r="B11" s="631" t="s">
        <v>247</v>
      </c>
      <c r="C11" s="545" t="s">
        <v>49</v>
      </c>
      <c r="D11" s="537">
        <f>COUNTIFS('GREEN SHEET'!$J$7:$J$51,D$7,'GREEN SHEET'!$FM$7:$FM$51,$B11,'GREEN SHEET'!$I$7:$I$51,"BOY")</f>
        <v>0</v>
      </c>
      <c r="E11" s="136">
        <f>COUNTIFS('GREEN SHEET'!$J$7:$J$51,E$7,'GREEN SHEET'!$FM$7:$FM$51,$B11,'GREEN SHEET'!$I$7:$I$51,"BOY")</f>
        <v>0</v>
      </c>
      <c r="F11" s="136">
        <f>COUNTIFS('GREEN SHEET'!$J$7:$J$51,F$7,'GREEN SHEET'!$FM$7:$FM$51,$B11,'GREEN SHEET'!$I$7:$I$51,"BOY")</f>
        <v>0</v>
      </c>
      <c r="G11" s="541">
        <f>COUNTIFS('GREEN SHEET'!$J$7:$J$51,G$7,'GREEN SHEET'!$FM$7:$FM$51,$B11,'GREEN SHEET'!$I$7:$I$51,"BOY")</f>
        <v>0</v>
      </c>
      <c r="H11" s="548">
        <f t="shared" si="0"/>
        <v>0</v>
      </c>
      <c r="I11" s="537">
        <f>COUNTIFS('GREEN SHEET'!$J$7:$J$51,I$7,'GREEN SHEET'!$FM$7:$FM$51,$B11,'GREEN SHEET'!$I$7:$I$51,"GIRL")</f>
        <v>0</v>
      </c>
      <c r="J11" s="136">
        <f>COUNTIFS('GREEN SHEET'!$J$7:$J$51,J$7,'GREEN SHEET'!$FM$7:$FM$51,$B11,'GREEN SHEET'!$I$7:$I$51,"GIRL")</f>
        <v>0</v>
      </c>
      <c r="K11" s="136">
        <f>COUNTIFS('GREEN SHEET'!$J$7:$J$51,K$7,'GREEN SHEET'!$FM$7:$FM$51,$B11,'GREEN SHEET'!$I$7:$I$51,"GIRL")</f>
        <v>0</v>
      </c>
      <c r="L11" s="541">
        <f>COUNTIFS('GREEN SHEET'!$J$7:$J$51,L$7,'GREEN SHEET'!$FM$7:$FM$51,$B11,'GREEN SHEET'!$I$7:$I$51,"GIRL")</f>
        <v>0</v>
      </c>
      <c r="M11" s="548">
        <f t="shared" si="1"/>
        <v>0</v>
      </c>
      <c r="N11" s="549">
        <f t="shared" si="2"/>
        <v>0</v>
      </c>
      <c r="O11" s="4"/>
    </row>
    <row r="12" spans="1:19" ht="21" customHeight="1" x14ac:dyDescent="0.3">
      <c r="A12" s="1448"/>
      <c r="B12" s="631" t="s">
        <v>243</v>
      </c>
      <c r="C12" s="545" t="s">
        <v>50</v>
      </c>
      <c r="D12" s="537">
        <f>COUNTIFS('GREEN SHEET'!$J$7:$J$51,D$7,'GREEN SHEET'!$FM$7:$FM$51,$B12,'GREEN SHEET'!$I$7:$I$51,"BOY")</f>
        <v>0</v>
      </c>
      <c r="E12" s="136">
        <f>COUNTIFS('GREEN SHEET'!$J$7:$J$51,E$7,'GREEN SHEET'!$FM$7:$FM$51,$B12,'GREEN SHEET'!$I$7:$I$51,"BOY")</f>
        <v>0</v>
      </c>
      <c r="F12" s="136">
        <f>COUNTIFS('GREEN SHEET'!$J$7:$J$51,F$7,'GREEN SHEET'!$FM$7:$FM$51,$B12,'GREEN SHEET'!$I$7:$I$51,"BOY")</f>
        <v>0</v>
      </c>
      <c r="G12" s="541">
        <f>COUNTIFS('GREEN SHEET'!$J$7:$J$51,G$7,'GREEN SHEET'!$FM$7:$FM$51,$B12,'GREEN SHEET'!$I$7:$I$51,"BOY")</f>
        <v>0</v>
      </c>
      <c r="H12" s="548">
        <f t="shared" si="0"/>
        <v>0</v>
      </c>
      <c r="I12" s="537">
        <f>COUNTIFS('GREEN SHEET'!$J$7:$J$51,I$7,'GREEN SHEET'!$FM$7:$FM$51,$B12,'GREEN SHEET'!$I$7:$I$51,"GIRL")</f>
        <v>0</v>
      </c>
      <c r="J12" s="136">
        <f>COUNTIFS('GREEN SHEET'!$J$7:$J$51,J$7,'GREEN SHEET'!$FM$7:$FM$51,$B12,'GREEN SHEET'!$I$7:$I$51,"GIRL")</f>
        <v>1</v>
      </c>
      <c r="K12" s="136">
        <f>COUNTIFS('GREEN SHEET'!$J$7:$J$51,K$7,'GREEN SHEET'!$FM$7:$FM$51,$B12,'GREEN SHEET'!$I$7:$I$51,"GIRL")</f>
        <v>0</v>
      </c>
      <c r="L12" s="541">
        <f>COUNTIFS('GREEN SHEET'!$J$7:$J$51,L$7,'GREEN SHEET'!$FM$7:$FM$51,$B12,'GREEN SHEET'!$I$7:$I$51,"GIRL")</f>
        <v>0</v>
      </c>
      <c r="M12" s="548">
        <f t="shared" si="1"/>
        <v>1</v>
      </c>
      <c r="N12" s="549">
        <f t="shared" si="2"/>
        <v>1</v>
      </c>
      <c r="O12" s="4"/>
    </row>
    <row r="13" spans="1:19" ht="21" customHeight="1" x14ac:dyDescent="0.3">
      <c r="A13" s="1448"/>
      <c r="B13" s="631" t="s">
        <v>228</v>
      </c>
      <c r="C13" s="545" t="s">
        <v>51</v>
      </c>
      <c r="D13" s="537">
        <f>COUNTIFS('GREEN SHEET'!$J$7:$J$51,D$7,'GREEN SHEET'!$FM$7:$FM$51,$B13,'GREEN SHEET'!$I$7:$I$51,"BOY")</f>
        <v>0</v>
      </c>
      <c r="E13" s="136">
        <f>COUNTIFS('GREEN SHEET'!$J$7:$J$51,E$7,'GREEN SHEET'!$FM$7:$FM$51,$B13,'GREEN SHEET'!$I$7:$I$51,"BOY")</f>
        <v>0</v>
      </c>
      <c r="F13" s="136">
        <f>COUNTIFS('GREEN SHEET'!$J$7:$J$51,F$7,'GREEN SHEET'!$FM$7:$FM$51,$B13,'GREEN SHEET'!$I$7:$I$51,"BOY")</f>
        <v>0</v>
      </c>
      <c r="G13" s="541">
        <f>COUNTIFS('GREEN SHEET'!$J$7:$J$51,G$7,'GREEN SHEET'!$FM$7:$FM$51,$B13,'GREEN SHEET'!$I$7:$I$51,"BOY")</f>
        <v>0</v>
      </c>
      <c r="H13" s="548">
        <f t="shared" si="0"/>
        <v>0</v>
      </c>
      <c r="I13" s="537">
        <f>COUNTIFS('GREEN SHEET'!$J$7:$J$51,I$7,'GREEN SHEET'!$FM$7:$FM$51,$B13,'GREEN SHEET'!$I$7:$I$51,"GIRL")</f>
        <v>0</v>
      </c>
      <c r="J13" s="136">
        <f>COUNTIFS('GREEN SHEET'!$J$7:$J$51,J$7,'GREEN SHEET'!$FM$7:$FM$51,$B13,'GREEN SHEET'!$I$7:$I$51,"GIRL")</f>
        <v>0</v>
      </c>
      <c r="K13" s="136">
        <f>COUNTIFS('GREEN SHEET'!$J$7:$J$51,K$7,'GREEN SHEET'!$FM$7:$FM$51,$B13,'GREEN SHEET'!$I$7:$I$51,"GIRL")</f>
        <v>0</v>
      </c>
      <c r="L13" s="541">
        <f>COUNTIFS('GREEN SHEET'!$J$7:$J$51,L$7,'GREEN SHEET'!$FM$7:$FM$51,$B13,'GREEN SHEET'!$I$7:$I$51,"GIRL")</f>
        <v>0</v>
      </c>
      <c r="M13" s="548">
        <f t="shared" si="1"/>
        <v>0</v>
      </c>
      <c r="N13" s="549">
        <f t="shared" si="2"/>
        <v>0</v>
      </c>
      <c r="O13" s="4"/>
    </row>
    <row r="14" spans="1:19" ht="21" customHeight="1" x14ac:dyDescent="0.3">
      <c r="A14" s="1448"/>
      <c r="B14" s="631" t="s">
        <v>239</v>
      </c>
      <c r="C14" s="545" t="s">
        <v>52</v>
      </c>
      <c r="D14" s="537">
        <f>COUNTIFS('GREEN SHEET'!$J$7:$J$51,D$7,'GREEN SHEET'!$FM$7:$FM$51,$B14,'GREEN SHEET'!$I$7:$I$51,"BOY")</f>
        <v>0</v>
      </c>
      <c r="E14" s="136">
        <f>COUNTIFS('GREEN SHEET'!$J$7:$J$51,E$7,'GREEN SHEET'!$FM$7:$FM$51,$B14,'GREEN SHEET'!$I$7:$I$51,"BOY")</f>
        <v>0</v>
      </c>
      <c r="F14" s="136">
        <f>COUNTIFS('GREEN SHEET'!$J$7:$J$51,F$7,'GREEN SHEET'!$FM$7:$FM$51,$B14,'GREEN SHEET'!$I$7:$I$51,"BOY")</f>
        <v>0</v>
      </c>
      <c r="G14" s="541">
        <f>COUNTIFS('GREEN SHEET'!$J$7:$J$51,G$7,'GREEN SHEET'!$FM$7:$FM$51,$B14,'GREEN SHEET'!$I$7:$I$51,"BOY")</f>
        <v>0</v>
      </c>
      <c r="H14" s="548">
        <f t="shared" si="0"/>
        <v>0</v>
      </c>
      <c r="I14" s="537">
        <f>COUNTIFS('GREEN SHEET'!$J$7:$J$51,I$7,'GREEN SHEET'!$FM$7:$FM$51,$B14,'GREEN SHEET'!$I$7:$I$51,"GIRL")</f>
        <v>0</v>
      </c>
      <c r="J14" s="136">
        <f>COUNTIFS('GREEN SHEET'!$J$7:$J$51,J$7,'GREEN SHEET'!$FM$7:$FM$51,$B14,'GREEN SHEET'!$I$7:$I$51,"GIRL")</f>
        <v>0</v>
      </c>
      <c r="K14" s="136">
        <f>COUNTIFS('GREEN SHEET'!$J$7:$J$51,K$7,'GREEN SHEET'!$FM$7:$FM$51,$B14,'GREEN SHEET'!$I$7:$I$51,"GIRL")</f>
        <v>0</v>
      </c>
      <c r="L14" s="541">
        <f>COUNTIFS('GREEN SHEET'!$J$7:$J$51,L$7,'GREEN SHEET'!$FM$7:$FM$51,$B14,'GREEN SHEET'!$I$7:$I$51,"GIRL")</f>
        <v>0</v>
      </c>
      <c r="M14" s="548">
        <f t="shared" si="1"/>
        <v>0</v>
      </c>
      <c r="N14" s="549">
        <f t="shared" si="2"/>
        <v>0</v>
      </c>
      <c r="O14" s="4"/>
      <c r="S14" s="632"/>
    </row>
    <row r="15" spans="1:19" ht="21" customHeight="1" x14ac:dyDescent="0.3">
      <c r="A15" s="1448"/>
      <c r="B15" s="631" t="s">
        <v>173</v>
      </c>
      <c r="C15" s="545" t="s">
        <v>38</v>
      </c>
      <c r="D15" s="537">
        <f>COUNTIFS('GREEN SHEET'!$J$7:$J$51,D$7,'GREEN SHEET'!$FM$7:$FM$51,$B15,'GREEN SHEET'!$I$7:$I$51,"BOY")</f>
        <v>0</v>
      </c>
      <c r="E15" s="136">
        <f>COUNTIFS('GREEN SHEET'!$J$7:$J$51,E$7,'GREEN SHEET'!$FM$7:$FM$51,$B15,'GREEN SHEET'!$I$7:$I$51,"BOY")</f>
        <v>0</v>
      </c>
      <c r="F15" s="136">
        <f>COUNTIFS('GREEN SHEET'!$J$7:$J$51,F$7,'GREEN SHEET'!$FM$7:$FM$51,$B15,'GREEN SHEET'!$I$7:$I$51,"BOY")</f>
        <v>0</v>
      </c>
      <c r="G15" s="541">
        <f>COUNTIFS('GREEN SHEET'!$J$7:$J$51,G$7,'GREEN SHEET'!$FM$7:$FM$51,$B15,'GREEN SHEET'!$I$7:$I$51,"BOY")</f>
        <v>0</v>
      </c>
      <c r="H15" s="548">
        <f t="shared" si="0"/>
        <v>0</v>
      </c>
      <c r="I15" s="537">
        <f>COUNTIFS('GREEN SHEET'!$J$7:$J$51,I$7,'GREEN SHEET'!$FM$7:$FM$51,$B15,'GREEN SHEET'!$I$7:$I$51,"GIRL")</f>
        <v>0</v>
      </c>
      <c r="J15" s="136">
        <f>COUNTIFS('GREEN SHEET'!$J$7:$J$51,J$7,'GREEN SHEET'!$FM$7:$FM$51,$B15,'GREEN SHEET'!$I$7:$I$51,"GIRL")</f>
        <v>0</v>
      </c>
      <c r="K15" s="136">
        <f>COUNTIFS('GREEN SHEET'!$J$7:$J$51,K$7,'GREEN SHEET'!$FM$7:$FM$51,$B15,'GREEN SHEET'!$I$7:$I$51,"GIRL")</f>
        <v>0</v>
      </c>
      <c r="L15" s="541">
        <f>COUNTIFS('GREEN SHEET'!$J$7:$J$51,L$7,'GREEN SHEET'!$FM$7:$FM$51,$B15,'GREEN SHEET'!$I$7:$I$51,"GIRL")</f>
        <v>0</v>
      </c>
      <c r="M15" s="548">
        <f t="shared" si="1"/>
        <v>0</v>
      </c>
      <c r="N15" s="549">
        <f t="shared" si="2"/>
        <v>0</v>
      </c>
      <c r="O15" s="4"/>
    </row>
    <row r="16" spans="1:19" ht="21" customHeight="1" x14ac:dyDescent="0.3">
      <c r="A16" s="633"/>
      <c r="B16" s="634"/>
      <c r="C16" s="545" t="s">
        <v>167</v>
      </c>
      <c r="D16" s="538">
        <f>D17-D8</f>
        <v>0</v>
      </c>
      <c r="E16" s="125">
        <f t="shared" ref="E16:N16" si="3">E17-E8</f>
        <v>0</v>
      </c>
      <c r="F16" s="125">
        <f t="shared" si="3"/>
        <v>0</v>
      </c>
      <c r="G16" s="542">
        <f t="shared" si="3"/>
        <v>0</v>
      </c>
      <c r="H16" s="549">
        <f t="shared" si="3"/>
        <v>0</v>
      </c>
      <c r="I16" s="538">
        <f t="shared" si="3"/>
        <v>0</v>
      </c>
      <c r="J16" s="125">
        <f t="shared" si="3"/>
        <v>1</v>
      </c>
      <c r="K16" s="125">
        <f t="shared" si="3"/>
        <v>1</v>
      </c>
      <c r="L16" s="542">
        <f t="shared" si="3"/>
        <v>0</v>
      </c>
      <c r="M16" s="549">
        <f t="shared" si="3"/>
        <v>2</v>
      </c>
      <c r="N16" s="549">
        <f t="shared" si="3"/>
        <v>2</v>
      </c>
      <c r="O16" s="4"/>
    </row>
    <row r="17" spans="1:15" ht="21" customHeight="1" thickBot="1" x14ac:dyDescent="0.35">
      <c r="A17" s="633"/>
      <c r="B17" s="634"/>
      <c r="C17" s="546" t="s">
        <v>41</v>
      </c>
      <c r="D17" s="539">
        <f>SUM(D8:D15)</f>
        <v>0</v>
      </c>
      <c r="E17" s="535">
        <f t="shared" ref="E17:N17" si="4">SUM(E8:E15)</f>
        <v>0</v>
      </c>
      <c r="F17" s="535">
        <f t="shared" si="4"/>
        <v>0</v>
      </c>
      <c r="G17" s="543">
        <f t="shared" si="4"/>
        <v>0</v>
      </c>
      <c r="H17" s="550">
        <f t="shared" si="4"/>
        <v>0</v>
      </c>
      <c r="I17" s="539">
        <f t="shared" si="4"/>
        <v>0</v>
      </c>
      <c r="J17" s="535">
        <f t="shared" si="4"/>
        <v>1</v>
      </c>
      <c r="K17" s="535">
        <f t="shared" si="4"/>
        <v>1</v>
      </c>
      <c r="L17" s="543">
        <f t="shared" si="4"/>
        <v>0</v>
      </c>
      <c r="M17" s="550">
        <f t="shared" si="4"/>
        <v>2</v>
      </c>
      <c r="N17" s="550">
        <f t="shared" si="4"/>
        <v>2</v>
      </c>
      <c r="O17" s="4"/>
    </row>
    <row r="18" spans="1:15" ht="21" customHeight="1" x14ac:dyDescent="0.3">
      <c r="A18" s="1449" t="s">
        <v>201</v>
      </c>
      <c r="B18" s="635"/>
      <c r="C18" s="544" t="s">
        <v>53</v>
      </c>
      <c r="D18" s="536">
        <f>COUNTIFS('GREEN SHEET'!$J$7:$J$51,D$7,'GREEN SHEET'!$FL$7:$FL$51,"&gt;=60",'GREEN SHEET'!$I$7:$I$51,"BOY")</f>
        <v>0</v>
      </c>
      <c r="E18" s="534">
        <f>COUNTIFS('GREEN SHEET'!$J$7:$J$51,E$7,'GREEN SHEET'!$FL$7:$FL$51,"&gt;=60",'GREEN SHEET'!$I$7:$I$51,"BOY")</f>
        <v>0</v>
      </c>
      <c r="F18" s="534">
        <f>COUNTIFS('GREEN SHEET'!$J$7:$J$51,F$7,'GREEN SHEET'!$FL$7:$FL$51,"&gt;=60",'GREEN SHEET'!$I$7:$I$51,"BOY")</f>
        <v>0</v>
      </c>
      <c r="G18" s="540">
        <f>COUNTIFS('GREEN SHEET'!$J$7:$J$51,G$7,'GREEN SHEET'!$FL$7:$FL$51,"&gt;=60",'GREEN SHEET'!$I$7:$I$51,"BOY")</f>
        <v>0</v>
      </c>
      <c r="H18" s="547">
        <f>SUM(D18:G18)</f>
        <v>0</v>
      </c>
      <c r="I18" s="536">
        <f>COUNTIFS('GREEN SHEET'!$J$7:$J$51,I$7,'GREEN SHEET'!$FL$7:$FL$51,"&gt;=60",'GREEN SHEET'!$I$7:$I$51,"GIRL")</f>
        <v>0</v>
      </c>
      <c r="J18" s="534">
        <f>COUNTIFS('GREEN SHEET'!$J$7:$J$51,J$7,'GREEN SHEET'!$FL$7:$FL$51,"&gt;=60",'GREEN SHEET'!$I$7:$I$51,"GIRL")</f>
        <v>1</v>
      </c>
      <c r="K18" s="534">
        <f>COUNTIFS('GREEN SHEET'!$J$7:$J$51,K$7,'GREEN SHEET'!$FL$7:$FL$51,"&gt;=60",'GREEN SHEET'!$I$7:$I$51,"GIRL")</f>
        <v>0</v>
      </c>
      <c r="L18" s="540">
        <f>COUNTIFS('GREEN SHEET'!$J$7:$J$51,L$7,'GREEN SHEET'!$FL$7:$FL$51,"&gt;=60",'GREEN SHEET'!$I$7:$I$51,"GIRL")</f>
        <v>0</v>
      </c>
      <c r="M18" s="547">
        <f>SUM(I18:L18)</f>
        <v>1</v>
      </c>
      <c r="N18" s="551">
        <f>SUM(H18,M18)</f>
        <v>1</v>
      </c>
      <c r="O18" s="4"/>
    </row>
    <row r="19" spans="1:15" ht="21" customHeight="1" x14ac:dyDescent="0.3">
      <c r="A19" s="1449"/>
      <c r="B19" s="635"/>
      <c r="C19" s="545" t="s">
        <v>202</v>
      </c>
      <c r="D19" s="537">
        <f>COUNTIFS('GREEN SHEET'!$J$7:$J$51,D$7,'GREEN SHEET'!$FL$7:$FL$51,"&gt;=48",'GREEN SHEET'!$FL$7:$FL$51,"&lt;60",'GREEN SHEET'!$I$7:$I$51,"BOY")</f>
        <v>0</v>
      </c>
      <c r="E19" s="136">
        <f>COUNTIFS('GREEN SHEET'!$J$7:$J$51,E$7,'GREEN SHEET'!$FL$7:$FL$51,"&gt;=48",'GREEN SHEET'!$FL$7:$FL$51,"&lt;60",'GREEN SHEET'!$I$7:$I$51,"BOY")</f>
        <v>0</v>
      </c>
      <c r="F19" s="136">
        <f>COUNTIFS('GREEN SHEET'!$J$7:$J$51,F$7,'GREEN SHEET'!$FL$7:$FL$51,"&gt;=48",'GREEN SHEET'!$FL$7:$FL$51,"&lt;60",'GREEN SHEET'!$I$7:$I$51,"BOY")</f>
        <v>0</v>
      </c>
      <c r="G19" s="541">
        <f>COUNTIFS('GREEN SHEET'!$J$7:$J$51,G$7,'GREEN SHEET'!$FL$7:$FL$51,"&gt;=48",'GREEN SHEET'!$FL$7:$FL$51,"&lt;60",'GREEN SHEET'!$I$7:$I$51,"BOY")</f>
        <v>0</v>
      </c>
      <c r="H19" s="548">
        <f>SUM(D19:G19)</f>
        <v>0</v>
      </c>
      <c r="I19" s="537">
        <f>COUNTIFS('GREEN SHEET'!$J$7:$J$51,I$7,'GREEN SHEET'!$FL$7:$FL$51,"&gt;=48",'GREEN SHEET'!$FL$7:$FL$51,"&lt;60",'GREEN SHEET'!$I$7:$I$51,"GIRL")</f>
        <v>0</v>
      </c>
      <c r="J19" s="136">
        <f>COUNTIFS('GREEN SHEET'!$J$7:$J$51,J$7,'GREEN SHEET'!$FL$7:$FL$51,"&gt;=48",'GREEN SHEET'!$FL$7:$FL$51,"&lt;60",'GREEN SHEET'!$I$7:$I$51,"GIRL")</f>
        <v>0</v>
      </c>
      <c r="K19" s="136">
        <f>COUNTIFS('GREEN SHEET'!$J$7:$J$51,K$7,'GREEN SHEET'!$FL$7:$FL$51,"&gt;=48",'GREEN SHEET'!$FL$7:$FL$51,"&lt;60",'GREEN SHEET'!$I$7:$I$51,"GIRL")</f>
        <v>1</v>
      </c>
      <c r="L19" s="541">
        <f>COUNTIFS('GREEN SHEET'!$J$7:$J$51,L$7,'GREEN SHEET'!$FL$7:$FL$51,"&gt;=48",'GREEN SHEET'!$FL$7:$FL$51,"&lt;60",'GREEN SHEET'!$I$7:$I$51,"GIRL")</f>
        <v>0</v>
      </c>
      <c r="M19" s="548">
        <f t="shared" ref="M19:M20" si="5">SUM(I19:L19)</f>
        <v>1</v>
      </c>
      <c r="N19" s="549">
        <f t="shared" ref="N19:N21" si="6">SUM(H19,M19)</f>
        <v>1</v>
      </c>
      <c r="O19" s="4"/>
    </row>
    <row r="20" spans="1:15" ht="21" customHeight="1" x14ac:dyDescent="0.3">
      <c r="A20" s="1449"/>
      <c r="B20" s="635"/>
      <c r="C20" s="545" t="s">
        <v>203</v>
      </c>
      <c r="D20" s="537">
        <f>COUNTIFS('GREEN SHEET'!$J$7:$J$51,D$7,'GREEN SHEET'!$FL$7:$FL$51,"&gt;=33",'GREEN SHEET'!$FL$7:$FL$51,"&lt;48",'GREEN SHEET'!$I$7:$I$51,"BOY")</f>
        <v>0</v>
      </c>
      <c r="E20" s="136">
        <f>COUNTIFS('GREEN SHEET'!$J$7:$J$51,E$7,'GREEN SHEET'!$FL$7:$FL$51,"&gt;=33",'GREEN SHEET'!$FL$7:$FL$51,"&lt;48",'GREEN SHEET'!$I$7:$I$51,"BOY")</f>
        <v>0</v>
      </c>
      <c r="F20" s="136">
        <f>COUNTIFS('GREEN SHEET'!$J$7:$J$51,F$7,'GREEN SHEET'!$FL$7:$FL$51,"&gt;=33",'GREEN SHEET'!$FL$7:$FL$51,"&lt;48",'GREEN SHEET'!$I$7:$I$51,"BOY")</f>
        <v>0</v>
      </c>
      <c r="G20" s="541">
        <f>COUNTIFS('GREEN SHEET'!$J$7:$J$51,G$7,'GREEN SHEET'!$FL$7:$FL$51,"&gt;=33",'GREEN SHEET'!$FL$7:$FL$51,"&lt;48",'GREEN SHEET'!$I$7:$I$51,"BOY")</f>
        <v>0</v>
      </c>
      <c r="H20" s="548">
        <f>SUM(D20:G20)</f>
        <v>0</v>
      </c>
      <c r="I20" s="537">
        <f>COUNTIFS('GREEN SHEET'!$J$7:$J$51,I$7,'GREEN SHEET'!$FL$7:$FL$51,"&gt;=33",'GREEN SHEET'!$FL$7:$FL$51,"&lt;48",'GREEN SHEET'!$I$7:$I$51,"GIRL")</f>
        <v>0</v>
      </c>
      <c r="J20" s="136">
        <f>COUNTIFS('GREEN SHEET'!$J$7:$J$51,J$7,'GREEN SHEET'!$FL$7:$FL$51,"&gt;=33",'GREEN SHEET'!$FL$7:$FL$51,"&lt;48",'GREEN SHEET'!$I$7:$I$51,"GIRL")</f>
        <v>0</v>
      </c>
      <c r="K20" s="136">
        <f>COUNTIFS('GREEN SHEET'!$J$7:$J$51,K$7,'GREEN SHEET'!$FL$7:$FL$51,"&gt;=33",'GREEN SHEET'!$FL$7:$FL$51,"&lt;48",'GREEN SHEET'!$I$7:$I$51,"GIRL")</f>
        <v>0</v>
      </c>
      <c r="L20" s="541">
        <f>COUNTIFS('GREEN SHEET'!$J$7:$J$51,L$7,'GREEN SHEET'!$FL$7:$FL$51,"&gt;=33",'GREEN SHEET'!$FL$7:$FL$51,"&lt;48",'GREEN SHEET'!$I$7:$I$51,"GIRL")</f>
        <v>0</v>
      </c>
      <c r="M20" s="548">
        <f t="shared" si="5"/>
        <v>0</v>
      </c>
      <c r="N20" s="549">
        <f t="shared" si="6"/>
        <v>0</v>
      </c>
      <c r="O20" s="4"/>
    </row>
    <row r="21" spans="1:15" ht="21" customHeight="1" x14ac:dyDescent="0.3">
      <c r="A21" s="1449"/>
      <c r="B21" s="635"/>
      <c r="C21" s="545" t="s">
        <v>56</v>
      </c>
      <c r="D21" s="537">
        <f>D23-D22</f>
        <v>0</v>
      </c>
      <c r="E21" s="136">
        <f t="shared" ref="E21:M21" si="7">E23-E22</f>
        <v>0</v>
      </c>
      <c r="F21" s="136">
        <f t="shared" si="7"/>
        <v>0</v>
      </c>
      <c r="G21" s="541">
        <f t="shared" si="7"/>
        <v>0</v>
      </c>
      <c r="H21" s="548">
        <f t="shared" si="7"/>
        <v>0</v>
      </c>
      <c r="I21" s="537">
        <f t="shared" si="7"/>
        <v>0</v>
      </c>
      <c r="J21" s="136">
        <f t="shared" si="7"/>
        <v>0</v>
      </c>
      <c r="K21" s="136">
        <f t="shared" si="7"/>
        <v>0</v>
      </c>
      <c r="L21" s="541">
        <f t="shared" si="7"/>
        <v>0</v>
      </c>
      <c r="M21" s="548">
        <f t="shared" si="7"/>
        <v>0</v>
      </c>
      <c r="N21" s="549">
        <f t="shared" si="6"/>
        <v>0</v>
      </c>
      <c r="O21" s="4"/>
    </row>
    <row r="22" spans="1:15" ht="21" customHeight="1" x14ac:dyDescent="0.3">
      <c r="A22" s="635"/>
      <c r="B22" s="635"/>
      <c r="C22" s="545" t="s">
        <v>167</v>
      </c>
      <c r="D22" s="538">
        <f>SUM(D18:D20)</f>
        <v>0</v>
      </c>
      <c r="E22" s="125">
        <f t="shared" ref="E22:M22" si="8">SUM(E18:E20)</f>
        <v>0</v>
      </c>
      <c r="F22" s="125">
        <f t="shared" si="8"/>
        <v>0</v>
      </c>
      <c r="G22" s="542">
        <f t="shared" si="8"/>
        <v>0</v>
      </c>
      <c r="H22" s="549">
        <f t="shared" si="8"/>
        <v>0</v>
      </c>
      <c r="I22" s="538">
        <f t="shared" si="8"/>
        <v>0</v>
      </c>
      <c r="J22" s="125">
        <f t="shared" si="8"/>
        <v>1</v>
      </c>
      <c r="K22" s="125">
        <f t="shared" si="8"/>
        <v>1</v>
      </c>
      <c r="L22" s="542">
        <f t="shared" si="8"/>
        <v>0</v>
      </c>
      <c r="M22" s="549">
        <f t="shared" si="8"/>
        <v>2</v>
      </c>
      <c r="N22" s="549">
        <f t="shared" ref="N22" si="9">SUM(N18:N20)</f>
        <v>2</v>
      </c>
      <c r="O22" s="4"/>
    </row>
    <row r="23" spans="1:15" ht="21" customHeight="1" thickBot="1" x14ac:dyDescent="0.35">
      <c r="A23" s="635"/>
      <c r="B23" s="635"/>
      <c r="C23" s="546" t="s">
        <v>41</v>
      </c>
      <c r="D23" s="539">
        <f>D17</f>
        <v>0</v>
      </c>
      <c r="E23" s="535">
        <f t="shared" ref="E23:G23" si="10">E17</f>
        <v>0</v>
      </c>
      <c r="F23" s="535">
        <f t="shared" si="10"/>
        <v>0</v>
      </c>
      <c r="G23" s="543">
        <f t="shared" si="10"/>
        <v>0</v>
      </c>
      <c r="H23" s="550">
        <f>H17</f>
        <v>0</v>
      </c>
      <c r="I23" s="539">
        <f>I17</f>
        <v>0</v>
      </c>
      <c r="J23" s="535">
        <f t="shared" ref="J23:L23" si="11">J17</f>
        <v>1</v>
      </c>
      <c r="K23" s="535">
        <f t="shared" si="11"/>
        <v>1</v>
      </c>
      <c r="L23" s="543">
        <f t="shared" si="11"/>
        <v>0</v>
      </c>
      <c r="M23" s="550">
        <f>M17</f>
        <v>2</v>
      </c>
      <c r="N23" s="550">
        <f>N17</f>
        <v>2</v>
      </c>
      <c r="O23" s="4"/>
    </row>
    <row r="24" spans="1:15" ht="35.25" customHeight="1" thickBot="1" x14ac:dyDescent="0.35">
      <c r="A24" s="635"/>
      <c r="B24" s="635"/>
      <c r="C24" s="1444" t="str">
        <f>IF(DASHBOARD!B4="","","SCHOOL RESULT "&amp;DASHBOARD!B4)</f>
        <v>SCHOOL RESULT SESSION    -  2025-26</v>
      </c>
      <c r="D24" s="1445"/>
      <c r="E24" s="1445"/>
      <c r="F24" s="1445"/>
      <c r="G24" s="1445"/>
      <c r="H24" s="1446"/>
      <c r="I24" s="1447" t="str">
        <f>IF(N22="","",ROUNDUP((N17*100/N16),2)&amp;" %")</f>
        <v>100 %</v>
      </c>
      <c r="J24" s="1445"/>
      <c r="K24" s="1445"/>
      <c r="L24" s="1445"/>
      <c r="M24" s="1445"/>
      <c r="N24" s="1446"/>
      <c r="O24" s="4"/>
    </row>
    <row r="25" spans="1:15" ht="16.5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</sheetData>
  <sheetProtection algorithmName="SHA-512" hashValue="5htKdnvCf3kDKLWx3A4mS7RImcRb5f/20e3qk0OPWCuNIcv3CvMKdX2THaCmxvxmGWXlHozJZ/HUA76leT8W2A==" saltValue="rvtwgxBhZJSGsehOY9J4IA==" spinCount="100000" sheet="1" objects="1" scenarios="1" selectLockedCells="1"/>
  <mergeCells count="12">
    <mergeCell ref="A8:A15"/>
    <mergeCell ref="A18:A21"/>
    <mergeCell ref="D6:H6"/>
    <mergeCell ref="I6:M6"/>
    <mergeCell ref="C5:N5"/>
    <mergeCell ref="N6:N7"/>
    <mergeCell ref="C6:C7"/>
    <mergeCell ref="C4:N4"/>
    <mergeCell ref="E2:N2"/>
    <mergeCell ref="E3:L3"/>
    <mergeCell ref="C24:H24"/>
    <mergeCell ref="I24:N24"/>
  </mergeCells>
  <pageMargins left="0.61" right="0.38" top="0.31" bottom="0.19" header="0.3" footer="0.16"/>
  <pageSetup paperSize="9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C000"/>
    <pageSetUpPr fitToPage="1"/>
  </sheetPr>
  <dimension ref="A1:AM113"/>
  <sheetViews>
    <sheetView workbookViewId="0">
      <selection activeCell="G53" sqref="G53"/>
    </sheetView>
  </sheetViews>
  <sheetFormatPr defaultColWidth="0" defaultRowHeight="0" customHeight="1" zeroHeight="1" x14ac:dyDescent="0.25"/>
  <cols>
    <col min="1" max="1" width="4.33203125" style="59" customWidth="1"/>
    <col min="2" max="2" width="6" style="59" customWidth="1"/>
    <col min="3" max="4" width="7.33203125" style="59" hidden="1" customWidth="1"/>
    <col min="5" max="6" width="11.6640625" style="59" customWidth="1"/>
    <col min="7" max="7" width="39.6640625" style="59" customWidth="1"/>
    <col min="8" max="8" width="37.109375" style="59" customWidth="1"/>
    <col min="9" max="9" width="34" style="59" hidden="1" customWidth="1"/>
    <col min="10" max="10" width="19.109375" style="59" hidden="1" customWidth="1"/>
    <col min="11" max="11" width="7.88671875" style="59" customWidth="1"/>
    <col min="12" max="12" width="10.5546875" style="59" bestFit="1" customWidth="1"/>
    <col min="13" max="13" width="28" style="59" customWidth="1"/>
    <col min="14" max="14" width="10" style="59" customWidth="1"/>
    <col min="15" max="15" width="8.88671875" style="59" customWidth="1"/>
    <col min="16" max="17" width="10.88671875" style="59" customWidth="1"/>
    <col min="18" max="19" width="8.88671875" style="59" customWidth="1"/>
    <col min="20" max="21" width="11.33203125" style="59" customWidth="1"/>
    <col min="22" max="23" width="8.88671875" style="206" customWidth="1"/>
    <col min="24" max="25" width="9.44140625" style="59" customWidth="1"/>
    <col min="26" max="26" width="12.109375" style="59" customWidth="1"/>
    <col min="27" max="27" width="11" style="207" customWidth="1"/>
    <col min="28" max="28" width="11.88671875" style="59" customWidth="1"/>
    <col min="29" max="29" width="10.5546875" style="208" customWidth="1"/>
    <col min="30" max="30" width="10.33203125" style="208" hidden="1" customWidth="1"/>
    <col min="31" max="31" width="9.88671875" style="208" hidden="1" customWidth="1"/>
    <col min="32" max="32" width="8.6640625" style="208" hidden="1" customWidth="1"/>
    <col min="33" max="33" width="7.109375" style="208" hidden="1" customWidth="1"/>
    <col min="34" max="34" width="3.5546875" style="158" customWidth="1"/>
    <col min="35" max="39" width="0" style="21" hidden="1" customWidth="1"/>
    <col min="40" max="16384" width="9.109375" style="21" hidden="1"/>
  </cols>
  <sheetData>
    <row r="1" spans="1:33" ht="18" customHeight="1" x14ac:dyDescent="0.25">
      <c r="A1" s="153" t="s">
        <v>20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5"/>
      <c r="W1" s="155"/>
      <c r="X1" s="154"/>
      <c r="Y1" s="154"/>
      <c r="Z1" s="154"/>
      <c r="AA1" s="156"/>
      <c r="AB1" s="154"/>
      <c r="AC1" s="157"/>
      <c r="AD1" s="157"/>
      <c r="AE1" s="157"/>
      <c r="AF1" s="157"/>
      <c r="AG1" s="157"/>
    </row>
    <row r="2" spans="1:33" ht="54" customHeight="1" x14ac:dyDescent="0.25">
      <c r="A2" s="154"/>
      <c r="B2" s="1476" t="str">
        <f>DASHBOARD!B2&amp;DASHBOARD!B3</f>
        <v xml:space="preserve">SWAMI VIVEKANAND GOVT. MODEL SCHOOL,  AMET, BLOCK-AMET, RAJSAMAND                                                                </v>
      </c>
      <c r="C2" s="1476"/>
      <c r="D2" s="1476"/>
      <c r="E2" s="1476"/>
      <c r="F2" s="1476"/>
      <c r="G2" s="1476"/>
      <c r="H2" s="1476"/>
      <c r="I2" s="1476"/>
      <c r="J2" s="1476"/>
      <c r="K2" s="1476"/>
      <c r="L2" s="1476"/>
      <c r="M2" s="1477"/>
      <c r="N2" s="1470" t="str">
        <f>IF('GREEN SHEET'!L2="","",'GREEN SHEET'!L2)</f>
        <v>ENGLISH</v>
      </c>
      <c r="O2" s="1470"/>
      <c r="P2" s="1466" t="str">
        <f>IF('GREEN SHEET'!AD2="","",'GREEN SHEET'!AD2)</f>
        <v>MATHS</v>
      </c>
      <c r="Q2" s="1466"/>
      <c r="R2" s="1470" t="str">
        <f>IF('GREEN SHEET'!AX2="","",'GREEN SHEET'!AX2)</f>
        <v xml:space="preserve">PHYSICS </v>
      </c>
      <c r="S2" s="1470"/>
      <c r="T2" s="1466" t="str">
        <f>IF('GREEN SHEET'!BQ2="","",'GREEN SHEET'!BQ2)</f>
        <v>CHEMISTRY</v>
      </c>
      <c r="U2" s="1466"/>
      <c r="V2" s="1464" t="str">
        <f>IF('GREEN SHEET'!CJ2="","",'GREEN SHEET'!CJ2)</f>
        <v xml:space="preserve">BIOLOGY </v>
      </c>
      <c r="W2" s="1465"/>
      <c r="X2" s="1466" t="str">
        <f>IF('GREEN SHEET'!DC2="","",'GREEN SHEET'!DC2)</f>
        <v xml:space="preserve">PHYSICAL EDUCATION </v>
      </c>
      <c r="Y2" s="1466"/>
      <c r="Z2" s="1478" t="s">
        <v>216</v>
      </c>
      <c r="AA2" s="1479" t="s">
        <v>217</v>
      </c>
      <c r="AB2" s="1478" t="s">
        <v>218</v>
      </c>
      <c r="AC2" s="1478" t="s">
        <v>73</v>
      </c>
      <c r="AD2" s="1475" t="s">
        <v>221</v>
      </c>
      <c r="AE2" s="1475" t="s">
        <v>222</v>
      </c>
      <c r="AF2" s="1475" t="s">
        <v>223</v>
      </c>
      <c r="AG2" s="1475" t="s">
        <v>224</v>
      </c>
    </row>
    <row r="3" spans="1:33" ht="57.75" customHeight="1" thickBot="1" x14ac:dyDescent="0.3">
      <c r="A3" s="154"/>
      <c r="B3" s="1471" t="str">
        <f>IF(DASHBOARD!B4="","",DASHBOARD!B4)</f>
        <v>SESSION    -  2025-26</v>
      </c>
      <c r="C3" s="1471"/>
      <c r="D3" s="1471"/>
      <c r="E3" s="1471"/>
      <c r="F3" s="1471"/>
      <c r="G3" s="1471"/>
      <c r="H3" s="570" t="str">
        <f>IF(DASHBOARD!B7="","",DASHBOARD!B7)</f>
        <v>CLASS</v>
      </c>
      <c r="I3" s="571"/>
      <c r="J3" s="571"/>
      <c r="K3" s="1472" t="str">
        <f>IF(DASHBOARD!B7="","",DASHBOARD!B8&amp;DASHBOARD!C8)</f>
        <v>XI A</v>
      </c>
      <c r="L3" s="1472"/>
      <c r="M3" s="1473"/>
      <c r="N3" s="1470" t="str">
        <f>IF('GREEN SHEET'!L3="","",'GREEN SHEET'!L3)</f>
        <v>SUREKHA</v>
      </c>
      <c r="O3" s="1470"/>
      <c r="P3" s="1466" t="str">
        <f>IF('GREEN SHEET'!AD3="","",'GREEN SHEET'!AD3)</f>
        <v>NILESH KUMAR KHATIK</v>
      </c>
      <c r="Q3" s="1466"/>
      <c r="R3" s="1470" t="str">
        <f>IF('GREEN SHEET'!AX3="","",'GREEN SHEET'!AX3)</f>
        <v>KAMLESH KUMAR</v>
      </c>
      <c r="S3" s="1470"/>
      <c r="T3" s="1466" t="str">
        <f>IF('GREEN SHEET'!BQ3="","",'GREEN SHEET'!BQ3)</f>
        <v>KAMLESH KUMAR</v>
      </c>
      <c r="U3" s="1466"/>
      <c r="V3" s="1464" t="str">
        <f>IF('GREEN SHEET'!CJ3="","",'GREEN SHEET'!CJ3)</f>
        <v>BIOLOGY</v>
      </c>
      <c r="W3" s="1465"/>
      <c r="X3" s="1466" t="str">
        <f>IF('GREEN SHEET'!DC3="","",'GREEN SHEET'!DC3)</f>
        <v>SUREKHA</v>
      </c>
      <c r="Y3" s="1466"/>
      <c r="Z3" s="1478"/>
      <c r="AA3" s="1479"/>
      <c r="AB3" s="1478"/>
      <c r="AC3" s="1478"/>
      <c r="AD3" s="1475"/>
      <c r="AE3" s="1475"/>
      <c r="AF3" s="1475"/>
      <c r="AG3" s="1475"/>
    </row>
    <row r="4" spans="1:33" ht="36.75" customHeight="1" thickBot="1" x14ac:dyDescent="0.3">
      <c r="A4" s="154"/>
      <c r="B4" s="1467" t="s">
        <v>229</v>
      </c>
      <c r="C4" s="1468"/>
      <c r="D4" s="1468"/>
      <c r="E4" s="1468"/>
      <c r="F4" s="1468"/>
      <c r="G4" s="1468"/>
      <c r="H4" s="1468"/>
      <c r="I4" s="1468"/>
      <c r="J4" s="1468"/>
      <c r="K4" s="1468"/>
      <c r="L4" s="1468"/>
      <c r="M4" s="1469"/>
      <c r="N4" s="1465" t="s">
        <v>220</v>
      </c>
      <c r="O4" s="1470"/>
      <c r="P4" s="1466" t="s">
        <v>220</v>
      </c>
      <c r="Q4" s="1466"/>
      <c r="R4" s="1470" t="s">
        <v>220</v>
      </c>
      <c r="S4" s="1470"/>
      <c r="T4" s="1466" t="s">
        <v>220</v>
      </c>
      <c r="U4" s="1466"/>
      <c r="V4" s="1470" t="s">
        <v>220</v>
      </c>
      <c r="W4" s="1470"/>
      <c r="X4" s="1466" t="s">
        <v>220</v>
      </c>
      <c r="Y4" s="1466"/>
      <c r="Z4" s="1478"/>
      <c r="AA4" s="1479"/>
      <c r="AB4" s="1478"/>
      <c r="AC4" s="1478"/>
      <c r="AD4" s="1475"/>
      <c r="AE4" s="1475"/>
      <c r="AF4" s="1475"/>
      <c r="AG4" s="1475"/>
    </row>
    <row r="5" spans="1:33" ht="47.25" customHeight="1" thickBot="1" x14ac:dyDescent="0.3">
      <c r="A5" s="154"/>
      <c r="B5" s="1474" t="s">
        <v>225</v>
      </c>
      <c r="C5" s="1474"/>
      <c r="D5" s="1474"/>
      <c r="E5" s="1474"/>
      <c r="F5" s="1474"/>
      <c r="G5" s="1474"/>
      <c r="H5" s="1474"/>
      <c r="I5" s="1474"/>
      <c r="J5" s="1474"/>
      <c r="K5" s="1474"/>
      <c r="L5" s="1474"/>
      <c r="M5" s="1474"/>
      <c r="N5" s="163" t="s">
        <v>41</v>
      </c>
      <c r="O5" s="163" t="s">
        <v>159</v>
      </c>
      <c r="P5" s="164" t="s">
        <v>41</v>
      </c>
      <c r="Q5" s="164" t="s">
        <v>159</v>
      </c>
      <c r="R5" s="163" t="s">
        <v>41</v>
      </c>
      <c r="S5" s="163" t="s">
        <v>159</v>
      </c>
      <c r="T5" s="164" t="s">
        <v>41</v>
      </c>
      <c r="U5" s="164" t="s">
        <v>159</v>
      </c>
      <c r="V5" s="163" t="s">
        <v>41</v>
      </c>
      <c r="W5" s="163" t="s">
        <v>159</v>
      </c>
      <c r="X5" s="164" t="s">
        <v>41</v>
      </c>
      <c r="Y5" s="164" t="s">
        <v>159</v>
      </c>
      <c r="Z5" s="1478"/>
      <c r="AA5" s="1479"/>
      <c r="AB5" s="1478"/>
      <c r="AC5" s="1478"/>
      <c r="AD5" s="1475"/>
      <c r="AE5" s="1475"/>
      <c r="AF5" s="1475"/>
      <c r="AG5" s="1475"/>
    </row>
    <row r="6" spans="1:33" ht="17.399999999999999" hidden="1" thickBot="1" x14ac:dyDescent="0.3">
      <c r="A6" s="154"/>
      <c r="B6" s="165" t="s">
        <v>2</v>
      </c>
      <c r="C6" s="165" t="s">
        <v>221</v>
      </c>
      <c r="D6" s="165" t="s">
        <v>221</v>
      </c>
      <c r="E6" s="165" t="s">
        <v>3</v>
      </c>
      <c r="F6" s="165" t="s">
        <v>4</v>
      </c>
      <c r="G6" s="165" t="s">
        <v>5</v>
      </c>
      <c r="H6" s="69" t="s">
        <v>6</v>
      </c>
      <c r="I6" s="69" t="s">
        <v>7</v>
      </c>
      <c r="J6" s="69" t="s">
        <v>8</v>
      </c>
      <c r="K6" s="69" t="s">
        <v>9</v>
      </c>
      <c r="L6" s="69" t="s">
        <v>10</v>
      </c>
      <c r="M6" s="69" t="s">
        <v>11</v>
      </c>
      <c r="N6" s="166">
        <f>IF(F6="","",IF('GREEN SHEET'!AB6="",'GREEN SHEET'!Y6,'GREEN SHEET'!AB6))</f>
        <v>100</v>
      </c>
      <c r="O6" s="166" t="str">
        <f>IF(F6="","",IF('GREEN SHEET'!AC6="",'GREEN SHEET'!Z6,'GREEN SHEET'!AC6))</f>
        <v>A1</v>
      </c>
      <c r="P6" s="167">
        <f>IF(F6="","",IF('GREEN SHEET'!AV6="",'GREEN SHEET'!AS6,'GREEN SHEET'!AV6))</f>
        <v>100</v>
      </c>
      <c r="Q6" s="167" t="str">
        <f>IF(F6="","",IF('GREEN SHEET'!AW6="",'GREEN SHEET'!AT6,'GREEN SHEET'!AW6))</f>
        <v>A1</v>
      </c>
      <c r="R6" s="166">
        <f>IF(F6="","",IF('GREEN SHEET'!BO6="",'GREEN SHEET'!BL6,'GREEN SHEET'!BO6))</f>
        <v>100</v>
      </c>
      <c r="S6" s="166" t="str">
        <f>IF(F6="","",IF('GREEN SHEET'!BP6="",'GREEN SHEET'!BM6,'GREEN SHEET'!BP6))</f>
        <v>A1</v>
      </c>
      <c r="T6" s="167">
        <f>IF(F6="","",IF('GREEN SHEET'!CH6="",'GREEN SHEET'!CE6,'GREEN SHEET'!CH6))</f>
        <v>100</v>
      </c>
      <c r="U6" s="167" t="str">
        <f>IF(F6="","",IF('GREEN SHEET'!CI6="",'GREEN SHEET'!CF6,'GREEN SHEET'!CI6))</f>
        <v>A1</v>
      </c>
      <c r="V6" s="168">
        <f>IF(F6="","",IF('GREEN SHEET'!DA6="",'GREEN SHEET'!CX6,'GREEN SHEET'!DA6))</f>
        <v>100</v>
      </c>
      <c r="W6" s="168" t="str">
        <f>IF(F6="","",IF('GREEN SHEET'!DB6="",'GREEN SHEET'!CY6,'GREEN SHEET'!DB6))</f>
        <v>A1</v>
      </c>
      <c r="X6" s="167">
        <f>IF(F6="","",IF('GREEN SHEET'!DT6="",'GREEN SHEET'!DQ6,'GREEN SHEET'!DT6))</f>
        <v>100</v>
      </c>
      <c r="Y6" s="167" t="str">
        <f>IF(F6="","",IF('GREEN SHEET'!DU6="",'GREEN SHEET'!DR6,'GREEN SHEET'!DU6))</f>
        <v>A1</v>
      </c>
      <c r="Z6" s="169">
        <f>IF(F6="","",IF('GREEN SHEET'!FH6="",'GREEN SHEET'!EH6,'GREEN SHEET'!FH6))</f>
        <v>500</v>
      </c>
      <c r="AA6" s="170">
        <f>IF(F6="","",ROUND(IF(Z6="","0",Z6*100/$Z$6),2))</f>
        <v>100</v>
      </c>
      <c r="AB6" s="171" t="str">
        <f>IF(AA6="","",IF(AA6&lt;33,"E",IF(AND(AA6&gt;=33,AA6&lt;41),"D",IF(AND(AA6&gt;=41,AA6&lt;51),"C2",IF(AND(AA6&gt;=51,AA6&lt;61),"C1",IF(AND(AA6&gt;=61,AA6&lt;71),"B2",IF(AND(AA6&gt;=71,AA6&lt;81),"B1",IF(AND(AA6&gt;=81,AA6&lt;91),"A2",IF(AND(AA6&gt;=91,AA6&lt;=100),"A1")))))))))</f>
        <v>A1</v>
      </c>
      <c r="AC6" s="171"/>
      <c r="AD6" s="172"/>
      <c r="AE6" s="172"/>
      <c r="AF6" s="172">
        <v>50</v>
      </c>
      <c r="AG6" s="172">
        <v>1</v>
      </c>
    </row>
    <row r="7" spans="1:33" ht="27.6" hidden="1" x14ac:dyDescent="0.25">
      <c r="A7" s="154"/>
      <c r="B7" s="25">
        <v>1</v>
      </c>
      <c r="C7" s="173">
        <f>IF(AE7="","",ROUND(AE7,0))</f>
        <v>1</v>
      </c>
      <c r="D7" s="173" t="str">
        <f t="shared" ref="D7:D51" si="0">IF(AC7="","",ROUND(AC7,0))</f>
        <v/>
      </c>
      <c r="E7" s="25">
        <f>IF('GREEN SHEET'!C7="","",'GREEN SHEET'!C7)</f>
        <v>1101</v>
      </c>
      <c r="F7" s="25">
        <f>IF('GREEN SHEET'!D7="","",'GREEN SHEET'!D7)</f>
        <v>1168</v>
      </c>
      <c r="G7" s="25" t="str">
        <f>IF('GREEN SHEET'!E7="","",'GREEN SHEET'!E7)</f>
        <v>Devendra Sharma</v>
      </c>
      <c r="H7" s="25" t="str">
        <f>IF('GREEN SHEET'!F7="","",'GREEN SHEET'!F7)</f>
        <v>Suresh Sharma</v>
      </c>
      <c r="I7" s="25" t="str">
        <f>IF('GREEN SHEET'!G7="","",'GREEN SHEET'!G7)</f>
        <v>Devkanya Sharma</v>
      </c>
      <c r="J7" s="25">
        <f>IF('GREEN SHEET'!H7="","",'GREEN SHEET'!H7)</f>
        <v>39287</v>
      </c>
      <c r="K7" s="25" t="str">
        <f>IF('GREEN SHEET'!I7="","",'GREEN SHEET'!I7)</f>
        <v>BOY</v>
      </c>
      <c r="L7" s="25" t="str">
        <f>IF('GREEN SHEET'!J7="","",'GREEN SHEET'!J7)</f>
        <v>GEN</v>
      </c>
      <c r="M7" s="25" t="str">
        <f>IF('GREEN SHEET'!K7="","",'GREEN SHEET'!K7)</f>
        <v>BSNL OFFICE ,AMET,,313332</v>
      </c>
      <c r="N7" s="166">
        <f>IF(F7="","",IF('GREEN SHEET'!AB7="",'GREEN SHEET'!Y7,'GREEN SHEET'!AB7))</f>
        <v>52</v>
      </c>
      <c r="O7" s="166" t="str">
        <f>IF(F7="","",IF('GREEN SHEET'!AC7="",'GREEN SHEET'!Z7,'GREEN SHEET'!AC7))</f>
        <v>*</v>
      </c>
      <c r="P7" s="167" t="str">
        <f>IF(F7="","",IF('GREEN SHEET'!AV7="",'GREEN SHEET'!AS7,'GREEN SHEET'!AV7))</f>
        <v/>
      </c>
      <c r="Q7" s="167" t="str">
        <f>IF(F7="","",IF('GREEN SHEET'!AW7="",'GREEN SHEET'!AT7,'GREEN SHEET'!AW7))</f>
        <v/>
      </c>
      <c r="R7" s="166">
        <f>IF(F7="","",IF('GREEN SHEET'!BO7="",'GREEN SHEET'!BL7,'GREEN SHEET'!BO7))</f>
        <v>80</v>
      </c>
      <c r="S7" s="166" t="str">
        <f>IF(F7="","",IF('GREEN SHEET'!BP7="",'GREEN SHEET'!BM7,'GREEN SHEET'!BP7))</f>
        <v>B1</v>
      </c>
      <c r="T7" s="167">
        <f>IF(F7="","",IF('GREEN SHEET'!CH7="",'GREEN SHEET'!CE7,'GREEN SHEET'!CH7))</f>
        <v>79</v>
      </c>
      <c r="U7" s="167" t="str">
        <f>IF(F7="","",IF('GREEN SHEET'!CI7="",'GREEN SHEET'!CF7,'GREEN SHEET'!CI7))</f>
        <v>B1</v>
      </c>
      <c r="V7" s="168">
        <f>IF(F7="","",IF('GREEN SHEET'!DA7="",'GREEN SHEET'!CX7,'GREEN SHEET'!DA7))</f>
        <v>59</v>
      </c>
      <c r="W7" s="168" t="str">
        <f>IF(F7="","",IF('GREEN SHEET'!DB7="",'GREEN SHEET'!CY7,'GREEN SHEET'!DB7))</f>
        <v>*</v>
      </c>
      <c r="X7" s="167">
        <f>IF(F7="","",IF('GREEN SHEET'!DT7="",'GREEN SHEET'!DQ7,'GREEN SHEET'!DT7))</f>
        <v>85</v>
      </c>
      <c r="Y7" s="167" t="str">
        <f>IF(F7="","",IF('GREEN SHEET'!DU7="",'GREEN SHEET'!DR7,'GREEN SHEET'!DU7))</f>
        <v>A2</v>
      </c>
      <c r="Z7" s="169" t="str">
        <f>IF(F7="","",IF('GREEN SHEET'!FH7="",'GREEN SHEET'!EH7,'GREEN SHEET'!FH7))</f>
        <v/>
      </c>
      <c r="AA7" s="170">
        <f t="shared" ref="AA7:AA51" si="1">IF(F7="","",ROUND(IF(Z7="","0",Z7*100/$Z$6),2))</f>
        <v>0</v>
      </c>
      <c r="AB7" s="171" t="str">
        <f>IF(AA7="","",IF(AA7&lt;33,"E",IF(AND(AA7&gt;=33,AA7&lt;41),"D",IF(AND(AA7&gt;=41,AA7&lt;51),"C2",IF(AND(AA7&gt;=51,AA7&lt;61),"C1",IF(AND(AA7&gt;=61,AA7&lt;71),"B2",IF(AND(AA7&gt;=71,AA7&lt;81),"B1",IF(AND(AA7&gt;=81,AA7&lt;91),"A2",IF(AND(AA7&gt;=91,AA7&lt;=100),"A1")))))))))</f>
        <v>E</v>
      </c>
      <c r="AC7" s="171" t="str">
        <f>IF(F7="","",IF('GREEN SHEET'!EN7="","",'GREEN SHEET'!EN7))</f>
        <v/>
      </c>
      <c r="AD7" s="174">
        <f>IF(AA7="","",RANK(AA7,AA$7:$AA$51,0)+COUNTIF($AA$7:AA7,AA7)-1)</f>
        <v>3</v>
      </c>
      <c r="AE7" s="174">
        <f t="shared" ref="AE7:AE51" si="2">IF(AD7="","",SMALL($AD$7:$AD$51,B7))</f>
        <v>1</v>
      </c>
      <c r="AF7" s="174" t="str">
        <f t="shared" ref="AF7:AF51" si="3">IF(ISNUMBER(SEARCH($G$53,$AB$7:$AB$51)),AE7,"")</f>
        <v/>
      </c>
      <c r="AG7" s="174" t="str">
        <f t="shared" ref="AG7:AG51" si="4">IFERROR(SMALL($AF$7:$AF$51,AE7),"")</f>
        <v/>
      </c>
    </row>
    <row r="8" spans="1:33" ht="27.6" hidden="1" x14ac:dyDescent="0.25">
      <c r="A8" s="154"/>
      <c r="B8" s="25">
        <v>2</v>
      </c>
      <c r="C8" s="173">
        <f t="shared" ref="C8:C51" si="5">IF(AE8="","",ROUND(AE8,0))</f>
        <v>2</v>
      </c>
      <c r="D8" s="173">
        <f t="shared" si="0"/>
        <v>2</v>
      </c>
      <c r="E8" s="25">
        <f>IF('GREEN SHEET'!C8="","",'GREEN SHEET'!C8)</f>
        <v>1102</v>
      </c>
      <c r="F8" s="25">
        <f>IF('GREEN SHEET'!D8="","",'GREEN SHEET'!D8)</f>
        <v>714</v>
      </c>
      <c r="G8" s="25" t="str">
        <f>IF('GREEN SHEET'!E8="","",'GREEN SHEET'!E8)</f>
        <v>DHARA SALVI</v>
      </c>
      <c r="H8" s="25" t="str">
        <f>IF('GREEN SHEET'!F8="","",'GREEN SHEET'!F8)</f>
        <v>HITESH LAL</v>
      </c>
      <c r="I8" s="25" t="str">
        <f>IF('GREEN SHEET'!G8="","",'GREEN SHEET'!G8)</f>
        <v>MEENA DEVI</v>
      </c>
      <c r="J8" s="25">
        <f>IF('GREEN SHEET'!H8="","",'GREEN SHEET'!H8)</f>
        <v>39482</v>
      </c>
      <c r="K8" s="25" t="str">
        <f>IF('GREEN SHEET'!I8="","",'GREEN SHEET'!I8)</f>
        <v>GIRL</v>
      </c>
      <c r="L8" s="25" t="str">
        <f>IF('GREEN SHEET'!J8="","",'GREEN SHEET'!J8)</f>
        <v>SC</v>
      </c>
      <c r="M8" s="25" t="str">
        <f>IF('GREEN SHEET'!K8="","",'GREEN SHEET'!K8)</f>
        <v>NADI DARWAJA,AMET,,313332</v>
      </c>
      <c r="N8" s="166">
        <f>IF(F8="","",IF('GREEN SHEET'!AB8="",'GREEN SHEET'!Y8,'GREEN SHEET'!AB8))</f>
        <v>41</v>
      </c>
      <c r="O8" s="166" t="str">
        <f>IF(F8="","",IF('GREEN SHEET'!AC8="",'GREEN SHEET'!Z8,'GREEN SHEET'!AC8))</f>
        <v>C2</v>
      </c>
      <c r="P8" s="167" t="str">
        <f>IF(F8="","",IF('GREEN SHEET'!AV8="",'GREEN SHEET'!AS8,'GREEN SHEET'!AV8))</f>
        <v/>
      </c>
      <c r="Q8" s="167" t="str">
        <f>IF(F8="","",IF('GREEN SHEET'!AW8="",'GREEN SHEET'!AT8,'GREEN SHEET'!AW8))</f>
        <v/>
      </c>
      <c r="R8" s="166">
        <f>IF(F8="","",IF('GREEN SHEET'!BO8="",'GREEN SHEET'!BL8,'GREEN SHEET'!BO8))</f>
        <v>74</v>
      </c>
      <c r="S8" s="166" t="str">
        <f>IF(F8="","",IF('GREEN SHEET'!BP8="",'GREEN SHEET'!BM8,'GREEN SHEET'!BP8))</f>
        <v>B1</v>
      </c>
      <c r="T8" s="167">
        <f>IF(F8="","",IF('GREEN SHEET'!CH8="",'GREEN SHEET'!CE8,'GREEN SHEET'!CH8))</f>
        <v>65</v>
      </c>
      <c r="U8" s="167" t="str">
        <f>IF(F8="","",IF('GREEN SHEET'!CI8="",'GREEN SHEET'!CF8,'GREEN SHEET'!CI8))</f>
        <v>B2</v>
      </c>
      <c r="V8" s="168" t="str">
        <f>IF(F8="","",IF('GREEN SHEET'!DA8="",'GREEN SHEET'!CX8,'GREEN SHEET'!DA8))</f>
        <v/>
      </c>
      <c r="W8" s="168" t="str">
        <f>IF(F8="","",IF('GREEN SHEET'!DB8="",'GREEN SHEET'!CY8,'GREEN SHEET'!DB8))</f>
        <v/>
      </c>
      <c r="X8" s="167">
        <f>IF(F8="","",IF('GREEN SHEET'!DT8="",'GREEN SHEET'!DQ8,'GREEN SHEET'!DT8))</f>
        <v>60</v>
      </c>
      <c r="Y8" s="167" t="str">
        <f>IF(F8="","",IF('GREEN SHEET'!DU8="",'GREEN SHEET'!DR8,'GREEN SHEET'!DU8))</f>
        <v>C1</v>
      </c>
      <c r="Z8" s="169">
        <f>IF(F8="","",IF('GREEN SHEET'!FH8="",'GREEN SHEET'!EH8,'GREEN SHEET'!FH8))</f>
        <v>240</v>
      </c>
      <c r="AA8" s="170">
        <f t="shared" si="1"/>
        <v>48</v>
      </c>
      <c r="AB8" s="171" t="str">
        <f t="shared" ref="AB8:AB51" si="6">IF(AA8="","",IF(AA8&lt;33,"E",IF(AND(AA8&gt;=33,AA8&lt;41),"D",IF(AND(AA8&gt;=41,AA8&lt;51),"C2",IF(AND(AA8&gt;=51,AA8&lt;61),"C1",IF(AND(AA8&gt;=61,AA8&lt;71),"B2",IF(AND(AA8&gt;=71,AA8&lt;81),"B1",IF(AND(AA8&gt;=81,AA8&lt;91),"A2",IF(AND(AA8&gt;=91,AA8&lt;=100),"A1")))))))))</f>
        <v>C2</v>
      </c>
      <c r="AC8" s="171">
        <f>IF(F8="","",IF('GREEN SHEET'!EN8="","",'GREEN SHEET'!EN8))</f>
        <v>2.0000000000000018</v>
      </c>
      <c r="AD8" s="174">
        <f>IF(AA8="","",RANK(AA8,AA$7:$AA$51,0)+COUNTIF($AA$7:AA8,AA8)-1)</f>
        <v>2</v>
      </c>
      <c r="AE8" s="174">
        <f t="shared" si="2"/>
        <v>2</v>
      </c>
      <c r="AF8" s="174" t="str">
        <f t="shared" si="3"/>
        <v/>
      </c>
      <c r="AG8" s="174" t="str">
        <f t="shared" si="4"/>
        <v/>
      </c>
    </row>
    <row r="9" spans="1:33" ht="27.6" hidden="1" x14ac:dyDescent="0.25">
      <c r="A9" s="154"/>
      <c r="B9" s="25">
        <v>3</v>
      </c>
      <c r="C9" s="173">
        <f t="shared" si="5"/>
        <v>3</v>
      </c>
      <c r="D9" s="173">
        <f t="shared" si="0"/>
        <v>1</v>
      </c>
      <c r="E9" s="25">
        <f>IF('GREEN SHEET'!C9="","",'GREEN SHEET'!C9)</f>
        <v>1103</v>
      </c>
      <c r="F9" s="25">
        <f>IF('GREEN SHEET'!D9="","",'GREEN SHEET'!D9)</f>
        <v>710</v>
      </c>
      <c r="G9" s="25" t="str">
        <f>IF('GREEN SHEET'!E9="","",'GREEN SHEET'!E9)</f>
        <v>HARSHIKA RAO</v>
      </c>
      <c r="H9" s="25" t="str">
        <f>IF('GREEN SHEET'!F9="","",'GREEN SHEET'!F9)</f>
        <v>DEVI SINGH RAO</v>
      </c>
      <c r="I9" s="25" t="str">
        <f>IF('GREEN SHEET'!G9="","",'GREEN SHEET'!G9)</f>
        <v>NIRMALA RAO</v>
      </c>
      <c r="J9" s="25">
        <f>IF('GREEN SHEET'!H9="","",'GREEN SHEET'!H9)</f>
        <v>39223</v>
      </c>
      <c r="K9" s="25" t="str">
        <f>IF('GREEN SHEET'!I9="","",'GREEN SHEET'!I9)</f>
        <v>GIRL</v>
      </c>
      <c r="L9" s="25" t="str">
        <f>IF('GREEN SHEET'!J9="","",'GREEN SHEET'!J9)</f>
        <v>OBC</v>
      </c>
      <c r="M9" s="25" t="str">
        <f>IF('GREEN SHEET'!K9="","",'GREEN SHEET'!K9)</f>
        <v>GUGLI, AIDANA,AMET,,313332</v>
      </c>
      <c r="N9" s="166">
        <f>IF(F9="","",IF('GREEN SHEET'!AB9="",'GREEN SHEET'!Y9,'GREEN SHEET'!AB9))</f>
        <v>82</v>
      </c>
      <c r="O9" s="166" t="str">
        <f>IF(F9="","",IF('GREEN SHEET'!AC9="",'GREEN SHEET'!Z9,'GREEN SHEET'!AC9))</f>
        <v>A2</v>
      </c>
      <c r="P9" s="167" t="str">
        <f>IF(F9="","",IF('GREEN SHEET'!AV9="",'GREEN SHEET'!AS9,'GREEN SHEET'!AV9))</f>
        <v/>
      </c>
      <c r="Q9" s="167" t="str">
        <f>IF(F9="","",IF('GREEN SHEET'!AW9="",'GREEN SHEET'!AT9,'GREEN SHEET'!AW9))</f>
        <v/>
      </c>
      <c r="R9" s="166">
        <f>IF(F9="","",IF('GREEN SHEET'!BO9="",'GREEN SHEET'!BL9,'GREEN SHEET'!BO9))</f>
        <v>74</v>
      </c>
      <c r="S9" s="166" t="str">
        <f>IF(F9="","",IF('GREEN SHEET'!BP9="",'GREEN SHEET'!BM9,'GREEN SHEET'!BP9))</f>
        <v>B1</v>
      </c>
      <c r="T9" s="167">
        <f>IF(F9="","",IF('GREEN SHEET'!CH9="",'GREEN SHEET'!CE9,'GREEN SHEET'!CH9))</f>
        <v>77</v>
      </c>
      <c r="U9" s="167" t="str">
        <f>IF(F9="","",IF('GREEN SHEET'!CI9="",'GREEN SHEET'!CF9,'GREEN SHEET'!CI9))</f>
        <v>B1</v>
      </c>
      <c r="V9" s="168" t="str">
        <f>IF(F9="","",IF('GREEN SHEET'!DA9="",'GREEN SHEET'!CX9,'GREEN SHEET'!DA9))</f>
        <v/>
      </c>
      <c r="W9" s="168" t="str">
        <f>IF(F9="","",IF('GREEN SHEET'!DB9="",'GREEN SHEET'!CY9,'GREEN SHEET'!DB9))</f>
        <v/>
      </c>
      <c r="X9" s="167">
        <f>IF(F9="","",IF('GREEN SHEET'!DT9="",'GREEN SHEET'!DQ9,'GREEN SHEET'!DT9))</f>
        <v>93</v>
      </c>
      <c r="Y9" s="167" t="str">
        <f>IF(F9="","",IF('GREEN SHEET'!DU9="",'GREEN SHEET'!DR9,'GREEN SHEET'!DU9))</f>
        <v>A1</v>
      </c>
      <c r="Z9" s="169">
        <f>IF(F9="","",IF('GREEN SHEET'!FH9="",'GREEN SHEET'!EH9,'GREEN SHEET'!FH9))</f>
        <v>326</v>
      </c>
      <c r="AA9" s="170">
        <f t="shared" si="1"/>
        <v>65.2</v>
      </c>
      <c r="AB9" s="171" t="str">
        <f t="shared" si="6"/>
        <v>B2</v>
      </c>
      <c r="AC9" s="171">
        <f>IF(F9="","",IF('GREEN SHEET'!EN9="","",'GREEN SHEET'!EN9))</f>
        <v>1.0000000000000007</v>
      </c>
      <c r="AD9" s="174">
        <f>IF(AA9="","",RANK(AA9,AA$7:$AA$51,0)+COUNTIF($AA$7:AA9,AA9)-1)</f>
        <v>1</v>
      </c>
      <c r="AE9" s="174">
        <f t="shared" si="2"/>
        <v>3</v>
      </c>
      <c r="AF9" s="174" t="str">
        <f t="shared" si="3"/>
        <v/>
      </c>
      <c r="AG9" s="174" t="str">
        <f t="shared" si="4"/>
        <v/>
      </c>
    </row>
    <row r="10" spans="1:33" ht="16.8" hidden="1" x14ac:dyDescent="0.25">
      <c r="A10" s="154"/>
      <c r="B10" s="25">
        <v>4</v>
      </c>
      <c r="C10" s="173" t="str">
        <f t="shared" si="5"/>
        <v/>
      </c>
      <c r="D10" s="173" t="str">
        <f t="shared" si="0"/>
        <v/>
      </c>
      <c r="E10" s="25" t="str">
        <f>IF('GREEN SHEET'!C10="","",'GREEN SHEET'!C10)</f>
        <v/>
      </c>
      <c r="F10" s="25" t="str">
        <f>IF('GREEN SHEET'!D10="","",'GREEN SHEET'!D10)</f>
        <v/>
      </c>
      <c r="G10" s="25" t="str">
        <f>IF('GREEN SHEET'!E10="","",'GREEN SHEET'!E10)</f>
        <v/>
      </c>
      <c r="H10" s="25" t="str">
        <f>IF('GREEN SHEET'!F10="","",'GREEN SHEET'!F10)</f>
        <v/>
      </c>
      <c r="I10" s="25" t="str">
        <f>IF('GREEN SHEET'!G10="","",'GREEN SHEET'!G10)</f>
        <v/>
      </c>
      <c r="J10" s="25" t="str">
        <f>IF('GREEN SHEET'!H10="","",'GREEN SHEET'!H10)</f>
        <v/>
      </c>
      <c r="K10" s="25" t="str">
        <f>IF('GREEN SHEET'!I10="","",'GREEN SHEET'!I10)</f>
        <v/>
      </c>
      <c r="L10" s="25" t="str">
        <f>IF('GREEN SHEET'!J10="","",'GREEN SHEET'!J10)</f>
        <v/>
      </c>
      <c r="M10" s="25" t="str">
        <f>IF('GREEN SHEET'!K10="","",'GREEN SHEET'!K10)</f>
        <v/>
      </c>
      <c r="N10" s="166" t="str">
        <f>IF(F10="","",IF('GREEN SHEET'!AB10="",'GREEN SHEET'!Y10,'GREEN SHEET'!AB10))</f>
        <v/>
      </c>
      <c r="O10" s="166" t="str">
        <f>IF(F10="","",IF('GREEN SHEET'!AC10="",'GREEN SHEET'!Z10,'GREEN SHEET'!AC10))</f>
        <v/>
      </c>
      <c r="P10" s="167" t="str">
        <f>IF(F10="","",IF('GREEN SHEET'!AV10="",'GREEN SHEET'!AS10,'GREEN SHEET'!AV10))</f>
        <v/>
      </c>
      <c r="Q10" s="167" t="str">
        <f>IF(F10="","",IF('GREEN SHEET'!AW10="",'GREEN SHEET'!AT10,'GREEN SHEET'!AW10))</f>
        <v/>
      </c>
      <c r="R10" s="166" t="str">
        <f>IF(F10="","",IF('GREEN SHEET'!BO10="",'GREEN SHEET'!BL10,'GREEN SHEET'!BO10))</f>
        <v/>
      </c>
      <c r="S10" s="166" t="str">
        <f>IF(F10="","",IF('GREEN SHEET'!BP10="",'GREEN SHEET'!BM10,'GREEN SHEET'!BP10))</f>
        <v/>
      </c>
      <c r="T10" s="167" t="str">
        <f>IF(F10="","",IF('GREEN SHEET'!CH10="",'GREEN SHEET'!CE10,'GREEN SHEET'!CH10))</f>
        <v/>
      </c>
      <c r="U10" s="167" t="str">
        <f>IF(F10="","",IF('GREEN SHEET'!CI10="",'GREEN SHEET'!CF10,'GREEN SHEET'!CI10))</f>
        <v/>
      </c>
      <c r="V10" s="168" t="str">
        <f>IF(F10="","",IF('GREEN SHEET'!DA10="",'GREEN SHEET'!CX10,'GREEN SHEET'!DA10))</f>
        <v/>
      </c>
      <c r="W10" s="168" t="str">
        <f>IF(F10="","",IF('GREEN SHEET'!DB10="",'GREEN SHEET'!CY10,'GREEN SHEET'!DB10))</f>
        <v/>
      </c>
      <c r="X10" s="167" t="str">
        <f>IF(F10="","",IF('GREEN SHEET'!DT10="",'GREEN SHEET'!DQ10,'GREEN SHEET'!DT10))</f>
        <v/>
      </c>
      <c r="Y10" s="167" t="str">
        <f>IF(F10="","",IF('GREEN SHEET'!DU10="",'GREEN SHEET'!DR10,'GREEN SHEET'!DU10))</f>
        <v/>
      </c>
      <c r="Z10" s="169" t="str">
        <f>IF(F10="","",IF('GREEN SHEET'!FH10="",'GREEN SHEET'!EH10,'GREEN SHEET'!FH10))</f>
        <v/>
      </c>
      <c r="AA10" s="170" t="str">
        <f t="shared" si="1"/>
        <v/>
      </c>
      <c r="AB10" s="171" t="str">
        <f t="shared" si="6"/>
        <v/>
      </c>
      <c r="AC10" s="171" t="str">
        <f>IF(F10="","",IF('GREEN SHEET'!EN10="","",'GREEN SHEET'!EN10))</f>
        <v/>
      </c>
      <c r="AD10" s="174" t="str">
        <f>IF(AA10="","",RANK(AA10,AA$7:$AA$51,0)+COUNTIF($AA$7:AA10,AA10)-1)</f>
        <v/>
      </c>
      <c r="AE10" s="174" t="str">
        <f t="shared" si="2"/>
        <v/>
      </c>
      <c r="AF10" s="174" t="str">
        <f t="shared" si="3"/>
        <v/>
      </c>
      <c r="AG10" s="174" t="str">
        <f t="shared" si="4"/>
        <v/>
      </c>
    </row>
    <row r="11" spans="1:33" ht="16.8" hidden="1" x14ac:dyDescent="0.25">
      <c r="A11" s="154"/>
      <c r="B11" s="25">
        <v>5</v>
      </c>
      <c r="C11" s="173" t="str">
        <f t="shared" si="5"/>
        <v/>
      </c>
      <c r="D11" s="173" t="str">
        <f t="shared" si="0"/>
        <v/>
      </c>
      <c r="E11" s="25" t="str">
        <f>IF('GREEN SHEET'!C11="","",'GREEN SHEET'!C11)</f>
        <v/>
      </c>
      <c r="F11" s="25" t="str">
        <f>IF('GREEN SHEET'!D11="","",'GREEN SHEET'!D11)</f>
        <v/>
      </c>
      <c r="G11" s="25" t="str">
        <f>IF('GREEN SHEET'!E11="","",'GREEN SHEET'!E11)</f>
        <v/>
      </c>
      <c r="H11" s="25" t="str">
        <f>IF('GREEN SHEET'!F11="","",'GREEN SHEET'!F11)</f>
        <v/>
      </c>
      <c r="I11" s="25" t="str">
        <f>IF('GREEN SHEET'!G11="","",'GREEN SHEET'!G11)</f>
        <v/>
      </c>
      <c r="J11" s="25" t="str">
        <f>IF('GREEN SHEET'!H11="","",'GREEN SHEET'!H11)</f>
        <v/>
      </c>
      <c r="K11" s="25" t="str">
        <f>IF('GREEN SHEET'!I11="","",'GREEN SHEET'!I11)</f>
        <v/>
      </c>
      <c r="L11" s="25" t="str">
        <f>IF('GREEN SHEET'!J11="","",'GREEN SHEET'!J11)</f>
        <v/>
      </c>
      <c r="M11" s="25" t="str">
        <f>IF('GREEN SHEET'!K11="","",'GREEN SHEET'!K11)</f>
        <v/>
      </c>
      <c r="N11" s="166" t="str">
        <f>IF(F11="","",IF('GREEN SHEET'!AB11="",'GREEN SHEET'!Y11,'GREEN SHEET'!AB11))</f>
        <v/>
      </c>
      <c r="O11" s="166" t="str">
        <f>IF(F11="","",IF('GREEN SHEET'!AC11="",'GREEN SHEET'!Z11,'GREEN SHEET'!AC11))</f>
        <v/>
      </c>
      <c r="P11" s="167" t="str">
        <f>IF(F11="","",IF('GREEN SHEET'!AV11="",'GREEN SHEET'!AS11,'GREEN SHEET'!AV11))</f>
        <v/>
      </c>
      <c r="Q11" s="167" t="str">
        <f>IF(F11="","",IF('GREEN SHEET'!AW11="",'GREEN SHEET'!AT11,'GREEN SHEET'!AW11))</f>
        <v/>
      </c>
      <c r="R11" s="166" t="str">
        <f>IF(F11="","",IF('GREEN SHEET'!BO11="",'GREEN SHEET'!BL11,'GREEN SHEET'!BO11))</f>
        <v/>
      </c>
      <c r="S11" s="166" t="str">
        <f>IF(F11="","",IF('GREEN SHEET'!BP11="",'GREEN SHEET'!BM11,'GREEN SHEET'!BP11))</f>
        <v/>
      </c>
      <c r="T11" s="167" t="str">
        <f>IF(F11="","",IF('GREEN SHEET'!CH11="",'GREEN SHEET'!CE11,'GREEN SHEET'!CH11))</f>
        <v/>
      </c>
      <c r="U11" s="167" t="str">
        <f>IF(F11="","",IF('GREEN SHEET'!CI11="",'GREEN SHEET'!CF11,'GREEN SHEET'!CI11))</f>
        <v/>
      </c>
      <c r="V11" s="168" t="str">
        <f>IF(F11="","",IF('GREEN SHEET'!DA11="",'GREEN SHEET'!CX11,'GREEN SHEET'!DA11))</f>
        <v/>
      </c>
      <c r="W11" s="168" t="str">
        <f>IF(F11="","",IF('GREEN SHEET'!DB11="",'GREEN SHEET'!CY11,'GREEN SHEET'!DB11))</f>
        <v/>
      </c>
      <c r="X11" s="167" t="str">
        <f>IF(F11="","",IF('GREEN SHEET'!DT11="",'GREEN SHEET'!DQ11,'GREEN SHEET'!DT11))</f>
        <v/>
      </c>
      <c r="Y11" s="167" t="str">
        <f>IF(F11="","",IF('GREEN SHEET'!DU11="",'GREEN SHEET'!DR11,'GREEN SHEET'!DU11))</f>
        <v/>
      </c>
      <c r="Z11" s="169" t="str">
        <f>IF(F11="","",IF('GREEN SHEET'!FH11="",'GREEN SHEET'!EH11,'GREEN SHEET'!FH11))</f>
        <v/>
      </c>
      <c r="AA11" s="170" t="str">
        <f t="shared" si="1"/>
        <v/>
      </c>
      <c r="AB11" s="171" t="str">
        <f t="shared" si="6"/>
        <v/>
      </c>
      <c r="AC11" s="171" t="str">
        <f>IF(F11="","",IF('GREEN SHEET'!EN11="","",'GREEN SHEET'!EN11))</f>
        <v/>
      </c>
      <c r="AD11" s="174" t="str">
        <f>IF(AA11="","",RANK(AA11,AA$7:$AA$51,0)+COUNTIF($AA$7:AA11,AA11)-1)</f>
        <v/>
      </c>
      <c r="AE11" s="174" t="str">
        <f t="shared" si="2"/>
        <v/>
      </c>
      <c r="AF11" s="174" t="str">
        <f t="shared" si="3"/>
        <v/>
      </c>
      <c r="AG11" s="174" t="str">
        <f t="shared" si="4"/>
        <v/>
      </c>
    </row>
    <row r="12" spans="1:33" ht="16.8" hidden="1" x14ac:dyDescent="0.25">
      <c r="A12" s="154"/>
      <c r="B12" s="25">
        <v>6</v>
      </c>
      <c r="C12" s="173" t="str">
        <f t="shared" si="5"/>
        <v/>
      </c>
      <c r="D12" s="173" t="str">
        <f t="shared" si="0"/>
        <v/>
      </c>
      <c r="E12" s="25" t="str">
        <f>IF('GREEN SHEET'!C12="","",'GREEN SHEET'!C12)</f>
        <v/>
      </c>
      <c r="F12" s="25" t="str">
        <f>IF('GREEN SHEET'!D12="","",'GREEN SHEET'!D12)</f>
        <v/>
      </c>
      <c r="G12" s="25" t="str">
        <f>IF('GREEN SHEET'!E12="","",'GREEN SHEET'!E12)</f>
        <v/>
      </c>
      <c r="H12" s="25" t="str">
        <f>IF('GREEN SHEET'!F12="","",'GREEN SHEET'!F12)</f>
        <v/>
      </c>
      <c r="I12" s="25" t="str">
        <f>IF('GREEN SHEET'!G12="","",'GREEN SHEET'!G12)</f>
        <v/>
      </c>
      <c r="J12" s="25" t="str">
        <f>IF('GREEN SHEET'!H12="","",'GREEN SHEET'!H12)</f>
        <v/>
      </c>
      <c r="K12" s="25" t="str">
        <f>IF('GREEN SHEET'!I12="","",'GREEN SHEET'!I12)</f>
        <v/>
      </c>
      <c r="L12" s="25" t="str">
        <f>IF('GREEN SHEET'!J12="","",'GREEN SHEET'!J12)</f>
        <v/>
      </c>
      <c r="M12" s="25" t="str">
        <f>IF('GREEN SHEET'!K12="","",'GREEN SHEET'!K12)</f>
        <v/>
      </c>
      <c r="N12" s="166" t="str">
        <f>IF(F12="","",IF('GREEN SHEET'!AB12="",'GREEN SHEET'!Y12,'GREEN SHEET'!AB12))</f>
        <v/>
      </c>
      <c r="O12" s="166" t="str">
        <f>IF(F12="","",IF('GREEN SHEET'!AC12="",'GREEN SHEET'!Z12,'GREEN SHEET'!AC12))</f>
        <v/>
      </c>
      <c r="P12" s="167" t="str">
        <f>IF(F12="","",IF('GREEN SHEET'!AV12="",'GREEN SHEET'!AS12,'GREEN SHEET'!AV12))</f>
        <v/>
      </c>
      <c r="Q12" s="167" t="str">
        <f>IF(F12="","",IF('GREEN SHEET'!AW12="",'GREEN SHEET'!AT12,'GREEN SHEET'!AW12))</f>
        <v/>
      </c>
      <c r="R12" s="166" t="str">
        <f>IF(F12="","",IF('GREEN SHEET'!BO12="",'GREEN SHEET'!BL12,'GREEN SHEET'!BO12))</f>
        <v/>
      </c>
      <c r="S12" s="166" t="str">
        <f>IF(F12="","",IF('GREEN SHEET'!BP12="",'GREEN SHEET'!BM12,'GREEN SHEET'!BP12))</f>
        <v/>
      </c>
      <c r="T12" s="167" t="str">
        <f>IF(F12="","",IF('GREEN SHEET'!CH12="",'GREEN SHEET'!CE12,'GREEN SHEET'!CH12))</f>
        <v/>
      </c>
      <c r="U12" s="167" t="str">
        <f>IF(F12="","",IF('GREEN SHEET'!CI12="",'GREEN SHEET'!CF12,'GREEN SHEET'!CI12))</f>
        <v/>
      </c>
      <c r="V12" s="168" t="str">
        <f>IF(F12="","",IF('GREEN SHEET'!DA12="",'GREEN SHEET'!CX12,'GREEN SHEET'!DA12))</f>
        <v/>
      </c>
      <c r="W12" s="168" t="str">
        <f>IF(F12="","",IF('GREEN SHEET'!DB12="",'GREEN SHEET'!CY12,'GREEN SHEET'!DB12))</f>
        <v/>
      </c>
      <c r="X12" s="167" t="str">
        <f>IF(F12="","",IF('GREEN SHEET'!DT12="",'GREEN SHEET'!DQ12,'GREEN SHEET'!DT12))</f>
        <v/>
      </c>
      <c r="Y12" s="167" t="str">
        <f>IF(F12="","",IF('GREEN SHEET'!DU12="",'GREEN SHEET'!DR12,'GREEN SHEET'!DU12))</f>
        <v/>
      </c>
      <c r="Z12" s="169" t="str">
        <f>IF(F12="","",IF('GREEN SHEET'!FH12="",'GREEN SHEET'!EH12,'GREEN SHEET'!FH12))</f>
        <v/>
      </c>
      <c r="AA12" s="170" t="str">
        <f t="shared" si="1"/>
        <v/>
      </c>
      <c r="AB12" s="171" t="str">
        <f t="shared" si="6"/>
        <v/>
      </c>
      <c r="AC12" s="171" t="str">
        <f>IF(F12="","",IF('GREEN SHEET'!EN12="","",'GREEN SHEET'!EN12))</f>
        <v/>
      </c>
      <c r="AD12" s="174" t="str">
        <f>IF(AA12="","",RANK(AA12,AA$7:$AA$51,0)+COUNTIF($AA$7:AA12,AA12)-1)</f>
        <v/>
      </c>
      <c r="AE12" s="174" t="str">
        <f t="shared" si="2"/>
        <v/>
      </c>
      <c r="AF12" s="174" t="str">
        <f t="shared" si="3"/>
        <v/>
      </c>
      <c r="AG12" s="174" t="str">
        <f t="shared" si="4"/>
        <v/>
      </c>
    </row>
    <row r="13" spans="1:33" ht="16.8" hidden="1" x14ac:dyDescent="0.25">
      <c r="A13" s="154"/>
      <c r="B13" s="25">
        <v>7</v>
      </c>
      <c r="C13" s="173" t="str">
        <f t="shared" si="5"/>
        <v/>
      </c>
      <c r="D13" s="173" t="str">
        <f t="shared" si="0"/>
        <v/>
      </c>
      <c r="E13" s="25" t="str">
        <f>IF('GREEN SHEET'!C13="","",'GREEN SHEET'!C13)</f>
        <v/>
      </c>
      <c r="F13" s="25" t="str">
        <f>IF('GREEN SHEET'!D13="","",'GREEN SHEET'!D13)</f>
        <v/>
      </c>
      <c r="G13" s="25" t="str">
        <f>IF('GREEN SHEET'!E13="","",'GREEN SHEET'!E13)</f>
        <v/>
      </c>
      <c r="H13" s="25" t="str">
        <f>IF('GREEN SHEET'!F13="","",'GREEN SHEET'!F13)</f>
        <v/>
      </c>
      <c r="I13" s="25" t="str">
        <f>IF('GREEN SHEET'!G13="","",'GREEN SHEET'!G13)</f>
        <v/>
      </c>
      <c r="J13" s="25" t="str">
        <f>IF('GREEN SHEET'!H13="","",'GREEN SHEET'!H13)</f>
        <v/>
      </c>
      <c r="K13" s="25" t="str">
        <f>IF('GREEN SHEET'!I13="","",'GREEN SHEET'!I13)</f>
        <v/>
      </c>
      <c r="L13" s="25" t="str">
        <f>IF('GREEN SHEET'!J13="","",'GREEN SHEET'!J13)</f>
        <v/>
      </c>
      <c r="M13" s="25" t="str">
        <f>IF('GREEN SHEET'!K13="","",'GREEN SHEET'!K13)</f>
        <v/>
      </c>
      <c r="N13" s="166" t="str">
        <f>IF(F13="","",IF('GREEN SHEET'!AB13="",'GREEN SHEET'!Y13,'GREEN SHEET'!AB13))</f>
        <v/>
      </c>
      <c r="O13" s="166" t="str">
        <f>IF(F13="","",IF('GREEN SHEET'!AC13="",'GREEN SHEET'!Z13,'GREEN SHEET'!AC13))</f>
        <v/>
      </c>
      <c r="P13" s="167" t="str">
        <f>IF(F13="","",IF('GREEN SHEET'!AV13="",'GREEN SHEET'!AS13,'GREEN SHEET'!AV13))</f>
        <v/>
      </c>
      <c r="Q13" s="167" t="str">
        <f>IF(F13="","",IF('GREEN SHEET'!AW13="",'GREEN SHEET'!AT13,'GREEN SHEET'!AW13))</f>
        <v/>
      </c>
      <c r="R13" s="166" t="str">
        <f>IF(F13="","",IF('GREEN SHEET'!BO13="",'GREEN SHEET'!BL13,'GREEN SHEET'!BO13))</f>
        <v/>
      </c>
      <c r="S13" s="166" t="str">
        <f>IF(F13="","",IF('GREEN SHEET'!BP13="",'GREEN SHEET'!BM13,'GREEN SHEET'!BP13))</f>
        <v/>
      </c>
      <c r="T13" s="167" t="str">
        <f>IF(F13="","",IF('GREEN SHEET'!CH13="",'GREEN SHEET'!CE13,'GREEN SHEET'!CH13))</f>
        <v/>
      </c>
      <c r="U13" s="167" t="str">
        <f>IF(F13="","",IF('GREEN SHEET'!CI13="",'GREEN SHEET'!CF13,'GREEN SHEET'!CI13))</f>
        <v/>
      </c>
      <c r="V13" s="168" t="str">
        <f>IF(F13="","",IF('GREEN SHEET'!DA13="",'GREEN SHEET'!CX13,'GREEN SHEET'!DA13))</f>
        <v/>
      </c>
      <c r="W13" s="168" t="str">
        <f>IF(F13="","",IF('GREEN SHEET'!DB13="",'GREEN SHEET'!CY13,'GREEN SHEET'!DB13))</f>
        <v/>
      </c>
      <c r="X13" s="167" t="str">
        <f>IF(F13="","",IF('GREEN SHEET'!DT13="",'GREEN SHEET'!DQ13,'GREEN SHEET'!DT13))</f>
        <v/>
      </c>
      <c r="Y13" s="167" t="str">
        <f>IF(F13="","",IF('GREEN SHEET'!DU13="",'GREEN SHEET'!DR13,'GREEN SHEET'!DU13))</f>
        <v/>
      </c>
      <c r="Z13" s="169" t="str">
        <f>IF(F13="","",IF('GREEN SHEET'!FH13="",'GREEN SHEET'!EH13,'GREEN SHEET'!FH13))</f>
        <v/>
      </c>
      <c r="AA13" s="170" t="str">
        <f t="shared" si="1"/>
        <v/>
      </c>
      <c r="AB13" s="171" t="str">
        <f t="shared" si="6"/>
        <v/>
      </c>
      <c r="AC13" s="171" t="str">
        <f>IF(F13="","",IF('GREEN SHEET'!EN13="","",'GREEN SHEET'!EN13))</f>
        <v/>
      </c>
      <c r="AD13" s="174" t="str">
        <f>IF(AA13="","",RANK(AA13,AA$7:$AA$51,0)+COUNTIF($AA$7:AA13,AA13)-1)</f>
        <v/>
      </c>
      <c r="AE13" s="174" t="str">
        <f t="shared" si="2"/>
        <v/>
      </c>
      <c r="AF13" s="174" t="str">
        <f t="shared" si="3"/>
        <v/>
      </c>
      <c r="AG13" s="174" t="str">
        <f t="shared" si="4"/>
        <v/>
      </c>
    </row>
    <row r="14" spans="1:33" ht="16.8" hidden="1" x14ac:dyDescent="0.25">
      <c r="A14" s="154"/>
      <c r="B14" s="25">
        <v>8</v>
      </c>
      <c r="C14" s="173" t="str">
        <f t="shared" si="5"/>
        <v/>
      </c>
      <c r="D14" s="173" t="str">
        <f t="shared" si="0"/>
        <v/>
      </c>
      <c r="E14" s="25" t="str">
        <f>IF('GREEN SHEET'!C14="","",'GREEN SHEET'!C14)</f>
        <v/>
      </c>
      <c r="F14" s="25" t="str">
        <f>IF('GREEN SHEET'!D14="","",'GREEN SHEET'!D14)</f>
        <v/>
      </c>
      <c r="G14" s="25" t="str">
        <f>IF('GREEN SHEET'!E14="","",'GREEN SHEET'!E14)</f>
        <v/>
      </c>
      <c r="H14" s="25" t="str">
        <f>IF('GREEN SHEET'!F14="","",'GREEN SHEET'!F14)</f>
        <v/>
      </c>
      <c r="I14" s="25" t="str">
        <f>IF('GREEN SHEET'!G14="","",'GREEN SHEET'!G14)</f>
        <v/>
      </c>
      <c r="J14" s="25" t="str">
        <f>IF('GREEN SHEET'!H14="","",'GREEN SHEET'!H14)</f>
        <v/>
      </c>
      <c r="K14" s="25" t="str">
        <f>IF('GREEN SHEET'!I14="","",'GREEN SHEET'!I14)</f>
        <v/>
      </c>
      <c r="L14" s="25" t="str">
        <f>IF('GREEN SHEET'!J14="","",'GREEN SHEET'!J14)</f>
        <v/>
      </c>
      <c r="M14" s="25" t="str">
        <f>IF('GREEN SHEET'!K14="","",'GREEN SHEET'!K14)</f>
        <v/>
      </c>
      <c r="N14" s="166" t="str">
        <f>IF(F14="","",IF('GREEN SHEET'!AB14="",'GREEN SHEET'!Y14,'GREEN SHEET'!AB14))</f>
        <v/>
      </c>
      <c r="O14" s="166" t="str">
        <f>IF(F14="","",IF('GREEN SHEET'!AC14="",'GREEN SHEET'!Z14,'GREEN SHEET'!AC14))</f>
        <v/>
      </c>
      <c r="P14" s="167" t="str">
        <f>IF(F14="","",IF('GREEN SHEET'!AV14="",'GREEN SHEET'!AS14,'GREEN SHEET'!AV14))</f>
        <v/>
      </c>
      <c r="Q14" s="167" t="str">
        <f>IF(F14="","",IF('GREEN SHEET'!AW14="",'GREEN SHEET'!AT14,'GREEN SHEET'!AW14))</f>
        <v/>
      </c>
      <c r="R14" s="166" t="str">
        <f>IF(F14="","",IF('GREEN SHEET'!BO14="",'GREEN SHEET'!BL14,'GREEN SHEET'!BO14))</f>
        <v/>
      </c>
      <c r="S14" s="166" t="str">
        <f>IF(F14="","",IF('GREEN SHEET'!BP14="",'GREEN SHEET'!BM14,'GREEN SHEET'!BP14))</f>
        <v/>
      </c>
      <c r="T14" s="167" t="str">
        <f>IF(F14="","",IF('GREEN SHEET'!CH14="",'GREEN SHEET'!CE14,'GREEN SHEET'!CH14))</f>
        <v/>
      </c>
      <c r="U14" s="167" t="str">
        <f>IF(F14="","",IF('GREEN SHEET'!CI14="",'GREEN SHEET'!CF14,'GREEN SHEET'!CI14))</f>
        <v/>
      </c>
      <c r="V14" s="168" t="str">
        <f>IF(F14="","",IF('GREEN SHEET'!DA14="",'GREEN SHEET'!CX14,'GREEN SHEET'!DA14))</f>
        <v/>
      </c>
      <c r="W14" s="168" t="str">
        <f>IF(F14="","",IF('GREEN SHEET'!DB14="",'GREEN SHEET'!CY14,'GREEN SHEET'!DB14))</f>
        <v/>
      </c>
      <c r="X14" s="167" t="str">
        <f>IF(F14="","",IF('GREEN SHEET'!DT14="",'GREEN SHEET'!DQ14,'GREEN SHEET'!DT14))</f>
        <v/>
      </c>
      <c r="Y14" s="167" t="str">
        <f>IF(F14="","",IF('GREEN SHEET'!DU14="",'GREEN SHEET'!DR14,'GREEN SHEET'!DU14))</f>
        <v/>
      </c>
      <c r="Z14" s="169" t="str">
        <f>IF(F14="","",IF('GREEN SHEET'!FH14="",'GREEN SHEET'!EH14,'GREEN SHEET'!FH14))</f>
        <v/>
      </c>
      <c r="AA14" s="170" t="str">
        <f t="shared" si="1"/>
        <v/>
      </c>
      <c r="AB14" s="171" t="str">
        <f t="shared" si="6"/>
        <v/>
      </c>
      <c r="AC14" s="171" t="str">
        <f>IF(F14="","",IF('GREEN SHEET'!EN14="","",'GREEN SHEET'!EN14))</f>
        <v/>
      </c>
      <c r="AD14" s="174" t="str">
        <f>IF(AA14="","",RANK(AA14,AA$7:$AA$51,0)+COUNTIF($AA$7:AA14,AA14)-1)</f>
        <v/>
      </c>
      <c r="AE14" s="174" t="str">
        <f t="shared" si="2"/>
        <v/>
      </c>
      <c r="AF14" s="174" t="str">
        <f t="shared" si="3"/>
        <v/>
      </c>
      <c r="AG14" s="174" t="str">
        <f t="shared" si="4"/>
        <v/>
      </c>
    </row>
    <row r="15" spans="1:33" ht="16.8" hidden="1" x14ac:dyDescent="0.25">
      <c r="A15" s="154"/>
      <c r="B15" s="25">
        <v>9</v>
      </c>
      <c r="C15" s="173" t="str">
        <f t="shared" si="5"/>
        <v/>
      </c>
      <c r="D15" s="173" t="str">
        <f t="shared" si="0"/>
        <v/>
      </c>
      <c r="E15" s="25" t="str">
        <f>IF('GREEN SHEET'!C15="","",'GREEN SHEET'!C15)</f>
        <v/>
      </c>
      <c r="F15" s="25" t="str">
        <f>IF('GREEN SHEET'!D15="","",'GREEN SHEET'!D15)</f>
        <v/>
      </c>
      <c r="G15" s="25" t="str">
        <f>IF('GREEN SHEET'!E15="","",'GREEN SHEET'!E15)</f>
        <v/>
      </c>
      <c r="H15" s="25" t="str">
        <f>IF('GREEN SHEET'!F15="","",'GREEN SHEET'!F15)</f>
        <v/>
      </c>
      <c r="I15" s="25" t="str">
        <f>IF('GREEN SHEET'!G15="","",'GREEN SHEET'!G15)</f>
        <v/>
      </c>
      <c r="J15" s="25" t="str">
        <f>IF('GREEN SHEET'!H15="","",'GREEN SHEET'!H15)</f>
        <v/>
      </c>
      <c r="K15" s="25" t="str">
        <f>IF('GREEN SHEET'!I15="","",'GREEN SHEET'!I15)</f>
        <v/>
      </c>
      <c r="L15" s="25" t="str">
        <f>IF('GREEN SHEET'!J15="","",'GREEN SHEET'!J15)</f>
        <v/>
      </c>
      <c r="M15" s="25" t="str">
        <f>IF('GREEN SHEET'!K15="","",'GREEN SHEET'!K15)</f>
        <v/>
      </c>
      <c r="N15" s="166" t="str">
        <f>IF(F15="","",IF('GREEN SHEET'!AB15="",'GREEN SHEET'!Y15,'GREEN SHEET'!AB15))</f>
        <v/>
      </c>
      <c r="O15" s="166" t="str">
        <f>IF(F15="","",IF('GREEN SHEET'!AC15="",'GREEN SHEET'!Z15,'GREEN SHEET'!AC15))</f>
        <v/>
      </c>
      <c r="P15" s="167" t="str">
        <f>IF(F15="","",IF('GREEN SHEET'!AV15="",'GREEN SHEET'!AS15,'GREEN SHEET'!AV15))</f>
        <v/>
      </c>
      <c r="Q15" s="167" t="str">
        <f>IF(F15="","",IF('GREEN SHEET'!AW15="",'GREEN SHEET'!AT15,'GREEN SHEET'!AW15))</f>
        <v/>
      </c>
      <c r="R15" s="166" t="str">
        <f>IF(F15="","",IF('GREEN SHEET'!BO15="",'GREEN SHEET'!BL15,'GREEN SHEET'!BO15))</f>
        <v/>
      </c>
      <c r="S15" s="166" t="str">
        <f>IF(F15="","",IF('GREEN SHEET'!BP15="",'GREEN SHEET'!BM15,'GREEN SHEET'!BP15))</f>
        <v/>
      </c>
      <c r="T15" s="167" t="str">
        <f>IF(F15="","",IF('GREEN SHEET'!CH15="",'GREEN SHEET'!CE15,'GREEN SHEET'!CH15))</f>
        <v/>
      </c>
      <c r="U15" s="167" t="str">
        <f>IF(F15="","",IF('GREEN SHEET'!CI15="",'GREEN SHEET'!CF15,'GREEN SHEET'!CI15))</f>
        <v/>
      </c>
      <c r="V15" s="168" t="str">
        <f>IF(F15="","",IF('GREEN SHEET'!DA15="",'GREEN SHEET'!CX15,'GREEN SHEET'!DA15))</f>
        <v/>
      </c>
      <c r="W15" s="168" t="str">
        <f>IF(F15="","",IF('GREEN SHEET'!DB15="",'GREEN SHEET'!CY15,'GREEN SHEET'!DB15))</f>
        <v/>
      </c>
      <c r="X15" s="167" t="str">
        <f>IF(F15="","",IF('GREEN SHEET'!DT15="",'GREEN SHEET'!DQ15,'GREEN SHEET'!DT15))</f>
        <v/>
      </c>
      <c r="Y15" s="167" t="str">
        <f>IF(F15="","",IF('GREEN SHEET'!DU15="",'GREEN SHEET'!DR15,'GREEN SHEET'!DU15))</f>
        <v/>
      </c>
      <c r="Z15" s="169" t="str">
        <f>IF(F15="","",IF('GREEN SHEET'!FH15="",'GREEN SHEET'!EH15,'GREEN SHEET'!FH15))</f>
        <v/>
      </c>
      <c r="AA15" s="170" t="str">
        <f t="shared" si="1"/>
        <v/>
      </c>
      <c r="AB15" s="171" t="str">
        <f t="shared" si="6"/>
        <v/>
      </c>
      <c r="AC15" s="171" t="str">
        <f>IF(F15="","",IF('GREEN SHEET'!EN15="","",'GREEN SHEET'!EN15))</f>
        <v/>
      </c>
      <c r="AD15" s="174" t="str">
        <f>IF(AA15="","",RANK(AA15,AA$7:$AA$51,0)+COUNTIF($AA$7:AA15,AA15)-1)</f>
        <v/>
      </c>
      <c r="AE15" s="174" t="str">
        <f t="shared" si="2"/>
        <v/>
      </c>
      <c r="AF15" s="174" t="str">
        <f t="shared" si="3"/>
        <v/>
      </c>
      <c r="AG15" s="174" t="str">
        <f t="shared" si="4"/>
        <v/>
      </c>
    </row>
    <row r="16" spans="1:33" ht="16.8" hidden="1" x14ac:dyDescent="0.25">
      <c r="A16" s="154"/>
      <c r="B16" s="25">
        <v>10</v>
      </c>
      <c r="C16" s="173" t="str">
        <f t="shared" si="5"/>
        <v/>
      </c>
      <c r="D16" s="173" t="str">
        <f t="shared" si="0"/>
        <v/>
      </c>
      <c r="E16" s="25" t="str">
        <f>IF('GREEN SHEET'!C16="","",'GREEN SHEET'!C16)</f>
        <v/>
      </c>
      <c r="F16" s="25" t="str">
        <f>IF('GREEN SHEET'!D16="","",'GREEN SHEET'!D16)</f>
        <v/>
      </c>
      <c r="G16" s="25" t="str">
        <f>IF('GREEN SHEET'!E16="","",'GREEN SHEET'!E16)</f>
        <v/>
      </c>
      <c r="H16" s="25" t="str">
        <f>IF('GREEN SHEET'!F16="","",'GREEN SHEET'!F16)</f>
        <v/>
      </c>
      <c r="I16" s="25" t="str">
        <f>IF('GREEN SHEET'!G16="","",'GREEN SHEET'!G16)</f>
        <v/>
      </c>
      <c r="J16" s="25" t="str">
        <f>IF('GREEN SHEET'!H16="","",'GREEN SHEET'!H16)</f>
        <v/>
      </c>
      <c r="K16" s="25" t="str">
        <f>IF('GREEN SHEET'!I16="","",'GREEN SHEET'!I16)</f>
        <v/>
      </c>
      <c r="L16" s="25" t="str">
        <f>IF('GREEN SHEET'!J16="","",'GREEN SHEET'!J16)</f>
        <v/>
      </c>
      <c r="M16" s="25" t="str">
        <f>IF('GREEN SHEET'!K16="","",'GREEN SHEET'!K16)</f>
        <v/>
      </c>
      <c r="N16" s="166" t="str">
        <f>IF(F16="","",IF('GREEN SHEET'!AB16="",'GREEN SHEET'!Y16,'GREEN SHEET'!AB16))</f>
        <v/>
      </c>
      <c r="O16" s="166" t="str">
        <f>IF(F16="","",IF('GREEN SHEET'!AC16="",'GREEN SHEET'!Z16,'GREEN SHEET'!AC16))</f>
        <v/>
      </c>
      <c r="P16" s="167" t="str">
        <f>IF(F16="","",IF('GREEN SHEET'!AV16="",'GREEN SHEET'!AS16,'GREEN SHEET'!AV16))</f>
        <v/>
      </c>
      <c r="Q16" s="167" t="str">
        <f>IF(F16="","",IF('GREEN SHEET'!AW16="",'GREEN SHEET'!AT16,'GREEN SHEET'!AW16))</f>
        <v/>
      </c>
      <c r="R16" s="166" t="str">
        <f>IF(F16="","",IF('GREEN SHEET'!BO16="",'GREEN SHEET'!BL16,'GREEN SHEET'!BO16))</f>
        <v/>
      </c>
      <c r="S16" s="166" t="str">
        <f>IF(F16="","",IF('GREEN SHEET'!BP16="",'GREEN SHEET'!BM16,'GREEN SHEET'!BP16))</f>
        <v/>
      </c>
      <c r="T16" s="167" t="str">
        <f>IF(F16="","",IF('GREEN SHEET'!CH16="",'GREEN SHEET'!CE16,'GREEN SHEET'!CH16))</f>
        <v/>
      </c>
      <c r="U16" s="167" t="str">
        <f>IF(F16="","",IF('GREEN SHEET'!CI16="",'GREEN SHEET'!CF16,'GREEN SHEET'!CI16))</f>
        <v/>
      </c>
      <c r="V16" s="168" t="str">
        <f>IF(F16="","",IF('GREEN SHEET'!DA16="",'GREEN SHEET'!CX16,'GREEN SHEET'!DA16))</f>
        <v/>
      </c>
      <c r="W16" s="168" t="str">
        <f>IF(F16="","",IF('GREEN SHEET'!DB16="",'GREEN SHEET'!CY16,'GREEN SHEET'!DB16))</f>
        <v/>
      </c>
      <c r="X16" s="167" t="str">
        <f>IF(F16="","",IF('GREEN SHEET'!DT16="",'GREEN SHEET'!DQ16,'GREEN SHEET'!DT16))</f>
        <v/>
      </c>
      <c r="Y16" s="167" t="str">
        <f>IF(F16="","",IF('GREEN SHEET'!DU16="",'GREEN SHEET'!DR16,'GREEN SHEET'!DU16))</f>
        <v/>
      </c>
      <c r="Z16" s="169" t="str">
        <f>IF(F16="","",IF('GREEN SHEET'!FH16="",'GREEN SHEET'!EH16,'GREEN SHEET'!FH16))</f>
        <v/>
      </c>
      <c r="AA16" s="170" t="str">
        <f t="shared" si="1"/>
        <v/>
      </c>
      <c r="AB16" s="171" t="str">
        <f t="shared" si="6"/>
        <v/>
      </c>
      <c r="AC16" s="171" t="str">
        <f>IF(F16="","",IF('GREEN SHEET'!EN16="","",'GREEN SHEET'!EN16))</f>
        <v/>
      </c>
      <c r="AD16" s="174" t="str">
        <f>IF(AA16="","",RANK(AA16,AA$7:$AA$51,0)+COUNTIF($AA$7:AA16,AA16)-1)</f>
        <v/>
      </c>
      <c r="AE16" s="174" t="str">
        <f t="shared" si="2"/>
        <v/>
      </c>
      <c r="AF16" s="174" t="str">
        <f t="shared" si="3"/>
        <v/>
      </c>
      <c r="AG16" s="174" t="str">
        <f t="shared" si="4"/>
        <v/>
      </c>
    </row>
    <row r="17" spans="1:33" ht="16.8" hidden="1" x14ac:dyDescent="0.25">
      <c r="A17" s="154"/>
      <c r="B17" s="25">
        <v>11</v>
      </c>
      <c r="C17" s="173" t="str">
        <f t="shared" si="5"/>
        <v/>
      </c>
      <c r="D17" s="173" t="str">
        <f t="shared" si="0"/>
        <v/>
      </c>
      <c r="E17" s="25" t="str">
        <f>IF('GREEN SHEET'!C17="","",'GREEN SHEET'!C17)</f>
        <v/>
      </c>
      <c r="F17" s="25" t="str">
        <f>IF('GREEN SHEET'!D17="","",'GREEN SHEET'!D17)</f>
        <v/>
      </c>
      <c r="G17" s="25" t="str">
        <f>IF('GREEN SHEET'!E17="","",'GREEN SHEET'!E17)</f>
        <v/>
      </c>
      <c r="H17" s="25" t="str">
        <f>IF('GREEN SHEET'!F17="","",'GREEN SHEET'!F17)</f>
        <v/>
      </c>
      <c r="I17" s="25" t="str">
        <f>IF('GREEN SHEET'!G17="","",'GREEN SHEET'!G17)</f>
        <v/>
      </c>
      <c r="J17" s="25" t="str">
        <f>IF('GREEN SHEET'!H17="","",'GREEN SHEET'!H17)</f>
        <v/>
      </c>
      <c r="K17" s="25" t="str">
        <f>IF('GREEN SHEET'!I17="","",'GREEN SHEET'!I17)</f>
        <v/>
      </c>
      <c r="L17" s="25" t="str">
        <f>IF('GREEN SHEET'!J17="","",'GREEN SHEET'!J17)</f>
        <v/>
      </c>
      <c r="M17" s="25" t="str">
        <f>IF('GREEN SHEET'!K17="","",'GREEN SHEET'!K17)</f>
        <v/>
      </c>
      <c r="N17" s="166" t="str">
        <f>IF(F17="","",IF('GREEN SHEET'!AB17="",'GREEN SHEET'!Y17,'GREEN SHEET'!AB17))</f>
        <v/>
      </c>
      <c r="O17" s="166" t="str">
        <f>IF(F17="","",IF('GREEN SHEET'!AC17="",'GREEN SHEET'!Z17,'GREEN SHEET'!AC17))</f>
        <v/>
      </c>
      <c r="P17" s="167" t="str">
        <f>IF(F17="","",IF('GREEN SHEET'!AV17="",'GREEN SHEET'!AS17,'GREEN SHEET'!AV17))</f>
        <v/>
      </c>
      <c r="Q17" s="167" t="str">
        <f>IF(F17="","",IF('GREEN SHEET'!AW17="",'GREEN SHEET'!AT17,'GREEN SHEET'!AW17))</f>
        <v/>
      </c>
      <c r="R17" s="166" t="str">
        <f>IF(F17="","",IF('GREEN SHEET'!BO17="",'GREEN SHEET'!BL17,'GREEN SHEET'!BO17))</f>
        <v/>
      </c>
      <c r="S17" s="166" t="str">
        <f>IF(F17="","",IF('GREEN SHEET'!BP17="",'GREEN SHEET'!BM17,'GREEN SHEET'!BP17))</f>
        <v/>
      </c>
      <c r="T17" s="167" t="str">
        <f>IF(F17="","",IF('GREEN SHEET'!CH17="",'GREEN SHEET'!CE17,'GREEN SHEET'!CH17))</f>
        <v/>
      </c>
      <c r="U17" s="167" t="str">
        <f>IF(F17="","",IF('GREEN SHEET'!CI17="",'GREEN SHEET'!CF17,'GREEN SHEET'!CI17))</f>
        <v/>
      </c>
      <c r="V17" s="168" t="str">
        <f>IF(F17="","",IF('GREEN SHEET'!DA17="",'GREEN SHEET'!CX17,'GREEN SHEET'!DA17))</f>
        <v/>
      </c>
      <c r="W17" s="168" t="str">
        <f>IF(F17="","",IF('GREEN SHEET'!DB17="",'GREEN SHEET'!CY17,'GREEN SHEET'!DB17))</f>
        <v/>
      </c>
      <c r="X17" s="167" t="str">
        <f>IF(F17="","",IF('GREEN SHEET'!DT17="",'GREEN SHEET'!DQ17,'GREEN SHEET'!DT17))</f>
        <v/>
      </c>
      <c r="Y17" s="167" t="str">
        <f>IF(F17="","",IF('GREEN SHEET'!DU17="",'GREEN SHEET'!DR17,'GREEN SHEET'!DU17))</f>
        <v/>
      </c>
      <c r="Z17" s="169" t="str">
        <f>IF(F17="","",IF('GREEN SHEET'!FH17="",'GREEN SHEET'!EH17,'GREEN SHEET'!FH17))</f>
        <v/>
      </c>
      <c r="AA17" s="170" t="str">
        <f t="shared" si="1"/>
        <v/>
      </c>
      <c r="AB17" s="171" t="str">
        <f t="shared" si="6"/>
        <v/>
      </c>
      <c r="AC17" s="171" t="str">
        <f>IF(F17="","",IF('GREEN SHEET'!EN17="","",'GREEN SHEET'!EN17))</f>
        <v/>
      </c>
      <c r="AD17" s="174" t="str">
        <f>IF(AA17="","",RANK(AA17,AA$7:$AA$51,0)+COUNTIF($AA$7:AA17,AA17)-1)</f>
        <v/>
      </c>
      <c r="AE17" s="174" t="str">
        <f t="shared" si="2"/>
        <v/>
      </c>
      <c r="AF17" s="174" t="str">
        <f t="shared" si="3"/>
        <v/>
      </c>
      <c r="AG17" s="174" t="str">
        <f t="shared" si="4"/>
        <v/>
      </c>
    </row>
    <row r="18" spans="1:33" ht="16.8" hidden="1" x14ac:dyDescent="0.25">
      <c r="A18" s="154"/>
      <c r="B18" s="25">
        <v>12</v>
      </c>
      <c r="C18" s="173" t="str">
        <f t="shared" si="5"/>
        <v/>
      </c>
      <c r="D18" s="173" t="str">
        <f t="shared" si="0"/>
        <v/>
      </c>
      <c r="E18" s="25" t="str">
        <f>IF('GREEN SHEET'!C18="","",'GREEN SHEET'!C18)</f>
        <v/>
      </c>
      <c r="F18" s="25" t="str">
        <f>IF('GREEN SHEET'!D18="","",'GREEN SHEET'!D18)</f>
        <v/>
      </c>
      <c r="G18" s="25" t="str">
        <f>IF('GREEN SHEET'!E18="","",'GREEN SHEET'!E18)</f>
        <v/>
      </c>
      <c r="H18" s="25" t="str">
        <f>IF('GREEN SHEET'!F18="","",'GREEN SHEET'!F18)</f>
        <v/>
      </c>
      <c r="I18" s="25" t="str">
        <f>IF('GREEN SHEET'!G18="","",'GREEN SHEET'!G18)</f>
        <v/>
      </c>
      <c r="J18" s="25" t="str">
        <f>IF('GREEN SHEET'!H18="","",'GREEN SHEET'!H18)</f>
        <v/>
      </c>
      <c r="K18" s="25" t="str">
        <f>IF('GREEN SHEET'!I18="","",'GREEN SHEET'!I18)</f>
        <v/>
      </c>
      <c r="L18" s="25" t="str">
        <f>IF('GREEN SHEET'!J18="","",'GREEN SHEET'!J18)</f>
        <v/>
      </c>
      <c r="M18" s="25" t="str">
        <f>IF('GREEN SHEET'!K18="","",'GREEN SHEET'!K18)</f>
        <v/>
      </c>
      <c r="N18" s="166" t="str">
        <f>IF(F18="","",IF('GREEN SHEET'!AB18="",'GREEN SHEET'!Y18,'GREEN SHEET'!AB18))</f>
        <v/>
      </c>
      <c r="O18" s="166" t="str">
        <f>IF(F18="","",IF('GREEN SHEET'!AC18="",'GREEN SHEET'!Z18,'GREEN SHEET'!AC18))</f>
        <v/>
      </c>
      <c r="P18" s="167" t="str">
        <f>IF(F18="","",IF('GREEN SHEET'!AV18="",'GREEN SHEET'!AS18,'GREEN SHEET'!AV18))</f>
        <v/>
      </c>
      <c r="Q18" s="167" t="str">
        <f>IF(F18="","",IF('GREEN SHEET'!AW18="",'GREEN SHEET'!AT18,'GREEN SHEET'!AW18))</f>
        <v/>
      </c>
      <c r="R18" s="166" t="str">
        <f>IF(F18="","",IF('GREEN SHEET'!BO18="",'GREEN SHEET'!BL18,'GREEN SHEET'!BO18))</f>
        <v/>
      </c>
      <c r="S18" s="166" t="str">
        <f>IF(F18="","",IF('GREEN SHEET'!BP18="",'GREEN SHEET'!BM18,'GREEN SHEET'!BP18))</f>
        <v/>
      </c>
      <c r="T18" s="167" t="str">
        <f>IF(F18="","",IF('GREEN SHEET'!CH18="",'GREEN SHEET'!CE18,'GREEN SHEET'!CH18))</f>
        <v/>
      </c>
      <c r="U18" s="167" t="str">
        <f>IF(F18="","",IF('GREEN SHEET'!CI18="",'GREEN SHEET'!CF18,'GREEN SHEET'!CI18))</f>
        <v/>
      </c>
      <c r="V18" s="168" t="str">
        <f>IF(F18="","",IF('GREEN SHEET'!DA18="",'GREEN SHEET'!CX18,'GREEN SHEET'!DA18))</f>
        <v/>
      </c>
      <c r="W18" s="168" t="str">
        <f>IF(F18="","",IF('GREEN SHEET'!DB18="",'GREEN SHEET'!CY18,'GREEN SHEET'!DB18))</f>
        <v/>
      </c>
      <c r="X18" s="167" t="str">
        <f>IF(F18="","",IF('GREEN SHEET'!DT18="",'GREEN SHEET'!DQ18,'GREEN SHEET'!DT18))</f>
        <v/>
      </c>
      <c r="Y18" s="167" t="str">
        <f>IF(F18="","",IF('GREEN SHEET'!DU18="",'GREEN SHEET'!DR18,'GREEN SHEET'!DU18))</f>
        <v/>
      </c>
      <c r="Z18" s="169" t="str">
        <f>IF(F18="","",IF('GREEN SHEET'!FH18="",'GREEN SHEET'!EH18,'GREEN SHEET'!FH18))</f>
        <v/>
      </c>
      <c r="AA18" s="170" t="str">
        <f t="shared" si="1"/>
        <v/>
      </c>
      <c r="AB18" s="171" t="str">
        <f t="shared" si="6"/>
        <v/>
      </c>
      <c r="AC18" s="171" t="str">
        <f>IF(F18="","",IF('GREEN SHEET'!EN18="","",'GREEN SHEET'!EN18))</f>
        <v/>
      </c>
      <c r="AD18" s="174" t="str">
        <f>IF(AA18="","",RANK(AA18,AA$7:$AA$51,0)+COUNTIF($AA$7:AA18,AA18)-1)</f>
        <v/>
      </c>
      <c r="AE18" s="174" t="str">
        <f t="shared" si="2"/>
        <v/>
      </c>
      <c r="AF18" s="174" t="str">
        <f t="shared" si="3"/>
        <v/>
      </c>
      <c r="AG18" s="174" t="str">
        <f t="shared" si="4"/>
        <v/>
      </c>
    </row>
    <row r="19" spans="1:33" ht="16.8" hidden="1" x14ac:dyDescent="0.25">
      <c r="A19" s="154"/>
      <c r="B19" s="25">
        <v>13</v>
      </c>
      <c r="C19" s="173" t="str">
        <f t="shared" si="5"/>
        <v/>
      </c>
      <c r="D19" s="173" t="str">
        <f t="shared" si="0"/>
        <v/>
      </c>
      <c r="E19" s="25" t="str">
        <f>IF('GREEN SHEET'!C19="","",'GREEN SHEET'!C19)</f>
        <v/>
      </c>
      <c r="F19" s="25" t="str">
        <f>IF('GREEN SHEET'!D19="","",'GREEN SHEET'!D19)</f>
        <v/>
      </c>
      <c r="G19" s="25" t="str">
        <f>IF('GREEN SHEET'!E19="","",'GREEN SHEET'!E19)</f>
        <v/>
      </c>
      <c r="H19" s="25" t="str">
        <f>IF('GREEN SHEET'!F19="","",'GREEN SHEET'!F19)</f>
        <v/>
      </c>
      <c r="I19" s="25" t="str">
        <f>IF('GREEN SHEET'!G19="","",'GREEN SHEET'!G19)</f>
        <v/>
      </c>
      <c r="J19" s="25" t="str">
        <f>IF('GREEN SHEET'!H19="","",'GREEN SHEET'!H19)</f>
        <v/>
      </c>
      <c r="K19" s="25" t="str">
        <f>IF('GREEN SHEET'!I19="","",'GREEN SHEET'!I19)</f>
        <v/>
      </c>
      <c r="L19" s="25" t="str">
        <f>IF('GREEN SHEET'!J19="","",'GREEN SHEET'!J19)</f>
        <v/>
      </c>
      <c r="M19" s="25" t="str">
        <f>IF('GREEN SHEET'!K19="","",'GREEN SHEET'!K19)</f>
        <v/>
      </c>
      <c r="N19" s="166" t="str">
        <f>IF(F19="","",IF('GREEN SHEET'!AB19="",'GREEN SHEET'!Y19,'GREEN SHEET'!AB19))</f>
        <v/>
      </c>
      <c r="O19" s="166" t="str">
        <f>IF(F19="","",IF('GREEN SHEET'!AC19="",'GREEN SHEET'!Z19,'GREEN SHEET'!AC19))</f>
        <v/>
      </c>
      <c r="P19" s="167" t="str">
        <f>IF(F19="","",IF('GREEN SHEET'!AV19="",'GREEN SHEET'!AS19,'GREEN SHEET'!AV19))</f>
        <v/>
      </c>
      <c r="Q19" s="167" t="str">
        <f>IF(F19="","",IF('GREEN SHEET'!AW19="",'GREEN SHEET'!AT19,'GREEN SHEET'!AW19))</f>
        <v/>
      </c>
      <c r="R19" s="166" t="str">
        <f>IF(F19="","",IF('GREEN SHEET'!BO19="",'GREEN SHEET'!BL19,'GREEN SHEET'!BO19))</f>
        <v/>
      </c>
      <c r="S19" s="166" t="str">
        <f>IF(F19="","",IF('GREEN SHEET'!BP19="",'GREEN SHEET'!BM19,'GREEN SHEET'!BP19))</f>
        <v/>
      </c>
      <c r="T19" s="167" t="str">
        <f>IF(F19="","",IF('GREEN SHEET'!CH19="",'GREEN SHEET'!CE19,'GREEN SHEET'!CH19))</f>
        <v/>
      </c>
      <c r="U19" s="167" t="str">
        <f>IF(F19="","",IF('GREEN SHEET'!CI19="",'GREEN SHEET'!CF19,'GREEN SHEET'!CI19))</f>
        <v/>
      </c>
      <c r="V19" s="168" t="str">
        <f>IF(F19="","",IF('GREEN SHEET'!DA19="",'GREEN SHEET'!CX19,'GREEN SHEET'!DA19))</f>
        <v/>
      </c>
      <c r="W19" s="168" t="str">
        <f>IF(F19="","",IF('GREEN SHEET'!DB19="",'GREEN SHEET'!CY19,'GREEN SHEET'!DB19))</f>
        <v/>
      </c>
      <c r="X19" s="167" t="str">
        <f>IF(F19="","",IF('GREEN SHEET'!DT19="",'GREEN SHEET'!DQ19,'GREEN SHEET'!DT19))</f>
        <v/>
      </c>
      <c r="Y19" s="167" t="str">
        <f>IF(F19="","",IF('GREEN SHEET'!DU19="",'GREEN SHEET'!DR19,'GREEN SHEET'!DU19))</f>
        <v/>
      </c>
      <c r="Z19" s="169" t="str">
        <f>IF(F19="","",IF('GREEN SHEET'!FH19="",'GREEN SHEET'!EH19,'GREEN SHEET'!FH19))</f>
        <v/>
      </c>
      <c r="AA19" s="170" t="str">
        <f t="shared" si="1"/>
        <v/>
      </c>
      <c r="AB19" s="171" t="str">
        <f t="shared" si="6"/>
        <v/>
      </c>
      <c r="AC19" s="171" t="str">
        <f>IF(F19="","",IF('GREEN SHEET'!EN19="","",'GREEN SHEET'!EN19))</f>
        <v/>
      </c>
      <c r="AD19" s="174" t="str">
        <f>IF(AA19="","",RANK(AA19,AA$7:$AA$51,0)+COUNTIF($AA$7:AA19,AA19)-1)</f>
        <v/>
      </c>
      <c r="AE19" s="174" t="str">
        <f t="shared" si="2"/>
        <v/>
      </c>
      <c r="AF19" s="174" t="str">
        <f t="shared" si="3"/>
        <v/>
      </c>
      <c r="AG19" s="174" t="str">
        <f t="shared" si="4"/>
        <v/>
      </c>
    </row>
    <row r="20" spans="1:33" ht="16.8" hidden="1" x14ac:dyDescent="0.25">
      <c r="A20" s="154"/>
      <c r="B20" s="25">
        <v>14</v>
      </c>
      <c r="C20" s="173" t="str">
        <f t="shared" si="5"/>
        <v/>
      </c>
      <c r="D20" s="173" t="str">
        <f t="shared" si="0"/>
        <v/>
      </c>
      <c r="E20" s="25" t="str">
        <f>IF('GREEN SHEET'!C20="","",'GREEN SHEET'!C20)</f>
        <v/>
      </c>
      <c r="F20" s="25" t="str">
        <f>IF('GREEN SHEET'!D20="","",'GREEN SHEET'!D20)</f>
        <v/>
      </c>
      <c r="G20" s="25" t="str">
        <f>IF('GREEN SHEET'!E20="","",'GREEN SHEET'!E20)</f>
        <v/>
      </c>
      <c r="H20" s="25" t="str">
        <f>IF('GREEN SHEET'!F20="","",'GREEN SHEET'!F20)</f>
        <v/>
      </c>
      <c r="I20" s="25" t="str">
        <f>IF('GREEN SHEET'!G20="","",'GREEN SHEET'!G20)</f>
        <v/>
      </c>
      <c r="J20" s="25" t="str">
        <f>IF('GREEN SHEET'!H20="","",'GREEN SHEET'!H20)</f>
        <v/>
      </c>
      <c r="K20" s="25" t="str">
        <f>IF('GREEN SHEET'!I20="","",'GREEN SHEET'!I20)</f>
        <v/>
      </c>
      <c r="L20" s="25" t="str">
        <f>IF('GREEN SHEET'!J20="","",'GREEN SHEET'!J20)</f>
        <v/>
      </c>
      <c r="M20" s="25" t="str">
        <f>IF('GREEN SHEET'!K20="","",'GREEN SHEET'!K20)</f>
        <v/>
      </c>
      <c r="N20" s="166" t="str">
        <f>IF(F20="","",IF('GREEN SHEET'!AB20="",'GREEN SHEET'!Y20,'GREEN SHEET'!AB20))</f>
        <v/>
      </c>
      <c r="O20" s="166" t="str">
        <f>IF(F20="","",IF('GREEN SHEET'!AC20="",'GREEN SHEET'!Z20,'GREEN SHEET'!AC20))</f>
        <v/>
      </c>
      <c r="P20" s="167" t="str">
        <f>IF(F20="","",IF('GREEN SHEET'!AV20="",'GREEN SHEET'!AS20,'GREEN SHEET'!AV20))</f>
        <v/>
      </c>
      <c r="Q20" s="167" t="str">
        <f>IF(F20="","",IF('GREEN SHEET'!AW20="",'GREEN SHEET'!AT20,'GREEN SHEET'!AW20))</f>
        <v/>
      </c>
      <c r="R20" s="166" t="str">
        <f>IF(F20="","",IF('GREEN SHEET'!BO20="",'GREEN SHEET'!BL20,'GREEN SHEET'!BO20))</f>
        <v/>
      </c>
      <c r="S20" s="166" t="str">
        <f>IF(F20="","",IF('GREEN SHEET'!BP20="",'GREEN SHEET'!BM20,'GREEN SHEET'!BP20))</f>
        <v/>
      </c>
      <c r="T20" s="167" t="str">
        <f>IF(F20="","",IF('GREEN SHEET'!CH20="",'GREEN SHEET'!CE20,'GREEN SHEET'!CH20))</f>
        <v/>
      </c>
      <c r="U20" s="167" t="str">
        <f>IF(F20="","",IF('GREEN SHEET'!CI20="",'GREEN SHEET'!CF20,'GREEN SHEET'!CI20))</f>
        <v/>
      </c>
      <c r="V20" s="168" t="str">
        <f>IF(F20="","",IF('GREEN SHEET'!DA20="",'GREEN SHEET'!CX20,'GREEN SHEET'!DA20))</f>
        <v/>
      </c>
      <c r="W20" s="168" t="str">
        <f>IF(F20="","",IF('GREEN SHEET'!DB20="",'GREEN SHEET'!CY20,'GREEN SHEET'!DB20))</f>
        <v/>
      </c>
      <c r="X20" s="167" t="str">
        <f>IF(F20="","",IF('GREEN SHEET'!DT20="",'GREEN SHEET'!DQ20,'GREEN SHEET'!DT20))</f>
        <v/>
      </c>
      <c r="Y20" s="167" t="str">
        <f>IF(F20="","",IF('GREEN SHEET'!DU20="",'GREEN SHEET'!DR20,'GREEN SHEET'!DU20))</f>
        <v/>
      </c>
      <c r="Z20" s="169" t="str">
        <f>IF(F20="","",IF('GREEN SHEET'!FH20="",'GREEN SHEET'!EH20,'GREEN SHEET'!FH20))</f>
        <v/>
      </c>
      <c r="AA20" s="170" t="str">
        <f t="shared" si="1"/>
        <v/>
      </c>
      <c r="AB20" s="171" t="str">
        <f t="shared" si="6"/>
        <v/>
      </c>
      <c r="AC20" s="171" t="str">
        <f>IF(F20="","",IF('GREEN SHEET'!EN20="","",'GREEN SHEET'!EN20))</f>
        <v/>
      </c>
      <c r="AD20" s="174" t="str">
        <f>IF(AA20="","",RANK(AA20,AA$7:$AA$51,0)+COUNTIF($AA$7:AA20,AA20)-1)</f>
        <v/>
      </c>
      <c r="AE20" s="174" t="str">
        <f t="shared" si="2"/>
        <v/>
      </c>
      <c r="AF20" s="174" t="str">
        <f t="shared" si="3"/>
        <v/>
      </c>
      <c r="AG20" s="174" t="str">
        <f t="shared" si="4"/>
        <v/>
      </c>
    </row>
    <row r="21" spans="1:33" ht="16.8" hidden="1" x14ac:dyDescent="0.25">
      <c r="A21" s="154"/>
      <c r="B21" s="25">
        <v>15</v>
      </c>
      <c r="C21" s="173" t="str">
        <f t="shared" si="5"/>
        <v/>
      </c>
      <c r="D21" s="173" t="str">
        <f t="shared" si="0"/>
        <v/>
      </c>
      <c r="E21" s="25" t="str">
        <f>IF('GREEN SHEET'!C21="","",'GREEN SHEET'!C21)</f>
        <v/>
      </c>
      <c r="F21" s="25" t="str">
        <f>IF('GREEN SHEET'!D21="","",'GREEN SHEET'!D21)</f>
        <v/>
      </c>
      <c r="G21" s="25" t="str">
        <f>IF('GREEN SHEET'!E21="","",'GREEN SHEET'!E21)</f>
        <v/>
      </c>
      <c r="H21" s="25" t="str">
        <f>IF('GREEN SHEET'!F21="","",'GREEN SHEET'!F21)</f>
        <v/>
      </c>
      <c r="I21" s="25" t="str">
        <f>IF('GREEN SHEET'!G21="","",'GREEN SHEET'!G21)</f>
        <v/>
      </c>
      <c r="J21" s="25" t="str">
        <f>IF('GREEN SHEET'!H21="","",'GREEN SHEET'!H21)</f>
        <v/>
      </c>
      <c r="K21" s="25" t="str">
        <f>IF('GREEN SHEET'!I21="","",'GREEN SHEET'!I21)</f>
        <v/>
      </c>
      <c r="L21" s="25" t="str">
        <f>IF('GREEN SHEET'!J21="","",'GREEN SHEET'!J21)</f>
        <v/>
      </c>
      <c r="M21" s="25" t="str">
        <f>IF('GREEN SHEET'!K21="","",'GREEN SHEET'!K21)</f>
        <v/>
      </c>
      <c r="N21" s="166" t="str">
        <f>IF(F21="","",IF('GREEN SHEET'!AB21="",'GREEN SHEET'!Y21,'GREEN SHEET'!AB21))</f>
        <v/>
      </c>
      <c r="O21" s="166" t="str">
        <f>IF(F21="","",IF('GREEN SHEET'!AC21="",'GREEN SHEET'!Z21,'GREEN SHEET'!AC21))</f>
        <v/>
      </c>
      <c r="P21" s="167" t="str">
        <f>IF(F21="","",IF('GREEN SHEET'!AV21="",'GREEN SHEET'!AS21,'GREEN SHEET'!AV21))</f>
        <v/>
      </c>
      <c r="Q21" s="167" t="str">
        <f>IF(F21="","",IF('GREEN SHEET'!AW21="",'GREEN SHEET'!AT21,'GREEN SHEET'!AW21))</f>
        <v/>
      </c>
      <c r="R21" s="166" t="str">
        <f>IF(F21="","",IF('GREEN SHEET'!BO21="",'GREEN SHEET'!BL21,'GREEN SHEET'!BO21))</f>
        <v/>
      </c>
      <c r="S21" s="166" t="str">
        <f>IF(F21="","",IF('GREEN SHEET'!BP21="",'GREEN SHEET'!BM21,'GREEN SHEET'!BP21))</f>
        <v/>
      </c>
      <c r="T21" s="167" t="str">
        <f>IF(F21="","",IF('GREEN SHEET'!CH21="",'GREEN SHEET'!CE21,'GREEN SHEET'!CH21))</f>
        <v/>
      </c>
      <c r="U21" s="167" t="str">
        <f>IF(F21="","",IF('GREEN SHEET'!CI21="",'GREEN SHEET'!CF21,'GREEN SHEET'!CI21))</f>
        <v/>
      </c>
      <c r="V21" s="168" t="str">
        <f>IF(F21="","",IF('GREEN SHEET'!DA21="",'GREEN SHEET'!CX21,'GREEN SHEET'!DA21))</f>
        <v/>
      </c>
      <c r="W21" s="168" t="str">
        <f>IF(F21="","",IF('GREEN SHEET'!DB21="",'GREEN SHEET'!CY21,'GREEN SHEET'!DB21))</f>
        <v/>
      </c>
      <c r="X21" s="167" t="str">
        <f>IF(F21="","",IF('GREEN SHEET'!DT21="",'GREEN SHEET'!DQ21,'GREEN SHEET'!DT21))</f>
        <v/>
      </c>
      <c r="Y21" s="167" t="str">
        <f>IF(F21="","",IF('GREEN SHEET'!DU21="",'GREEN SHEET'!DR21,'GREEN SHEET'!DU21))</f>
        <v/>
      </c>
      <c r="Z21" s="169" t="str">
        <f>IF(F21="","",IF('GREEN SHEET'!FH21="",'GREEN SHEET'!EH21,'GREEN SHEET'!FH21))</f>
        <v/>
      </c>
      <c r="AA21" s="170" t="str">
        <f t="shared" si="1"/>
        <v/>
      </c>
      <c r="AB21" s="171" t="str">
        <f t="shared" si="6"/>
        <v/>
      </c>
      <c r="AC21" s="171" t="str">
        <f>IF(F21="","",IF('GREEN SHEET'!EN21="","",'GREEN SHEET'!EN21))</f>
        <v/>
      </c>
      <c r="AD21" s="174" t="str">
        <f>IF(AA21="","",RANK(AA21,AA$7:$AA$51,0)+COUNTIF($AA$7:AA21,AA21)-1)</f>
        <v/>
      </c>
      <c r="AE21" s="174" t="str">
        <f t="shared" si="2"/>
        <v/>
      </c>
      <c r="AF21" s="174" t="str">
        <f t="shared" si="3"/>
        <v/>
      </c>
      <c r="AG21" s="174" t="str">
        <f t="shared" si="4"/>
        <v/>
      </c>
    </row>
    <row r="22" spans="1:33" ht="16.8" hidden="1" x14ac:dyDescent="0.25">
      <c r="A22" s="154"/>
      <c r="B22" s="25">
        <v>16</v>
      </c>
      <c r="C22" s="173" t="str">
        <f t="shared" si="5"/>
        <v/>
      </c>
      <c r="D22" s="173" t="str">
        <f t="shared" si="0"/>
        <v/>
      </c>
      <c r="E22" s="25" t="str">
        <f>IF('GREEN SHEET'!C22="","",'GREEN SHEET'!C22)</f>
        <v/>
      </c>
      <c r="F22" s="25" t="str">
        <f>IF('GREEN SHEET'!D22="","",'GREEN SHEET'!D22)</f>
        <v/>
      </c>
      <c r="G22" s="25" t="str">
        <f>IF('GREEN SHEET'!E22="","",'GREEN SHEET'!E22)</f>
        <v/>
      </c>
      <c r="H22" s="25" t="str">
        <f>IF('GREEN SHEET'!F22="","",'GREEN SHEET'!F22)</f>
        <v/>
      </c>
      <c r="I22" s="25" t="str">
        <f>IF('GREEN SHEET'!G22="","",'GREEN SHEET'!G22)</f>
        <v/>
      </c>
      <c r="J22" s="25" t="str">
        <f>IF('GREEN SHEET'!H22="","",'GREEN SHEET'!H22)</f>
        <v/>
      </c>
      <c r="K22" s="25" t="str">
        <f>IF('GREEN SHEET'!I22="","",'GREEN SHEET'!I22)</f>
        <v/>
      </c>
      <c r="L22" s="25" t="str">
        <f>IF('GREEN SHEET'!J22="","",'GREEN SHEET'!J22)</f>
        <v/>
      </c>
      <c r="M22" s="25" t="str">
        <f>IF('GREEN SHEET'!K22="","",'GREEN SHEET'!K22)</f>
        <v/>
      </c>
      <c r="N22" s="166" t="str">
        <f>IF(F22="","",IF('GREEN SHEET'!AB22="",'GREEN SHEET'!Y22,'GREEN SHEET'!AB22))</f>
        <v/>
      </c>
      <c r="O22" s="166" t="str">
        <f>IF(F22="","",IF('GREEN SHEET'!AC22="",'GREEN SHEET'!Z22,'GREEN SHEET'!AC22))</f>
        <v/>
      </c>
      <c r="P22" s="167" t="str">
        <f>IF(F22="","",IF('GREEN SHEET'!AV22="",'GREEN SHEET'!AS22,'GREEN SHEET'!AV22))</f>
        <v/>
      </c>
      <c r="Q22" s="167" t="str">
        <f>IF(F22="","",IF('GREEN SHEET'!AW22="",'GREEN SHEET'!AT22,'GREEN SHEET'!AW22))</f>
        <v/>
      </c>
      <c r="R22" s="166" t="str">
        <f>IF(F22="","",IF('GREEN SHEET'!BO22="",'GREEN SHEET'!BL22,'GREEN SHEET'!BO22))</f>
        <v/>
      </c>
      <c r="S22" s="166" t="str">
        <f>IF(F22="","",IF('GREEN SHEET'!BP22="",'GREEN SHEET'!BM22,'GREEN SHEET'!BP22))</f>
        <v/>
      </c>
      <c r="T22" s="167" t="str">
        <f>IF(F22="","",IF('GREEN SHEET'!CH22="",'GREEN SHEET'!CE22,'GREEN SHEET'!CH22))</f>
        <v/>
      </c>
      <c r="U22" s="167" t="str">
        <f>IF(F22="","",IF('GREEN SHEET'!CI22="",'GREEN SHEET'!CF22,'GREEN SHEET'!CI22))</f>
        <v/>
      </c>
      <c r="V22" s="168" t="str">
        <f>IF(F22="","",IF('GREEN SHEET'!DA22="",'GREEN SHEET'!CX22,'GREEN SHEET'!DA22))</f>
        <v/>
      </c>
      <c r="W22" s="168" t="str">
        <f>IF(F22="","",IF('GREEN SHEET'!DB22="",'GREEN SHEET'!CY22,'GREEN SHEET'!DB22))</f>
        <v/>
      </c>
      <c r="X22" s="167" t="str">
        <f>IF(F22="","",IF('GREEN SHEET'!DT22="",'GREEN SHEET'!DQ22,'GREEN SHEET'!DT22))</f>
        <v/>
      </c>
      <c r="Y22" s="167" t="str">
        <f>IF(F22="","",IF('GREEN SHEET'!DU22="",'GREEN SHEET'!DR22,'GREEN SHEET'!DU22))</f>
        <v/>
      </c>
      <c r="Z22" s="169" t="str">
        <f>IF(F22="","",IF('GREEN SHEET'!FH22="",'GREEN SHEET'!EH22,'GREEN SHEET'!FH22))</f>
        <v/>
      </c>
      <c r="AA22" s="170" t="str">
        <f t="shared" si="1"/>
        <v/>
      </c>
      <c r="AB22" s="171" t="str">
        <f t="shared" si="6"/>
        <v/>
      </c>
      <c r="AC22" s="171" t="str">
        <f>IF(F22="","",IF('GREEN SHEET'!EN22="","",'GREEN SHEET'!EN22))</f>
        <v/>
      </c>
      <c r="AD22" s="174" t="str">
        <f>IF(AA22="","",RANK(AA22,AA$7:$AA$51,0)+COUNTIF($AA$7:AA22,AA22)-1)</f>
        <v/>
      </c>
      <c r="AE22" s="174" t="str">
        <f t="shared" si="2"/>
        <v/>
      </c>
      <c r="AF22" s="174" t="str">
        <f t="shared" si="3"/>
        <v/>
      </c>
      <c r="AG22" s="174" t="str">
        <f t="shared" si="4"/>
        <v/>
      </c>
    </row>
    <row r="23" spans="1:33" ht="16.8" hidden="1" x14ac:dyDescent="0.25">
      <c r="A23" s="154"/>
      <c r="B23" s="25">
        <v>17</v>
      </c>
      <c r="C23" s="173" t="str">
        <f t="shared" si="5"/>
        <v/>
      </c>
      <c r="D23" s="173" t="str">
        <f t="shared" si="0"/>
        <v/>
      </c>
      <c r="E23" s="25" t="str">
        <f>IF('GREEN SHEET'!C23="","",'GREEN SHEET'!C23)</f>
        <v/>
      </c>
      <c r="F23" s="25" t="str">
        <f>IF('GREEN SHEET'!D23="","",'GREEN SHEET'!D23)</f>
        <v/>
      </c>
      <c r="G23" s="25" t="str">
        <f>IF('GREEN SHEET'!E23="","",'GREEN SHEET'!E23)</f>
        <v/>
      </c>
      <c r="H23" s="25" t="str">
        <f>IF('GREEN SHEET'!F23="","",'GREEN SHEET'!F23)</f>
        <v/>
      </c>
      <c r="I23" s="25" t="str">
        <f>IF('GREEN SHEET'!G23="","",'GREEN SHEET'!G23)</f>
        <v/>
      </c>
      <c r="J23" s="25" t="str">
        <f>IF('GREEN SHEET'!H23="","",'GREEN SHEET'!H23)</f>
        <v/>
      </c>
      <c r="K23" s="25" t="str">
        <f>IF('GREEN SHEET'!I23="","",'GREEN SHEET'!I23)</f>
        <v/>
      </c>
      <c r="L23" s="25" t="str">
        <f>IF('GREEN SHEET'!J23="","",'GREEN SHEET'!J23)</f>
        <v/>
      </c>
      <c r="M23" s="25" t="str">
        <f>IF('GREEN SHEET'!K23="","",'GREEN SHEET'!K23)</f>
        <v/>
      </c>
      <c r="N23" s="166" t="str">
        <f>IF(F23="","",IF('GREEN SHEET'!AB23="",'GREEN SHEET'!Y23,'GREEN SHEET'!AB23))</f>
        <v/>
      </c>
      <c r="O23" s="166" t="str">
        <f>IF(F23="","",IF('GREEN SHEET'!AC23="",'GREEN SHEET'!Z23,'GREEN SHEET'!AC23))</f>
        <v/>
      </c>
      <c r="P23" s="167" t="str">
        <f>IF(F23="","",IF('GREEN SHEET'!AV23="",'GREEN SHEET'!AS23,'GREEN SHEET'!AV23))</f>
        <v/>
      </c>
      <c r="Q23" s="167" t="str">
        <f>IF(F23="","",IF('GREEN SHEET'!AW23="",'GREEN SHEET'!AT23,'GREEN SHEET'!AW23))</f>
        <v/>
      </c>
      <c r="R23" s="166" t="str">
        <f>IF(F23="","",IF('GREEN SHEET'!BO23="",'GREEN SHEET'!BL23,'GREEN SHEET'!BO23))</f>
        <v/>
      </c>
      <c r="S23" s="166" t="str">
        <f>IF(F23="","",IF('GREEN SHEET'!BP23="",'GREEN SHEET'!BM23,'GREEN SHEET'!BP23))</f>
        <v/>
      </c>
      <c r="T23" s="167" t="str">
        <f>IF(F23="","",IF('GREEN SHEET'!CH23="",'GREEN SHEET'!CE23,'GREEN SHEET'!CH23))</f>
        <v/>
      </c>
      <c r="U23" s="167" t="str">
        <f>IF(F23="","",IF('GREEN SHEET'!CI23="",'GREEN SHEET'!CF23,'GREEN SHEET'!CI23))</f>
        <v/>
      </c>
      <c r="V23" s="168" t="str">
        <f>IF(F23="","",IF('GREEN SHEET'!DA23="",'GREEN SHEET'!CX23,'GREEN SHEET'!DA23))</f>
        <v/>
      </c>
      <c r="W23" s="168" t="str">
        <f>IF(F23="","",IF('GREEN SHEET'!DB23="",'GREEN SHEET'!CY23,'GREEN SHEET'!DB23))</f>
        <v/>
      </c>
      <c r="X23" s="167" t="str">
        <f>IF(F23="","",IF('GREEN SHEET'!DT23="",'GREEN SHEET'!DQ23,'GREEN SHEET'!DT23))</f>
        <v/>
      </c>
      <c r="Y23" s="167" t="str">
        <f>IF(F23="","",IF('GREEN SHEET'!DU23="",'GREEN SHEET'!DR23,'GREEN SHEET'!DU23))</f>
        <v/>
      </c>
      <c r="Z23" s="169" t="str">
        <f>IF(F23="","",IF('GREEN SHEET'!FH23="",'GREEN SHEET'!EH23,'GREEN SHEET'!FH23))</f>
        <v/>
      </c>
      <c r="AA23" s="170" t="str">
        <f t="shared" si="1"/>
        <v/>
      </c>
      <c r="AB23" s="171" t="str">
        <f t="shared" si="6"/>
        <v/>
      </c>
      <c r="AC23" s="171" t="str">
        <f>IF(F23="","",IF('GREEN SHEET'!EN23="","",'GREEN SHEET'!EN23))</f>
        <v/>
      </c>
      <c r="AD23" s="174" t="str">
        <f>IF(AA23="","",RANK(AA23,AA$7:$AA$51,0)+COUNTIF($AA$7:AA23,AA23)-1)</f>
        <v/>
      </c>
      <c r="AE23" s="174" t="str">
        <f t="shared" si="2"/>
        <v/>
      </c>
      <c r="AF23" s="174" t="str">
        <f t="shared" si="3"/>
        <v/>
      </c>
      <c r="AG23" s="174" t="str">
        <f t="shared" si="4"/>
        <v/>
      </c>
    </row>
    <row r="24" spans="1:33" ht="16.8" hidden="1" x14ac:dyDescent="0.25">
      <c r="A24" s="154"/>
      <c r="B24" s="25">
        <v>18</v>
      </c>
      <c r="C24" s="173" t="str">
        <f t="shared" si="5"/>
        <v/>
      </c>
      <c r="D24" s="173" t="str">
        <f t="shared" si="0"/>
        <v/>
      </c>
      <c r="E24" s="25" t="str">
        <f>IF('GREEN SHEET'!C24="","",'GREEN SHEET'!C24)</f>
        <v/>
      </c>
      <c r="F24" s="25" t="str">
        <f>IF('GREEN SHEET'!D24="","",'GREEN SHEET'!D24)</f>
        <v/>
      </c>
      <c r="G24" s="25" t="str">
        <f>IF('GREEN SHEET'!E24="","",'GREEN SHEET'!E24)</f>
        <v/>
      </c>
      <c r="H24" s="25" t="str">
        <f>IF('GREEN SHEET'!F24="","",'GREEN SHEET'!F24)</f>
        <v/>
      </c>
      <c r="I24" s="25" t="str">
        <f>IF('GREEN SHEET'!G24="","",'GREEN SHEET'!G24)</f>
        <v/>
      </c>
      <c r="J24" s="25" t="str">
        <f>IF('GREEN SHEET'!H24="","",'GREEN SHEET'!H24)</f>
        <v/>
      </c>
      <c r="K24" s="25" t="str">
        <f>IF('GREEN SHEET'!I24="","",'GREEN SHEET'!I24)</f>
        <v/>
      </c>
      <c r="L24" s="25" t="str">
        <f>IF('GREEN SHEET'!J24="","",'GREEN SHEET'!J24)</f>
        <v/>
      </c>
      <c r="M24" s="25" t="str">
        <f>IF('GREEN SHEET'!K24="","",'GREEN SHEET'!K24)</f>
        <v/>
      </c>
      <c r="N24" s="166" t="str">
        <f>IF(F24="","",IF('GREEN SHEET'!AB24="",'GREEN SHEET'!Y24,'GREEN SHEET'!AB24))</f>
        <v/>
      </c>
      <c r="O24" s="166" t="str">
        <f>IF(F24="","",IF('GREEN SHEET'!AC24="",'GREEN SHEET'!Z24,'GREEN SHEET'!AC24))</f>
        <v/>
      </c>
      <c r="P24" s="167" t="str">
        <f>IF(F24="","",IF('GREEN SHEET'!AV24="",'GREEN SHEET'!AS24,'GREEN SHEET'!AV24))</f>
        <v/>
      </c>
      <c r="Q24" s="167" t="str">
        <f>IF(F24="","",IF('GREEN SHEET'!AW24="",'GREEN SHEET'!AT24,'GREEN SHEET'!AW24))</f>
        <v/>
      </c>
      <c r="R24" s="166" t="str">
        <f>IF(F24="","",IF('GREEN SHEET'!BO24="",'GREEN SHEET'!BL24,'GREEN SHEET'!BO24))</f>
        <v/>
      </c>
      <c r="S24" s="166" t="str">
        <f>IF(F24="","",IF('GREEN SHEET'!BP24="",'GREEN SHEET'!BM24,'GREEN SHEET'!BP24))</f>
        <v/>
      </c>
      <c r="T24" s="167" t="str">
        <f>IF(F24="","",IF('GREEN SHEET'!CH24="",'GREEN SHEET'!CE24,'GREEN SHEET'!CH24))</f>
        <v/>
      </c>
      <c r="U24" s="167" t="str">
        <f>IF(F24="","",IF('GREEN SHEET'!CI24="",'GREEN SHEET'!CF24,'GREEN SHEET'!CI24))</f>
        <v/>
      </c>
      <c r="V24" s="168" t="str">
        <f>IF(F24="","",IF('GREEN SHEET'!DA24="",'GREEN SHEET'!CX24,'GREEN SHEET'!DA24))</f>
        <v/>
      </c>
      <c r="W24" s="168" t="str">
        <f>IF(F24="","",IF('GREEN SHEET'!DB24="",'GREEN SHEET'!CY24,'GREEN SHEET'!DB24))</f>
        <v/>
      </c>
      <c r="X24" s="167" t="str">
        <f>IF(F24="","",IF('GREEN SHEET'!DT24="",'GREEN SHEET'!DQ24,'GREEN SHEET'!DT24))</f>
        <v/>
      </c>
      <c r="Y24" s="167" t="str">
        <f>IF(F24="","",IF('GREEN SHEET'!DU24="",'GREEN SHEET'!DR24,'GREEN SHEET'!DU24))</f>
        <v/>
      </c>
      <c r="Z24" s="169" t="str">
        <f>IF(F24="","",IF('GREEN SHEET'!FH24="",'GREEN SHEET'!EH24,'GREEN SHEET'!FH24))</f>
        <v/>
      </c>
      <c r="AA24" s="170" t="str">
        <f t="shared" si="1"/>
        <v/>
      </c>
      <c r="AB24" s="171" t="str">
        <f t="shared" si="6"/>
        <v/>
      </c>
      <c r="AC24" s="171" t="str">
        <f>IF(F24="","",IF('GREEN SHEET'!EN24="","",'GREEN SHEET'!EN24))</f>
        <v/>
      </c>
      <c r="AD24" s="174" t="str">
        <f>IF(AA24="","",RANK(AA24,AA$7:$AA$51,0)+COUNTIF($AA$7:AA24,AA24)-1)</f>
        <v/>
      </c>
      <c r="AE24" s="174" t="str">
        <f t="shared" si="2"/>
        <v/>
      </c>
      <c r="AF24" s="174" t="str">
        <f t="shared" si="3"/>
        <v/>
      </c>
      <c r="AG24" s="174" t="str">
        <f t="shared" si="4"/>
        <v/>
      </c>
    </row>
    <row r="25" spans="1:33" ht="16.8" hidden="1" x14ac:dyDescent="0.25">
      <c r="A25" s="154"/>
      <c r="B25" s="25">
        <v>19</v>
      </c>
      <c r="C25" s="173" t="str">
        <f t="shared" si="5"/>
        <v/>
      </c>
      <c r="D25" s="173" t="str">
        <f t="shared" si="0"/>
        <v/>
      </c>
      <c r="E25" s="25" t="str">
        <f>IF('GREEN SHEET'!C25="","",'GREEN SHEET'!C25)</f>
        <v/>
      </c>
      <c r="F25" s="25" t="str">
        <f>IF('GREEN SHEET'!D25="","",'GREEN SHEET'!D25)</f>
        <v/>
      </c>
      <c r="G25" s="25" t="str">
        <f>IF('GREEN SHEET'!E25="","",'GREEN SHEET'!E25)</f>
        <v/>
      </c>
      <c r="H25" s="25" t="str">
        <f>IF('GREEN SHEET'!F25="","",'GREEN SHEET'!F25)</f>
        <v/>
      </c>
      <c r="I25" s="25" t="str">
        <f>IF('GREEN SHEET'!G25="","",'GREEN SHEET'!G25)</f>
        <v/>
      </c>
      <c r="J25" s="25" t="str">
        <f>IF('GREEN SHEET'!H25="","",'GREEN SHEET'!H25)</f>
        <v/>
      </c>
      <c r="K25" s="25" t="str">
        <f>IF('GREEN SHEET'!I25="","",'GREEN SHEET'!I25)</f>
        <v/>
      </c>
      <c r="L25" s="25" t="str">
        <f>IF('GREEN SHEET'!J25="","",'GREEN SHEET'!J25)</f>
        <v/>
      </c>
      <c r="M25" s="25" t="str">
        <f>IF('GREEN SHEET'!K25="","",'GREEN SHEET'!K25)</f>
        <v/>
      </c>
      <c r="N25" s="166" t="str">
        <f>IF(F25="","",IF('GREEN SHEET'!AB25="",'GREEN SHEET'!Y25,'GREEN SHEET'!AB25))</f>
        <v/>
      </c>
      <c r="O25" s="166" t="str">
        <f>IF(F25="","",IF('GREEN SHEET'!AC25="",'GREEN SHEET'!Z25,'GREEN SHEET'!AC25))</f>
        <v/>
      </c>
      <c r="P25" s="167" t="str">
        <f>IF(F25="","",IF('GREEN SHEET'!AV25="",'GREEN SHEET'!AS25,'GREEN SHEET'!AV25))</f>
        <v/>
      </c>
      <c r="Q25" s="167" t="str">
        <f>IF(F25="","",IF('GREEN SHEET'!AW25="",'GREEN SHEET'!AT25,'GREEN SHEET'!AW25))</f>
        <v/>
      </c>
      <c r="R25" s="166" t="str">
        <f>IF(F25="","",IF('GREEN SHEET'!BO25="",'GREEN SHEET'!BL25,'GREEN SHEET'!BO25))</f>
        <v/>
      </c>
      <c r="S25" s="166" t="str">
        <f>IF(F25="","",IF('GREEN SHEET'!BP25="",'GREEN SHEET'!BM25,'GREEN SHEET'!BP25))</f>
        <v/>
      </c>
      <c r="T25" s="167" t="str">
        <f>IF(F25="","",IF('GREEN SHEET'!CH25="",'GREEN SHEET'!CE25,'GREEN SHEET'!CH25))</f>
        <v/>
      </c>
      <c r="U25" s="167" t="str">
        <f>IF(F25="","",IF('GREEN SHEET'!CI25="",'GREEN SHEET'!CF25,'GREEN SHEET'!CI25))</f>
        <v/>
      </c>
      <c r="V25" s="168" t="str">
        <f>IF(F25="","",IF('GREEN SHEET'!DA25="",'GREEN SHEET'!CX25,'GREEN SHEET'!DA25))</f>
        <v/>
      </c>
      <c r="W25" s="168" t="str">
        <f>IF(F25="","",IF('GREEN SHEET'!DB25="",'GREEN SHEET'!CY25,'GREEN SHEET'!DB25))</f>
        <v/>
      </c>
      <c r="X25" s="167" t="str">
        <f>IF(F25="","",IF('GREEN SHEET'!DT25="",'GREEN SHEET'!DQ25,'GREEN SHEET'!DT25))</f>
        <v/>
      </c>
      <c r="Y25" s="167" t="str">
        <f>IF(F25="","",IF('GREEN SHEET'!DU25="",'GREEN SHEET'!DR25,'GREEN SHEET'!DU25))</f>
        <v/>
      </c>
      <c r="Z25" s="169" t="str">
        <f>IF(F25="","",IF('GREEN SHEET'!FH25="",'GREEN SHEET'!EH25,'GREEN SHEET'!FH25))</f>
        <v/>
      </c>
      <c r="AA25" s="170" t="str">
        <f t="shared" si="1"/>
        <v/>
      </c>
      <c r="AB25" s="171" t="str">
        <f t="shared" si="6"/>
        <v/>
      </c>
      <c r="AC25" s="171" t="str">
        <f>IF(F25="","",IF('GREEN SHEET'!EN25="","",'GREEN SHEET'!EN25))</f>
        <v/>
      </c>
      <c r="AD25" s="174" t="str">
        <f>IF(AA25="","",RANK(AA25,AA$7:$AA$51,0)+COUNTIF($AA$7:AA25,AA25)-1)</f>
        <v/>
      </c>
      <c r="AE25" s="174" t="str">
        <f t="shared" si="2"/>
        <v/>
      </c>
      <c r="AF25" s="174" t="str">
        <f t="shared" si="3"/>
        <v/>
      </c>
      <c r="AG25" s="174" t="str">
        <f t="shared" si="4"/>
        <v/>
      </c>
    </row>
    <row r="26" spans="1:33" ht="16.8" hidden="1" x14ac:dyDescent="0.25">
      <c r="A26" s="154"/>
      <c r="B26" s="25">
        <v>20</v>
      </c>
      <c r="C26" s="173" t="str">
        <f t="shared" si="5"/>
        <v/>
      </c>
      <c r="D26" s="173" t="str">
        <f t="shared" si="0"/>
        <v/>
      </c>
      <c r="E26" s="25" t="str">
        <f>IF('GREEN SHEET'!C26="","",'GREEN SHEET'!C26)</f>
        <v/>
      </c>
      <c r="F26" s="25" t="str">
        <f>IF('GREEN SHEET'!D26="","",'GREEN SHEET'!D26)</f>
        <v/>
      </c>
      <c r="G26" s="25" t="str">
        <f>IF('GREEN SHEET'!E26="","",'GREEN SHEET'!E26)</f>
        <v/>
      </c>
      <c r="H26" s="25" t="str">
        <f>IF('GREEN SHEET'!F26="","",'GREEN SHEET'!F26)</f>
        <v/>
      </c>
      <c r="I26" s="25" t="str">
        <f>IF('GREEN SHEET'!G26="","",'GREEN SHEET'!G26)</f>
        <v/>
      </c>
      <c r="J26" s="25" t="str">
        <f>IF('GREEN SHEET'!H26="","",'GREEN SHEET'!H26)</f>
        <v/>
      </c>
      <c r="K26" s="25" t="str">
        <f>IF('GREEN SHEET'!I26="","",'GREEN SHEET'!I26)</f>
        <v/>
      </c>
      <c r="L26" s="25" t="str">
        <f>IF('GREEN SHEET'!J26="","",'GREEN SHEET'!J26)</f>
        <v/>
      </c>
      <c r="M26" s="25" t="str">
        <f>IF('GREEN SHEET'!K26="","",'GREEN SHEET'!K26)</f>
        <v/>
      </c>
      <c r="N26" s="166" t="str">
        <f>IF(F26="","",IF('GREEN SHEET'!AB26="",'GREEN SHEET'!Y26,'GREEN SHEET'!AB26))</f>
        <v/>
      </c>
      <c r="O26" s="166" t="str">
        <f>IF(F26="","",IF('GREEN SHEET'!AC26="",'GREEN SHEET'!Z26,'GREEN SHEET'!AC26))</f>
        <v/>
      </c>
      <c r="P26" s="167" t="str">
        <f>IF(F26="","",IF('GREEN SHEET'!AV26="",'GREEN SHEET'!AS26,'GREEN SHEET'!AV26))</f>
        <v/>
      </c>
      <c r="Q26" s="167" t="str">
        <f>IF(F26="","",IF('GREEN SHEET'!AW26="",'GREEN SHEET'!AT26,'GREEN SHEET'!AW26))</f>
        <v/>
      </c>
      <c r="R26" s="166" t="str">
        <f>IF(F26="","",IF('GREEN SHEET'!BO26="",'GREEN SHEET'!BL26,'GREEN SHEET'!BO26))</f>
        <v/>
      </c>
      <c r="S26" s="166" t="str">
        <f>IF(F26="","",IF('GREEN SHEET'!BP26="",'GREEN SHEET'!BM26,'GREEN SHEET'!BP26))</f>
        <v/>
      </c>
      <c r="T26" s="167" t="str">
        <f>IF(F26="","",IF('GREEN SHEET'!CH26="",'GREEN SHEET'!CE26,'GREEN SHEET'!CH26))</f>
        <v/>
      </c>
      <c r="U26" s="167" t="str">
        <f>IF(F26="","",IF('GREEN SHEET'!CI26="",'GREEN SHEET'!CF26,'GREEN SHEET'!CI26))</f>
        <v/>
      </c>
      <c r="V26" s="168" t="str">
        <f>IF(F26="","",IF('GREEN SHEET'!DA26="",'GREEN SHEET'!CX26,'GREEN SHEET'!DA26))</f>
        <v/>
      </c>
      <c r="W26" s="168" t="str">
        <f>IF(F26="","",IF('GREEN SHEET'!DB26="",'GREEN SHEET'!CY26,'GREEN SHEET'!DB26))</f>
        <v/>
      </c>
      <c r="X26" s="167" t="str">
        <f>IF(F26="","",IF('GREEN SHEET'!DT26="",'GREEN SHEET'!DQ26,'GREEN SHEET'!DT26))</f>
        <v/>
      </c>
      <c r="Y26" s="167" t="str">
        <f>IF(F26="","",IF('GREEN SHEET'!DU26="",'GREEN SHEET'!DR26,'GREEN SHEET'!DU26))</f>
        <v/>
      </c>
      <c r="Z26" s="169" t="str">
        <f>IF(F26="","",IF('GREEN SHEET'!FH26="",'GREEN SHEET'!EH26,'GREEN SHEET'!FH26))</f>
        <v/>
      </c>
      <c r="AA26" s="170" t="str">
        <f t="shared" si="1"/>
        <v/>
      </c>
      <c r="AB26" s="171" t="str">
        <f t="shared" si="6"/>
        <v/>
      </c>
      <c r="AC26" s="171" t="str">
        <f>IF(F26="","",IF('GREEN SHEET'!EN26="","",'GREEN SHEET'!EN26))</f>
        <v/>
      </c>
      <c r="AD26" s="174" t="str">
        <f>IF(AA26="","",RANK(AA26,AA$7:$AA$51,0)+COUNTIF($AA$7:AA26,AA26)-1)</f>
        <v/>
      </c>
      <c r="AE26" s="174" t="str">
        <f t="shared" si="2"/>
        <v/>
      </c>
      <c r="AF26" s="174" t="str">
        <f t="shared" si="3"/>
        <v/>
      </c>
      <c r="AG26" s="174" t="str">
        <f t="shared" si="4"/>
        <v/>
      </c>
    </row>
    <row r="27" spans="1:33" ht="16.8" hidden="1" x14ac:dyDescent="0.25">
      <c r="A27" s="154"/>
      <c r="B27" s="25">
        <v>21</v>
      </c>
      <c r="C27" s="173" t="str">
        <f t="shared" si="5"/>
        <v/>
      </c>
      <c r="D27" s="173" t="str">
        <f t="shared" si="0"/>
        <v/>
      </c>
      <c r="E27" s="25" t="str">
        <f>IF('GREEN SHEET'!C27="","",'GREEN SHEET'!C27)</f>
        <v/>
      </c>
      <c r="F27" s="25" t="str">
        <f>IF('GREEN SHEET'!D27="","",'GREEN SHEET'!D27)</f>
        <v/>
      </c>
      <c r="G27" s="25" t="str">
        <f>IF('GREEN SHEET'!E27="","",'GREEN SHEET'!E27)</f>
        <v/>
      </c>
      <c r="H27" s="25" t="str">
        <f>IF('GREEN SHEET'!F27="","",'GREEN SHEET'!F27)</f>
        <v/>
      </c>
      <c r="I27" s="25" t="str">
        <f>IF('GREEN SHEET'!G27="","",'GREEN SHEET'!G27)</f>
        <v/>
      </c>
      <c r="J27" s="25" t="str">
        <f>IF('GREEN SHEET'!H27="","",'GREEN SHEET'!H27)</f>
        <v/>
      </c>
      <c r="K27" s="25" t="str">
        <f>IF('GREEN SHEET'!I27="","",'GREEN SHEET'!I27)</f>
        <v/>
      </c>
      <c r="L27" s="25" t="str">
        <f>IF('GREEN SHEET'!J27="","",'GREEN SHEET'!J27)</f>
        <v/>
      </c>
      <c r="M27" s="25" t="str">
        <f>IF('GREEN SHEET'!K27="","",'GREEN SHEET'!K27)</f>
        <v/>
      </c>
      <c r="N27" s="166" t="str">
        <f>IF(F27="","",IF('GREEN SHEET'!AB27="",'GREEN SHEET'!Y27,'GREEN SHEET'!AB27))</f>
        <v/>
      </c>
      <c r="O27" s="166" t="str">
        <f>IF(F27="","",IF('GREEN SHEET'!AC27="",'GREEN SHEET'!Z27,'GREEN SHEET'!AC27))</f>
        <v/>
      </c>
      <c r="P27" s="167" t="str">
        <f>IF(F27="","",IF('GREEN SHEET'!AV27="",'GREEN SHEET'!AS27,'GREEN SHEET'!AV27))</f>
        <v/>
      </c>
      <c r="Q27" s="167" t="str">
        <f>IF(F27="","",IF('GREEN SHEET'!AW27="",'GREEN SHEET'!AT27,'GREEN SHEET'!AW27))</f>
        <v/>
      </c>
      <c r="R27" s="166" t="str">
        <f>IF(F27="","",IF('GREEN SHEET'!BO27="",'GREEN SHEET'!BL27,'GREEN SHEET'!BO27))</f>
        <v/>
      </c>
      <c r="S27" s="166" t="str">
        <f>IF(F27="","",IF('GREEN SHEET'!BP27="",'GREEN SHEET'!BM27,'GREEN SHEET'!BP27))</f>
        <v/>
      </c>
      <c r="T27" s="167" t="str">
        <f>IF(F27="","",IF('GREEN SHEET'!CH27="",'GREEN SHEET'!CE27,'GREEN SHEET'!CH27))</f>
        <v/>
      </c>
      <c r="U27" s="167" t="str">
        <f>IF(F27="","",IF('GREEN SHEET'!CI27="",'GREEN SHEET'!CF27,'GREEN SHEET'!CI27))</f>
        <v/>
      </c>
      <c r="V27" s="168" t="str">
        <f>IF(F27="","",IF('GREEN SHEET'!DA27="",'GREEN SHEET'!CX27,'GREEN SHEET'!DA27))</f>
        <v/>
      </c>
      <c r="W27" s="168" t="str">
        <f>IF(F27="","",IF('GREEN SHEET'!DB27="",'GREEN SHEET'!CY27,'GREEN SHEET'!DB27))</f>
        <v/>
      </c>
      <c r="X27" s="167" t="str">
        <f>IF(F27="","",IF('GREEN SHEET'!DT27="",'GREEN SHEET'!DQ27,'GREEN SHEET'!DT27))</f>
        <v/>
      </c>
      <c r="Y27" s="167" t="str">
        <f>IF(F27="","",IF('GREEN SHEET'!DU27="",'GREEN SHEET'!DR27,'GREEN SHEET'!DU27))</f>
        <v/>
      </c>
      <c r="Z27" s="169" t="str">
        <f>IF(F27="","",IF('GREEN SHEET'!FH27="",'GREEN SHEET'!EH27,'GREEN SHEET'!FH27))</f>
        <v/>
      </c>
      <c r="AA27" s="170" t="str">
        <f t="shared" si="1"/>
        <v/>
      </c>
      <c r="AB27" s="171" t="str">
        <f t="shared" si="6"/>
        <v/>
      </c>
      <c r="AC27" s="171" t="str">
        <f>IF(F27="","",IF('GREEN SHEET'!EN27="","",'GREEN SHEET'!EN27))</f>
        <v/>
      </c>
      <c r="AD27" s="174" t="str">
        <f>IF(AA27="","",RANK(AA27,AA$7:$AA$51,0)+COUNTIF($AA$7:AA27,AA27)-1)</f>
        <v/>
      </c>
      <c r="AE27" s="174" t="str">
        <f t="shared" si="2"/>
        <v/>
      </c>
      <c r="AF27" s="174" t="str">
        <f t="shared" si="3"/>
        <v/>
      </c>
      <c r="AG27" s="174" t="str">
        <f t="shared" si="4"/>
        <v/>
      </c>
    </row>
    <row r="28" spans="1:33" ht="16.8" hidden="1" x14ac:dyDescent="0.25">
      <c r="A28" s="154"/>
      <c r="B28" s="25">
        <v>22</v>
      </c>
      <c r="C28" s="173" t="str">
        <f t="shared" si="5"/>
        <v/>
      </c>
      <c r="D28" s="173" t="str">
        <f t="shared" si="0"/>
        <v/>
      </c>
      <c r="E28" s="25" t="str">
        <f>IF('GREEN SHEET'!C28="","",'GREEN SHEET'!C28)</f>
        <v/>
      </c>
      <c r="F28" s="25" t="str">
        <f>IF('GREEN SHEET'!D28="","",'GREEN SHEET'!D28)</f>
        <v/>
      </c>
      <c r="G28" s="25" t="str">
        <f>IF('GREEN SHEET'!E28="","",'GREEN SHEET'!E28)</f>
        <v/>
      </c>
      <c r="H28" s="25" t="str">
        <f>IF('GREEN SHEET'!F28="","",'GREEN SHEET'!F28)</f>
        <v/>
      </c>
      <c r="I28" s="25" t="str">
        <f>IF('GREEN SHEET'!G28="","",'GREEN SHEET'!G28)</f>
        <v/>
      </c>
      <c r="J28" s="25" t="str">
        <f>IF('GREEN SHEET'!H28="","",'GREEN SHEET'!H28)</f>
        <v/>
      </c>
      <c r="K28" s="25" t="str">
        <f>IF('GREEN SHEET'!I28="","",'GREEN SHEET'!I28)</f>
        <v/>
      </c>
      <c r="L28" s="25" t="str">
        <f>IF('GREEN SHEET'!J28="","",'GREEN SHEET'!J28)</f>
        <v/>
      </c>
      <c r="M28" s="25" t="str">
        <f>IF('GREEN SHEET'!K28="","",'GREEN SHEET'!K28)</f>
        <v/>
      </c>
      <c r="N28" s="166" t="str">
        <f>IF(F28="","",IF('GREEN SHEET'!AB28="",'GREEN SHEET'!Y28,'GREEN SHEET'!AB28))</f>
        <v/>
      </c>
      <c r="O28" s="166" t="str">
        <f>IF(F28="","",IF('GREEN SHEET'!AC28="",'GREEN SHEET'!Z28,'GREEN SHEET'!AC28))</f>
        <v/>
      </c>
      <c r="P28" s="167" t="str">
        <f>IF(F28="","",IF('GREEN SHEET'!AV28="",'GREEN SHEET'!AS28,'GREEN SHEET'!AV28))</f>
        <v/>
      </c>
      <c r="Q28" s="167" t="str">
        <f>IF(F28="","",IF('GREEN SHEET'!AW28="",'GREEN SHEET'!AT28,'GREEN SHEET'!AW28))</f>
        <v/>
      </c>
      <c r="R28" s="166" t="str">
        <f>IF(F28="","",IF('GREEN SHEET'!BO28="",'GREEN SHEET'!BL28,'GREEN SHEET'!BO28))</f>
        <v/>
      </c>
      <c r="S28" s="166" t="str">
        <f>IF(F28="","",IF('GREEN SHEET'!BP28="",'GREEN SHEET'!BM28,'GREEN SHEET'!BP28))</f>
        <v/>
      </c>
      <c r="T28" s="167" t="str">
        <f>IF(F28="","",IF('GREEN SHEET'!CH28="",'GREEN SHEET'!CE28,'GREEN SHEET'!CH28))</f>
        <v/>
      </c>
      <c r="U28" s="167" t="str">
        <f>IF(F28="","",IF('GREEN SHEET'!CI28="",'GREEN SHEET'!CF28,'GREEN SHEET'!CI28))</f>
        <v/>
      </c>
      <c r="V28" s="168" t="str">
        <f>IF(F28="","",IF('GREEN SHEET'!DA28="",'GREEN SHEET'!CX28,'GREEN SHEET'!DA28))</f>
        <v/>
      </c>
      <c r="W28" s="168" t="str">
        <f>IF(F28="","",IF('GREEN SHEET'!DB28="",'GREEN SHEET'!CY28,'GREEN SHEET'!DB28))</f>
        <v/>
      </c>
      <c r="X28" s="167" t="str">
        <f>IF(F28="","",IF('GREEN SHEET'!DT28="",'GREEN SHEET'!DQ28,'GREEN SHEET'!DT28))</f>
        <v/>
      </c>
      <c r="Y28" s="167" t="str">
        <f>IF(F28="","",IF('GREEN SHEET'!DU28="",'GREEN SHEET'!DR28,'GREEN SHEET'!DU28))</f>
        <v/>
      </c>
      <c r="Z28" s="169" t="str">
        <f>IF(F28="","",IF('GREEN SHEET'!FH28="",'GREEN SHEET'!EH28,'GREEN SHEET'!FH28))</f>
        <v/>
      </c>
      <c r="AA28" s="170" t="str">
        <f t="shared" si="1"/>
        <v/>
      </c>
      <c r="AB28" s="171" t="str">
        <f t="shared" si="6"/>
        <v/>
      </c>
      <c r="AC28" s="171" t="str">
        <f>IF(F28="","",IF('GREEN SHEET'!EN28="","",'GREEN SHEET'!EN28))</f>
        <v/>
      </c>
      <c r="AD28" s="174" t="str">
        <f>IF(AA28="","",RANK(AA28,AA$7:$AA$51,0)+COUNTIF($AA$7:AA28,AA28)-1)</f>
        <v/>
      </c>
      <c r="AE28" s="174" t="str">
        <f t="shared" si="2"/>
        <v/>
      </c>
      <c r="AF28" s="174" t="str">
        <f t="shared" si="3"/>
        <v/>
      </c>
      <c r="AG28" s="174" t="str">
        <f t="shared" si="4"/>
        <v/>
      </c>
    </row>
    <row r="29" spans="1:33" ht="16.8" hidden="1" x14ac:dyDescent="0.25">
      <c r="A29" s="154"/>
      <c r="B29" s="25">
        <v>23</v>
      </c>
      <c r="C29" s="173" t="str">
        <f t="shared" si="5"/>
        <v/>
      </c>
      <c r="D29" s="173" t="str">
        <f t="shared" si="0"/>
        <v/>
      </c>
      <c r="E29" s="25" t="str">
        <f>IF('GREEN SHEET'!C29="","",'GREEN SHEET'!C29)</f>
        <v/>
      </c>
      <c r="F29" s="25" t="str">
        <f>IF('GREEN SHEET'!D29="","",'GREEN SHEET'!D29)</f>
        <v/>
      </c>
      <c r="G29" s="25" t="str">
        <f>IF('GREEN SHEET'!E29="","",'GREEN SHEET'!E29)</f>
        <v/>
      </c>
      <c r="H29" s="25" t="str">
        <f>IF('GREEN SHEET'!F29="","",'GREEN SHEET'!F29)</f>
        <v/>
      </c>
      <c r="I29" s="25" t="str">
        <f>IF('GREEN SHEET'!G29="","",'GREEN SHEET'!G29)</f>
        <v/>
      </c>
      <c r="J29" s="25" t="str">
        <f>IF('GREEN SHEET'!H29="","",'GREEN SHEET'!H29)</f>
        <v/>
      </c>
      <c r="K29" s="25" t="str">
        <f>IF('GREEN SHEET'!I29="","",'GREEN SHEET'!I29)</f>
        <v/>
      </c>
      <c r="L29" s="25" t="str">
        <f>IF('GREEN SHEET'!J29="","",'GREEN SHEET'!J29)</f>
        <v/>
      </c>
      <c r="M29" s="25" t="str">
        <f>IF('GREEN SHEET'!K29="","",'GREEN SHEET'!K29)</f>
        <v/>
      </c>
      <c r="N29" s="166" t="str">
        <f>IF(F29="","",IF('GREEN SHEET'!AB29="",'GREEN SHEET'!Y29,'GREEN SHEET'!AB29))</f>
        <v/>
      </c>
      <c r="O29" s="166" t="str">
        <f>IF(F29="","",IF('GREEN SHEET'!AC29="",'GREEN SHEET'!Z29,'GREEN SHEET'!AC29))</f>
        <v/>
      </c>
      <c r="P29" s="167" t="str">
        <f>IF(F29="","",IF('GREEN SHEET'!AV29="",'GREEN SHEET'!AS29,'GREEN SHEET'!AV29))</f>
        <v/>
      </c>
      <c r="Q29" s="167" t="str">
        <f>IF(F29="","",IF('GREEN SHEET'!AW29="",'GREEN SHEET'!AT29,'GREEN SHEET'!AW29))</f>
        <v/>
      </c>
      <c r="R29" s="166" t="str">
        <f>IF(F29="","",IF('GREEN SHEET'!BO29="",'GREEN SHEET'!BL29,'GREEN SHEET'!BO29))</f>
        <v/>
      </c>
      <c r="S29" s="166" t="str">
        <f>IF(F29="","",IF('GREEN SHEET'!BP29="",'GREEN SHEET'!BM29,'GREEN SHEET'!BP29))</f>
        <v/>
      </c>
      <c r="T29" s="167" t="str">
        <f>IF(F29="","",IF('GREEN SHEET'!CH29="",'GREEN SHEET'!CE29,'GREEN SHEET'!CH29))</f>
        <v/>
      </c>
      <c r="U29" s="167" t="str">
        <f>IF(F29="","",IF('GREEN SHEET'!CI29="",'GREEN SHEET'!CF29,'GREEN SHEET'!CI29))</f>
        <v/>
      </c>
      <c r="V29" s="168" t="str">
        <f>IF(F29="","",IF('GREEN SHEET'!DA29="",'GREEN SHEET'!CX29,'GREEN SHEET'!DA29))</f>
        <v/>
      </c>
      <c r="W29" s="168" t="str">
        <f>IF(F29="","",IF('GREEN SHEET'!DB29="",'GREEN SHEET'!CY29,'GREEN SHEET'!DB29))</f>
        <v/>
      </c>
      <c r="X29" s="167" t="str">
        <f>IF(F29="","",IF('GREEN SHEET'!DT29="",'GREEN SHEET'!DQ29,'GREEN SHEET'!DT29))</f>
        <v/>
      </c>
      <c r="Y29" s="167" t="str">
        <f>IF(F29="","",IF('GREEN SHEET'!DU29="",'GREEN SHEET'!DR29,'GREEN SHEET'!DU29))</f>
        <v/>
      </c>
      <c r="Z29" s="169" t="str">
        <f>IF(F29="","",IF('GREEN SHEET'!FH29="",'GREEN SHEET'!EH29,'GREEN SHEET'!FH29))</f>
        <v/>
      </c>
      <c r="AA29" s="170" t="str">
        <f t="shared" si="1"/>
        <v/>
      </c>
      <c r="AB29" s="171" t="str">
        <f t="shared" si="6"/>
        <v/>
      </c>
      <c r="AC29" s="171" t="str">
        <f>IF(F29="","",IF('GREEN SHEET'!EN29="","",'GREEN SHEET'!EN29))</f>
        <v/>
      </c>
      <c r="AD29" s="174" t="str">
        <f>IF(AA29="","",RANK(AA29,AA$7:$AA$51,0)+COUNTIF($AA$7:AA29,AA29)-1)</f>
        <v/>
      </c>
      <c r="AE29" s="174" t="str">
        <f t="shared" si="2"/>
        <v/>
      </c>
      <c r="AF29" s="174" t="str">
        <f t="shared" si="3"/>
        <v/>
      </c>
      <c r="AG29" s="174" t="str">
        <f t="shared" si="4"/>
        <v/>
      </c>
    </row>
    <row r="30" spans="1:33" ht="16.8" hidden="1" x14ac:dyDescent="0.25">
      <c r="A30" s="154"/>
      <c r="B30" s="25">
        <v>24</v>
      </c>
      <c r="C30" s="173" t="str">
        <f t="shared" si="5"/>
        <v/>
      </c>
      <c r="D30" s="173" t="str">
        <f t="shared" si="0"/>
        <v/>
      </c>
      <c r="E30" s="25" t="str">
        <f>IF('GREEN SHEET'!C30="","",'GREEN SHEET'!C30)</f>
        <v/>
      </c>
      <c r="F30" s="25" t="str">
        <f>IF('GREEN SHEET'!D30="","",'GREEN SHEET'!D30)</f>
        <v/>
      </c>
      <c r="G30" s="25" t="str">
        <f>IF('GREEN SHEET'!E30="","",'GREEN SHEET'!E30)</f>
        <v/>
      </c>
      <c r="H30" s="25" t="str">
        <f>IF('GREEN SHEET'!F30="","",'GREEN SHEET'!F30)</f>
        <v/>
      </c>
      <c r="I30" s="25" t="str">
        <f>IF('GREEN SHEET'!G30="","",'GREEN SHEET'!G30)</f>
        <v/>
      </c>
      <c r="J30" s="25" t="str">
        <f>IF('GREEN SHEET'!H30="","",'GREEN SHEET'!H30)</f>
        <v/>
      </c>
      <c r="K30" s="25" t="str">
        <f>IF('GREEN SHEET'!I30="","",'GREEN SHEET'!I30)</f>
        <v/>
      </c>
      <c r="L30" s="25" t="str">
        <f>IF('GREEN SHEET'!J30="","",'GREEN SHEET'!J30)</f>
        <v/>
      </c>
      <c r="M30" s="25" t="str">
        <f>IF('GREEN SHEET'!K30="","",'GREEN SHEET'!K30)</f>
        <v/>
      </c>
      <c r="N30" s="166" t="str">
        <f>IF(F30="","",IF('GREEN SHEET'!AB30="",'GREEN SHEET'!Y30,'GREEN SHEET'!AB30))</f>
        <v/>
      </c>
      <c r="O30" s="166" t="str">
        <f>IF(F30="","",IF('GREEN SHEET'!AC30="",'GREEN SHEET'!Z30,'GREEN SHEET'!AC30))</f>
        <v/>
      </c>
      <c r="P30" s="167" t="str">
        <f>IF(F30="","",IF('GREEN SHEET'!AV30="",'GREEN SHEET'!AS30,'GREEN SHEET'!AV30))</f>
        <v/>
      </c>
      <c r="Q30" s="167" t="str">
        <f>IF(F30="","",IF('GREEN SHEET'!AW30="",'GREEN SHEET'!AT30,'GREEN SHEET'!AW30))</f>
        <v/>
      </c>
      <c r="R30" s="166" t="str">
        <f>IF(F30="","",IF('GREEN SHEET'!BO30="",'GREEN SHEET'!BL30,'GREEN SHEET'!BO30))</f>
        <v/>
      </c>
      <c r="S30" s="166" t="str">
        <f>IF(F30="","",IF('GREEN SHEET'!BP30="",'GREEN SHEET'!BM30,'GREEN SHEET'!BP30))</f>
        <v/>
      </c>
      <c r="T30" s="167" t="str">
        <f>IF(F30="","",IF('GREEN SHEET'!CH30="",'GREEN SHEET'!CE30,'GREEN SHEET'!CH30))</f>
        <v/>
      </c>
      <c r="U30" s="167" t="str">
        <f>IF(F30="","",IF('GREEN SHEET'!CI30="",'GREEN SHEET'!CF30,'GREEN SHEET'!CI30))</f>
        <v/>
      </c>
      <c r="V30" s="168" t="str">
        <f>IF(F30="","",IF('GREEN SHEET'!DA30="",'GREEN SHEET'!CX30,'GREEN SHEET'!DA30))</f>
        <v/>
      </c>
      <c r="W30" s="168" t="str">
        <f>IF(F30="","",IF('GREEN SHEET'!DB30="",'GREEN SHEET'!CY30,'GREEN SHEET'!DB30))</f>
        <v/>
      </c>
      <c r="X30" s="167" t="str">
        <f>IF(F30="","",IF('GREEN SHEET'!DT30="",'GREEN SHEET'!DQ30,'GREEN SHEET'!DT30))</f>
        <v/>
      </c>
      <c r="Y30" s="167" t="str">
        <f>IF(F30="","",IF('GREEN SHEET'!DU30="",'GREEN SHEET'!DR30,'GREEN SHEET'!DU30))</f>
        <v/>
      </c>
      <c r="Z30" s="169" t="str">
        <f>IF(F30="","",IF('GREEN SHEET'!FH30="",'GREEN SHEET'!EH30,'GREEN SHEET'!FH30))</f>
        <v/>
      </c>
      <c r="AA30" s="170" t="str">
        <f t="shared" si="1"/>
        <v/>
      </c>
      <c r="AB30" s="171" t="str">
        <f t="shared" si="6"/>
        <v/>
      </c>
      <c r="AC30" s="171" t="str">
        <f>IF(F30="","",IF('GREEN SHEET'!EN30="","",'GREEN SHEET'!EN30))</f>
        <v/>
      </c>
      <c r="AD30" s="174" t="str">
        <f>IF(AA30="","",RANK(AA30,AA$7:$AA$51,0)+COUNTIF($AA$7:AA30,AA30)-1)</f>
        <v/>
      </c>
      <c r="AE30" s="174" t="str">
        <f t="shared" si="2"/>
        <v/>
      </c>
      <c r="AF30" s="174" t="str">
        <f t="shared" si="3"/>
        <v/>
      </c>
      <c r="AG30" s="174" t="str">
        <f t="shared" si="4"/>
        <v/>
      </c>
    </row>
    <row r="31" spans="1:33" ht="16.8" hidden="1" x14ac:dyDescent="0.25">
      <c r="A31" s="154"/>
      <c r="B31" s="25">
        <v>25</v>
      </c>
      <c r="C31" s="173" t="str">
        <f t="shared" si="5"/>
        <v/>
      </c>
      <c r="D31" s="173" t="str">
        <f t="shared" si="0"/>
        <v/>
      </c>
      <c r="E31" s="25" t="str">
        <f>IF('GREEN SHEET'!C31="","",'GREEN SHEET'!C31)</f>
        <v/>
      </c>
      <c r="F31" s="25" t="str">
        <f>IF('GREEN SHEET'!D31="","",'GREEN SHEET'!D31)</f>
        <v/>
      </c>
      <c r="G31" s="25" t="str">
        <f>IF('GREEN SHEET'!E31="","",'GREEN SHEET'!E31)</f>
        <v/>
      </c>
      <c r="H31" s="25" t="str">
        <f>IF('GREEN SHEET'!F31="","",'GREEN SHEET'!F31)</f>
        <v/>
      </c>
      <c r="I31" s="25" t="str">
        <f>IF('GREEN SHEET'!G31="","",'GREEN SHEET'!G31)</f>
        <v/>
      </c>
      <c r="J31" s="25" t="str">
        <f>IF('GREEN SHEET'!H31="","",'GREEN SHEET'!H31)</f>
        <v/>
      </c>
      <c r="K31" s="25" t="str">
        <f>IF('GREEN SHEET'!I31="","",'GREEN SHEET'!I31)</f>
        <v/>
      </c>
      <c r="L31" s="25" t="str">
        <f>IF('GREEN SHEET'!J31="","",'GREEN SHEET'!J31)</f>
        <v/>
      </c>
      <c r="M31" s="25" t="str">
        <f>IF('GREEN SHEET'!K31="","",'GREEN SHEET'!K31)</f>
        <v/>
      </c>
      <c r="N31" s="166" t="str">
        <f>IF(F31="","",IF('GREEN SHEET'!AB31="",'GREEN SHEET'!Y31,'GREEN SHEET'!AB31))</f>
        <v/>
      </c>
      <c r="O31" s="166" t="str">
        <f>IF(F31="","",IF('GREEN SHEET'!AC31="",'GREEN SHEET'!Z31,'GREEN SHEET'!AC31))</f>
        <v/>
      </c>
      <c r="P31" s="167" t="str">
        <f>IF(F31="","",IF('GREEN SHEET'!AV31="",'GREEN SHEET'!AS31,'GREEN SHEET'!AV31))</f>
        <v/>
      </c>
      <c r="Q31" s="167" t="str">
        <f>IF(F31="","",IF('GREEN SHEET'!AW31="",'GREEN SHEET'!AT31,'GREEN SHEET'!AW31))</f>
        <v/>
      </c>
      <c r="R31" s="166" t="str">
        <f>IF(F31="","",IF('GREEN SHEET'!BO31="",'GREEN SHEET'!BL31,'GREEN SHEET'!BO31))</f>
        <v/>
      </c>
      <c r="S31" s="166" t="str">
        <f>IF(F31="","",IF('GREEN SHEET'!BP31="",'GREEN SHEET'!BM31,'GREEN SHEET'!BP31))</f>
        <v/>
      </c>
      <c r="T31" s="167" t="str">
        <f>IF(F31="","",IF('GREEN SHEET'!CH31="",'GREEN SHEET'!CE31,'GREEN SHEET'!CH31))</f>
        <v/>
      </c>
      <c r="U31" s="167" t="str">
        <f>IF(F31="","",IF('GREEN SHEET'!CI31="",'GREEN SHEET'!CF31,'GREEN SHEET'!CI31))</f>
        <v/>
      </c>
      <c r="V31" s="168" t="str">
        <f>IF(F31="","",IF('GREEN SHEET'!DA31="",'GREEN SHEET'!CX31,'GREEN SHEET'!DA31))</f>
        <v/>
      </c>
      <c r="W31" s="168" t="str">
        <f>IF(F31="","",IF('GREEN SHEET'!DB31="",'GREEN SHEET'!CY31,'GREEN SHEET'!DB31))</f>
        <v/>
      </c>
      <c r="X31" s="167" t="str">
        <f>IF(F31="","",IF('GREEN SHEET'!DT31="",'GREEN SHEET'!DQ31,'GREEN SHEET'!DT31))</f>
        <v/>
      </c>
      <c r="Y31" s="167" t="str">
        <f>IF(F31="","",IF('GREEN SHEET'!DU31="",'GREEN SHEET'!DR31,'GREEN SHEET'!DU31))</f>
        <v/>
      </c>
      <c r="Z31" s="169" t="str">
        <f>IF(F31="","",IF('GREEN SHEET'!FH31="",'GREEN SHEET'!EH31,'GREEN SHEET'!FH31))</f>
        <v/>
      </c>
      <c r="AA31" s="170" t="str">
        <f t="shared" si="1"/>
        <v/>
      </c>
      <c r="AB31" s="171" t="str">
        <f t="shared" si="6"/>
        <v/>
      </c>
      <c r="AC31" s="171" t="str">
        <f>IF(F31="","",IF('GREEN SHEET'!EN31="","",'GREEN SHEET'!EN31))</f>
        <v/>
      </c>
      <c r="AD31" s="174" t="str">
        <f>IF(AA31="","",RANK(AA31,AA$7:$AA$51,0)+COUNTIF($AA$7:AA31,AA31)-1)</f>
        <v/>
      </c>
      <c r="AE31" s="174" t="str">
        <f t="shared" si="2"/>
        <v/>
      </c>
      <c r="AF31" s="174" t="str">
        <f t="shared" si="3"/>
        <v/>
      </c>
      <c r="AG31" s="174" t="str">
        <f t="shared" si="4"/>
        <v/>
      </c>
    </row>
    <row r="32" spans="1:33" ht="16.8" hidden="1" x14ac:dyDescent="0.25">
      <c r="A32" s="154"/>
      <c r="B32" s="25">
        <v>26</v>
      </c>
      <c r="C32" s="173" t="str">
        <f t="shared" si="5"/>
        <v/>
      </c>
      <c r="D32" s="173" t="str">
        <f t="shared" si="0"/>
        <v/>
      </c>
      <c r="E32" s="25" t="str">
        <f>IF('GREEN SHEET'!C32="","",'GREEN SHEET'!C32)</f>
        <v/>
      </c>
      <c r="F32" s="25" t="str">
        <f>IF('GREEN SHEET'!D32="","",'GREEN SHEET'!D32)</f>
        <v/>
      </c>
      <c r="G32" s="25" t="str">
        <f>IF('GREEN SHEET'!E32="","",'GREEN SHEET'!E32)</f>
        <v/>
      </c>
      <c r="H32" s="25" t="str">
        <f>IF('GREEN SHEET'!F32="","",'GREEN SHEET'!F32)</f>
        <v/>
      </c>
      <c r="I32" s="25" t="str">
        <f>IF('GREEN SHEET'!G32="","",'GREEN SHEET'!G32)</f>
        <v/>
      </c>
      <c r="J32" s="25" t="str">
        <f>IF('GREEN SHEET'!H32="","",'GREEN SHEET'!H32)</f>
        <v/>
      </c>
      <c r="K32" s="25" t="str">
        <f>IF('GREEN SHEET'!I32="","",'GREEN SHEET'!I32)</f>
        <v/>
      </c>
      <c r="L32" s="25" t="str">
        <f>IF('GREEN SHEET'!J32="","",'GREEN SHEET'!J32)</f>
        <v/>
      </c>
      <c r="M32" s="25" t="str">
        <f>IF('GREEN SHEET'!K32="","",'GREEN SHEET'!K32)</f>
        <v/>
      </c>
      <c r="N32" s="166" t="str">
        <f>IF(F32="","",IF('GREEN SHEET'!AB32="",'GREEN SHEET'!Y32,'GREEN SHEET'!AB32))</f>
        <v/>
      </c>
      <c r="O32" s="166" t="str">
        <f>IF(F32="","",IF('GREEN SHEET'!AC32="",'GREEN SHEET'!Z32,'GREEN SHEET'!AC32))</f>
        <v/>
      </c>
      <c r="P32" s="167" t="str">
        <f>IF(F32="","",IF('GREEN SHEET'!AV32="",'GREEN SHEET'!AS32,'GREEN SHEET'!AV32))</f>
        <v/>
      </c>
      <c r="Q32" s="167" t="str">
        <f>IF(F32="","",IF('GREEN SHEET'!AW32="",'GREEN SHEET'!AT32,'GREEN SHEET'!AW32))</f>
        <v/>
      </c>
      <c r="R32" s="166" t="str">
        <f>IF(F32="","",IF('GREEN SHEET'!BO32="",'GREEN SHEET'!BL32,'GREEN SHEET'!BO32))</f>
        <v/>
      </c>
      <c r="S32" s="166" t="str">
        <f>IF(F32="","",IF('GREEN SHEET'!BP32="",'GREEN SHEET'!BM32,'GREEN SHEET'!BP32))</f>
        <v/>
      </c>
      <c r="T32" s="167" t="str">
        <f>IF(F32="","",IF('GREEN SHEET'!CH32="",'GREEN SHEET'!CE32,'GREEN SHEET'!CH32))</f>
        <v/>
      </c>
      <c r="U32" s="167" t="str">
        <f>IF(F32="","",IF('GREEN SHEET'!CI32="",'GREEN SHEET'!CF32,'GREEN SHEET'!CI32))</f>
        <v/>
      </c>
      <c r="V32" s="168" t="str">
        <f>IF(F32="","",IF('GREEN SHEET'!DA32="",'GREEN SHEET'!CX32,'GREEN SHEET'!DA32))</f>
        <v/>
      </c>
      <c r="W32" s="168" t="str">
        <f>IF(F32="","",IF('GREEN SHEET'!DB32="",'GREEN SHEET'!CY32,'GREEN SHEET'!DB32))</f>
        <v/>
      </c>
      <c r="X32" s="167" t="str">
        <f>IF(F32="","",IF('GREEN SHEET'!DT32="",'GREEN SHEET'!DQ32,'GREEN SHEET'!DT32))</f>
        <v/>
      </c>
      <c r="Y32" s="167" t="str">
        <f>IF(F32="","",IF('GREEN SHEET'!DU32="",'GREEN SHEET'!DR32,'GREEN SHEET'!DU32))</f>
        <v/>
      </c>
      <c r="Z32" s="169" t="str">
        <f>IF(F32="","",IF('GREEN SHEET'!FH32="",'GREEN SHEET'!EH32,'GREEN SHEET'!FH32))</f>
        <v/>
      </c>
      <c r="AA32" s="170" t="str">
        <f t="shared" si="1"/>
        <v/>
      </c>
      <c r="AB32" s="171" t="str">
        <f t="shared" si="6"/>
        <v/>
      </c>
      <c r="AC32" s="171" t="str">
        <f>IF(F32="","",IF('GREEN SHEET'!EN32="","",'GREEN SHEET'!EN32))</f>
        <v/>
      </c>
      <c r="AD32" s="174" t="str">
        <f>IF(AA32="","",RANK(AA32,AA$7:$AA$51,0)+COUNTIF($AA$7:AA32,AA32)-1)</f>
        <v/>
      </c>
      <c r="AE32" s="174" t="str">
        <f t="shared" si="2"/>
        <v/>
      </c>
      <c r="AF32" s="174" t="str">
        <f t="shared" si="3"/>
        <v/>
      </c>
      <c r="AG32" s="174" t="str">
        <f t="shared" si="4"/>
        <v/>
      </c>
    </row>
    <row r="33" spans="1:33" ht="16.8" hidden="1" x14ac:dyDescent="0.25">
      <c r="A33" s="154"/>
      <c r="B33" s="25">
        <v>27</v>
      </c>
      <c r="C33" s="173" t="str">
        <f t="shared" si="5"/>
        <v/>
      </c>
      <c r="D33" s="173" t="str">
        <f t="shared" si="0"/>
        <v/>
      </c>
      <c r="E33" s="25" t="str">
        <f>IF('GREEN SHEET'!C33="","",'GREEN SHEET'!C33)</f>
        <v/>
      </c>
      <c r="F33" s="25" t="str">
        <f>IF('GREEN SHEET'!D33="","",'GREEN SHEET'!D33)</f>
        <v/>
      </c>
      <c r="G33" s="25" t="str">
        <f>IF('GREEN SHEET'!E33="","",'GREEN SHEET'!E33)</f>
        <v/>
      </c>
      <c r="H33" s="25" t="str">
        <f>IF('GREEN SHEET'!F33="","",'GREEN SHEET'!F33)</f>
        <v/>
      </c>
      <c r="I33" s="25" t="str">
        <f>IF('GREEN SHEET'!G33="","",'GREEN SHEET'!G33)</f>
        <v/>
      </c>
      <c r="J33" s="25" t="str">
        <f>IF('GREEN SHEET'!H33="","",'GREEN SHEET'!H33)</f>
        <v/>
      </c>
      <c r="K33" s="25" t="str">
        <f>IF('GREEN SHEET'!I33="","",'GREEN SHEET'!I33)</f>
        <v/>
      </c>
      <c r="L33" s="25" t="str">
        <f>IF('GREEN SHEET'!J33="","",'GREEN SHEET'!J33)</f>
        <v/>
      </c>
      <c r="M33" s="25" t="str">
        <f>IF('GREEN SHEET'!K33="","",'GREEN SHEET'!K33)</f>
        <v/>
      </c>
      <c r="N33" s="166" t="str">
        <f>IF(F33="","",IF('GREEN SHEET'!AB33="",'GREEN SHEET'!Y33,'GREEN SHEET'!AB33))</f>
        <v/>
      </c>
      <c r="O33" s="166" t="str">
        <f>IF(F33="","",IF('GREEN SHEET'!AC33="",'GREEN SHEET'!Z33,'GREEN SHEET'!AC33))</f>
        <v/>
      </c>
      <c r="P33" s="167" t="str">
        <f>IF(F33="","",IF('GREEN SHEET'!AV33="",'GREEN SHEET'!AS33,'GREEN SHEET'!AV33))</f>
        <v/>
      </c>
      <c r="Q33" s="167" t="str">
        <f>IF(F33="","",IF('GREEN SHEET'!AW33="",'GREEN SHEET'!AT33,'GREEN SHEET'!AW33))</f>
        <v/>
      </c>
      <c r="R33" s="166" t="str">
        <f>IF(F33="","",IF('GREEN SHEET'!BO33="",'GREEN SHEET'!BL33,'GREEN SHEET'!BO33))</f>
        <v/>
      </c>
      <c r="S33" s="166" t="str">
        <f>IF(F33="","",IF('GREEN SHEET'!BP33="",'GREEN SHEET'!BM33,'GREEN SHEET'!BP33))</f>
        <v/>
      </c>
      <c r="T33" s="167" t="str">
        <f>IF(F33="","",IF('GREEN SHEET'!CH33="",'GREEN SHEET'!CE33,'GREEN SHEET'!CH33))</f>
        <v/>
      </c>
      <c r="U33" s="167" t="str">
        <f>IF(F33="","",IF('GREEN SHEET'!CI33="",'GREEN SHEET'!CF33,'GREEN SHEET'!CI33))</f>
        <v/>
      </c>
      <c r="V33" s="168" t="str">
        <f>IF(F33="","",IF('GREEN SHEET'!DA33="",'GREEN SHEET'!CX33,'GREEN SHEET'!DA33))</f>
        <v/>
      </c>
      <c r="W33" s="168" t="str">
        <f>IF(F33="","",IF('GREEN SHEET'!DB33="",'GREEN SHEET'!CY33,'GREEN SHEET'!DB33))</f>
        <v/>
      </c>
      <c r="X33" s="167" t="str">
        <f>IF(F33="","",IF('GREEN SHEET'!DT33="",'GREEN SHEET'!DQ33,'GREEN SHEET'!DT33))</f>
        <v/>
      </c>
      <c r="Y33" s="167" t="str">
        <f>IF(F33="","",IF('GREEN SHEET'!DU33="",'GREEN SHEET'!DR33,'GREEN SHEET'!DU33))</f>
        <v/>
      </c>
      <c r="Z33" s="169" t="str">
        <f>IF(F33="","",IF('GREEN SHEET'!FH33="",'GREEN SHEET'!EH33,'GREEN SHEET'!FH33))</f>
        <v/>
      </c>
      <c r="AA33" s="170" t="str">
        <f t="shared" si="1"/>
        <v/>
      </c>
      <c r="AB33" s="171" t="str">
        <f t="shared" si="6"/>
        <v/>
      </c>
      <c r="AC33" s="171" t="str">
        <f>IF(F33="","",IF('GREEN SHEET'!EN33="","",'GREEN SHEET'!EN33))</f>
        <v/>
      </c>
      <c r="AD33" s="174" t="str">
        <f>IF(AA33="","",RANK(AA33,AA$7:$AA$51,0)+COUNTIF($AA$7:AA33,AA33)-1)</f>
        <v/>
      </c>
      <c r="AE33" s="174" t="str">
        <f t="shared" si="2"/>
        <v/>
      </c>
      <c r="AF33" s="174" t="str">
        <f t="shared" si="3"/>
        <v/>
      </c>
      <c r="AG33" s="174" t="str">
        <f t="shared" si="4"/>
        <v/>
      </c>
    </row>
    <row r="34" spans="1:33" ht="16.8" hidden="1" x14ac:dyDescent="0.25">
      <c r="A34" s="154"/>
      <c r="B34" s="25">
        <v>28</v>
      </c>
      <c r="C34" s="173" t="str">
        <f t="shared" si="5"/>
        <v/>
      </c>
      <c r="D34" s="173" t="str">
        <f t="shared" si="0"/>
        <v/>
      </c>
      <c r="E34" s="25" t="str">
        <f>IF('GREEN SHEET'!C34="","",'GREEN SHEET'!C34)</f>
        <v/>
      </c>
      <c r="F34" s="25" t="str">
        <f>IF('GREEN SHEET'!D34="","",'GREEN SHEET'!D34)</f>
        <v/>
      </c>
      <c r="G34" s="25" t="str">
        <f>IF('GREEN SHEET'!E34="","",'GREEN SHEET'!E34)</f>
        <v/>
      </c>
      <c r="H34" s="25" t="str">
        <f>IF('GREEN SHEET'!F34="","",'GREEN SHEET'!F34)</f>
        <v/>
      </c>
      <c r="I34" s="25" t="str">
        <f>IF('GREEN SHEET'!G34="","",'GREEN SHEET'!G34)</f>
        <v/>
      </c>
      <c r="J34" s="25" t="str">
        <f>IF('GREEN SHEET'!H34="","",'GREEN SHEET'!H34)</f>
        <v/>
      </c>
      <c r="K34" s="25" t="str">
        <f>IF('GREEN SHEET'!I34="","",'GREEN SHEET'!I34)</f>
        <v/>
      </c>
      <c r="L34" s="25" t="str">
        <f>IF('GREEN SHEET'!J34="","",'GREEN SHEET'!J34)</f>
        <v/>
      </c>
      <c r="M34" s="25" t="str">
        <f>IF('GREEN SHEET'!K34="","",'GREEN SHEET'!K34)</f>
        <v/>
      </c>
      <c r="N34" s="166" t="str">
        <f>IF(F34="","",IF('GREEN SHEET'!AB34="",'GREEN SHEET'!Y34,'GREEN SHEET'!AB34))</f>
        <v/>
      </c>
      <c r="O34" s="166" t="str">
        <f>IF(F34="","",IF('GREEN SHEET'!AC34="",'GREEN SHEET'!Z34,'GREEN SHEET'!AC34))</f>
        <v/>
      </c>
      <c r="P34" s="167" t="str">
        <f>IF(F34="","",IF('GREEN SHEET'!AV34="",'GREEN SHEET'!AS34,'GREEN SHEET'!AV34))</f>
        <v/>
      </c>
      <c r="Q34" s="167" t="str">
        <f>IF(F34="","",IF('GREEN SHEET'!AW34="",'GREEN SHEET'!AT34,'GREEN SHEET'!AW34))</f>
        <v/>
      </c>
      <c r="R34" s="166" t="str">
        <f>IF(F34="","",IF('GREEN SHEET'!BO34="",'GREEN SHEET'!BL34,'GREEN SHEET'!BO34))</f>
        <v/>
      </c>
      <c r="S34" s="166" t="str">
        <f>IF(F34="","",IF('GREEN SHEET'!BP34="",'GREEN SHEET'!BM34,'GREEN SHEET'!BP34))</f>
        <v/>
      </c>
      <c r="T34" s="167" t="str">
        <f>IF(F34="","",IF('GREEN SHEET'!CH34="",'GREEN SHEET'!CE34,'GREEN SHEET'!CH34))</f>
        <v/>
      </c>
      <c r="U34" s="167" t="str">
        <f>IF(F34="","",IF('GREEN SHEET'!CI34="",'GREEN SHEET'!CF34,'GREEN SHEET'!CI34))</f>
        <v/>
      </c>
      <c r="V34" s="168" t="str">
        <f>IF(F34="","",IF('GREEN SHEET'!DA34="",'GREEN SHEET'!CX34,'GREEN SHEET'!DA34))</f>
        <v/>
      </c>
      <c r="W34" s="168" t="str">
        <f>IF(F34="","",IF('GREEN SHEET'!DB34="",'GREEN SHEET'!CY34,'GREEN SHEET'!DB34))</f>
        <v/>
      </c>
      <c r="X34" s="167" t="str">
        <f>IF(F34="","",IF('GREEN SHEET'!DT34="",'GREEN SHEET'!DQ34,'GREEN SHEET'!DT34))</f>
        <v/>
      </c>
      <c r="Y34" s="167" t="str">
        <f>IF(F34="","",IF('GREEN SHEET'!DU34="",'GREEN SHEET'!DR34,'GREEN SHEET'!DU34))</f>
        <v/>
      </c>
      <c r="Z34" s="169" t="str">
        <f>IF(F34="","",IF('GREEN SHEET'!FH34="",'GREEN SHEET'!EH34,'GREEN SHEET'!FH34))</f>
        <v/>
      </c>
      <c r="AA34" s="170" t="str">
        <f t="shared" si="1"/>
        <v/>
      </c>
      <c r="AB34" s="171" t="str">
        <f t="shared" si="6"/>
        <v/>
      </c>
      <c r="AC34" s="171" t="str">
        <f>IF(F34="","",IF('GREEN SHEET'!EN34="","",'GREEN SHEET'!EN34))</f>
        <v/>
      </c>
      <c r="AD34" s="174" t="str">
        <f>IF(AA34="","",RANK(AA34,AA$7:$AA$51,0)+COUNTIF($AA$7:AA34,AA34)-1)</f>
        <v/>
      </c>
      <c r="AE34" s="174" t="str">
        <f t="shared" si="2"/>
        <v/>
      </c>
      <c r="AF34" s="174" t="str">
        <f t="shared" si="3"/>
        <v/>
      </c>
      <c r="AG34" s="174" t="str">
        <f t="shared" si="4"/>
        <v/>
      </c>
    </row>
    <row r="35" spans="1:33" ht="16.8" hidden="1" x14ac:dyDescent="0.25">
      <c r="A35" s="154"/>
      <c r="B35" s="25">
        <v>29</v>
      </c>
      <c r="C35" s="173" t="str">
        <f t="shared" si="5"/>
        <v/>
      </c>
      <c r="D35" s="173" t="str">
        <f t="shared" si="0"/>
        <v/>
      </c>
      <c r="E35" s="25" t="str">
        <f>IF('GREEN SHEET'!C35="","",'GREEN SHEET'!C35)</f>
        <v/>
      </c>
      <c r="F35" s="25" t="str">
        <f>IF('GREEN SHEET'!D35="","",'GREEN SHEET'!D35)</f>
        <v/>
      </c>
      <c r="G35" s="25" t="str">
        <f>IF('GREEN SHEET'!E35="","",'GREEN SHEET'!E35)</f>
        <v/>
      </c>
      <c r="H35" s="25" t="str">
        <f>IF('GREEN SHEET'!F35="","",'GREEN SHEET'!F35)</f>
        <v/>
      </c>
      <c r="I35" s="25" t="str">
        <f>IF('GREEN SHEET'!G35="","",'GREEN SHEET'!G35)</f>
        <v/>
      </c>
      <c r="J35" s="25" t="str">
        <f>IF('GREEN SHEET'!H35="","",'GREEN SHEET'!H35)</f>
        <v/>
      </c>
      <c r="K35" s="25" t="str">
        <f>IF('GREEN SHEET'!I35="","",'GREEN SHEET'!I35)</f>
        <v/>
      </c>
      <c r="L35" s="25" t="str">
        <f>IF('GREEN SHEET'!J35="","",'GREEN SHEET'!J35)</f>
        <v/>
      </c>
      <c r="M35" s="25" t="str">
        <f>IF('GREEN SHEET'!K35="","",'GREEN SHEET'!K35)</f>
        <v/>
      </c>
      <c r="N35" s="166" t="str">
        <f>IF(F35="","",IF('GREEN SHEET'!AB35="",'GREEN SHEET'!Y35,'GREEN SHEET'!AB35))</f>
        <v/>
      </c>
      <c r="O35" s="166" t="str">
        <f>IF(F35="","",IF('GREEN SHEET'!AC35="",'GREEN SHEET'!Z35,'GREEN SHEET'!AC35))</f>
        <v/>
      </c>
      <c r="P35" s="167" t="str">
        <f>IF(F35="","",IF('GREEN SHEET'!AV35="",'GREEN SHEET'!AS35,'GREEN SHEET'!AV35))</f>
        <v/>
      </c>
      <c r="Q35" s="167" t="str">
        <f>IF(F35="","",IF('GREEN SHEET'!AW35="",'GREEN SHEET'!AT35,'GREEN SHEET'!AW35))</f>
        <v/>
      </c>
      <c r="R35" s="166" t="str">
        <f>IF(F35="","",IF('GREEN SHEET'!BO35="",'GREEN SHEET'!BL35,'GREEN SHEET'!BO35))</f>
        <v/>
      </c>
      <c r="S35" s="166" t="str">
        <f>IF(F35="","",IF('GREEN SHEET'!BP35="",'GREEN SHEET'!BM35,'GREEN SHEET'!BP35))</f>
        <v/>
      </c>
      <c r="T35" s="167" t="str">
        <f>IF(F35="","",IF('GREEN SHEET'!CH35="",'GREEN SHEET'!CE35,'GREEN SHEET'!CH35))</f>
        <v/>
      </c>
      <c r="U35" s="167" t="str">
        <f>IF(F35="","",IF('GREEN SHEET'!CI35="",'GREEN SHEET'!CF35,'GREEN SHEET'!CI35))</f>
        <v/>
      </c>
      <c r="V35" s="168" t="str">
        <f>IF(F35="","",IF('GREEN SHEET'!DA35="",'GREEN SHEET'!CX35,'GREEN SHEET'!DA35))</f>
        <v/>
      </c>
      <c r="W35" s="168" t="str">
        <f>IF(F35="","",IF('GREEN SHEET'!DB35="",'GREEN SHEET'!CY35,'GREEN SHEET'!DB35))</f>
        <v/>
      </c>
      <c r="X35" s="167" t="str">
        <f>IF(F35="","",IF('GREEN SHEET'!DT35="",'GREEN SHEET'!DQ35,'GREEN SHEET'!DT35))</f>
        <v/>
      </c>
      <c r="Y35" s="167" t="str">
        <f>IF(F35="","",IF('GREEN SHEET'!DU35="",'GREEN SHEET'!DR35,'GREEN SHEET'!DU35))</f>
        <v/>
      </c>
      <c r="Z35" s="169" t="str">
        <f>IF(F35="","",IF('GREEN SHEET'!FH35="",'GREEN SHEET'!EH35,'GREEN SHEET'!FH35))</f>
        <v/>
      </c>
      <c r="AA35" s="170" t="str">
        <f t="shared" si="1"/>
        <v/>
      </c>
      <c r="AB35" s="171" t="str">
        <f t="shared" si="6"/>
        <v/>
      </c>
      <c r="AC35" s="171" t="str">
        <f>IF(F35="","",IF('GREEN SHEET'!EN35="","",'GREEN SHEET'!EN35))</f>
        <v/>
      </c>
      <c r="AD35" s="174" t="str">
        <f>IF(AA35="","",RANK(AA35,AA$7:$AA$51,0)+COUNTIF($AA$7:AA35,AA35)-1)</f>
        <v/>
      </c>
      <c r="AE35" s="174" t="str">
        <f t="shared" si="2"/>
        <v/>
      </c>
      <c r="AF35" s="174" t="str">
        <f t="shared" si="3"/>
        <v/>
      </c>
      <c r="AG35" s="174" t="str">
        <f t="shared" si="4"/>
        <v/>
      </c>
    </row>
    <row r="36" spans="1:33" ht="16.8" hidden="1" x14ac:dyDescent="0.25">
      <c r="A36" s="154"/>
      <c r="B36" s="25">
        <v>30</v>
      </c>
      <c r="C36" s="173" t="str">
        <f t="shared" si="5"/>
        <v/>
      </c>
      <c r="D36" s="173" t="str">
        <f t="shared" si="0"/>
        <v/>
      </c>
      <c r="E36" s="25" t="str">
        <f>IF('GREEN SHEET'!C36="","",'GREEN SHEET'!C36)</f>
        <v/>
      </c>
      <c r="F36" s="25" t="str">
        <f>IF('GREEN SHEET'!D36="","",'GREEN SHEET'!D36)</f>
        <v/>
      </c>
      <c r="G36" s="25" t="str">
        <f>IF('GREEN SHEET'!E36="","",'GREEN SHEET'!E36)</f>
        <v/>
      </c>
      <c r="H36" s="25" t="str">
        <f>IF('GREEN SHEET'!F36="","",'GREEN SHEET'!F36)</f>
        <v/>
      </c>
      <c r="I36" s="25" t="str">
        <f>IF('GREEN SHEET'!G36="","",'GREEN SHEET'!G36)</f>
        <v/>
      </c>
      <c r="J36" s="25" t="str">
        <f>IF('GREEN SHEET'!H36="","",'GREEN SHEET'!H36)</f>
        <v/>
      </c>
      <c r="K36" s="25" t="str">
        <f>IF('GREEN SHEET'!I36="","",'GREEN SHEET'!I36)</f>
        <v/>
      </c>
      <c r="L36" s="25" t="str">
        <f>IF('GREEN SHEET'!J36="","",'GREEN SHEET'!J36)</f>
        <v/>
      </c>
      <c r="M36" s="25" t="str">
        <f>IF('GREEN SHEET'!K36="","",'GREEN SHEET'!K36)</f>
        <v/>
      </c>
      <c r="N36" s="166" t="str">
        <f>IF(F36="","",IF('GREEN SHEET'!AB36="",'GREEN SHEET'!Y36,'GREEN SHEET'!AB36))</f>
        <v/>
      </c>
      <c r="O36" s="166" t="str">
        <f>IF(F36="","",IF('GREEN SHEET'!AC36="",'GREEN SHEET'!Z36,'GREEN SHEET'!AC36))</f>
        <v/>
      </c>
      <c r="P36" s="167" t="str">
        <f>IF(F36="","",IF('GREEN SHEET'!AV36="",'GREEN SHEET'!AS36,'GREEN SHEET'!AV36))</f>
        <v/>
      </c>
      <c r="Q36" s="167" t="str">
        <f>IF(F36="","",IF('GREEN SHEET'!AW36="",'GREEN SHEET'!AT36,'GREEN SHEET'!AW36))</f>
        <v/>
      </c>
      <c r="R36" s="166" t="str">
        <f>IF(F36="","",IF('GREEN SHEET'!BO36="",'GREEN SHEET'!BL36,'GREEN SHEET'!BO36))</f>
        <v/>
      </c>
      <c r="S36" s="166" t="str">
        <f>IF(F36="","",IF('GREEN SHEET'!BP36="",'GREEN SHEET'!BM36,'GREEN SHEET'!BP36))</f>
        <v/>
      </c>
      <c r="T36" s="167" t="str">
        <f>IF(F36="","",IF('GREEN SHEET'!CH36="",'GREEN SHEET'!CE36,'GREEN SHEET'!CH36))</f>
        <v/>
      </c>
      <c r="U36" s="167" t="str">
        <f>IF(F36="","",IF('GREEN SHEET'!CI36="",'GREEN SHEET'!CF36,'GREEN SHEET'!CI36))</f>
        <v/>
      </c>
      <c r="V36" s="168" t="str">
        <f>IF(F36="","",IF('GREEN SHEET'!DA36="",'GREEN SHEET'!CX36,'GREEN SHEET'!DA36))</f>
        <v/>
      </c>
      <c r="W36" s="168" t="str">
        <f>IF(F36="","",IF('GREEN SHEET'!DB36="",'GREEN SHEET'!CY36,'GREEN SHEET'!DB36))</f>
        <v/>
      </c>
      <c r="X36" s="167" t="str">
        <f>IF(F36="","",IF('GREEN SHEET'!DT36="",'GREEN SHEET'!DQ36,'GREEN SHEET'!DT36))</f>
        <v/>
      </c>
      <c r="Y36" s="167" t="str">
        <f>IF(F36="","",IF('GREEN SHEET'!DU36="",'GREEN SHEET'!DR36,'GREEN SHEET'!DU36))</f>
        <v/>
      </c>
      <c r="Z36" s="169" t="str">
        <f>IF(F36="","",IF('GREEN SHEET'!FH36="",'GREEN SHEET'!EH36,'GREEN SHEET'!FH36))</f>
        <v/>
      </c>
      <c r="AA36" s="170" t="str">
        <f t="shared" si="1"/>
        <v/>
      </c>
      <c r="AB36" s="171" t="str">
        <f t="shared" si="6"/>
        <v/>
      </c>
      <c r="AC36" s="171" t="str">
        <f>IF(F36="","",IF('GREEN SHEET'!EN36="","",'GREEN SHEET'!EN36))</f>
        <v/>
      </c>
      <c r="AD36" s="174" t="str">
        <f>IF(AA36="","",RANK(AA36,AA$7:$AA$51,0)+COUNTIF($AA$7:AA36,AA36)-1)</f>
        <v/>
      </c>
      <c r="AE36" s="174" t="str">
        <f t="shared" si="2"/>
        <v/>
      </c>
      <c r="AF36" s="174" t="str">
        <f t="shared" si="3"/>
        <v/>
      </c>
      <c r="AG36" s="174" t="str">
        <f t="shared" si="4"/>
        <v/>
      </c>
    </row>
    <row r="37" spans="1:33" ht="16.8" hidden="1" x14ac:dyDescent="0.25">
      <c r="A37" s="154"/>
      <c r="B37" s="25">
        <v>31</v>
      </c>
      <c r="C37" s="173" t="str">
        <f t="shared" si="5"/>
        <v/>
      </c>
      <c r="D37" s="173" t="str">
        <f t="shared" si="0"/>
        <v/>
      </c>
      <c r="E37" s="25" t="str">
        <f>IF('GREEN SHEET'!C37="","",'GREEN SHEET'!C37)</f>
        <v/>
      </c>
      <c r="F37" s="25" t="str">
        <f>IF('GREEN SHEET'!D37="","",'GREEN SHEET'!D37)</f>
        <v/>
      </c>
      <c r="G37" s="25" t="str">
        <f>IF('GREEN SHEET'!E37="","",'GREEN SHEET'!E37)</f>
        <v/>
      </c>
      <c r="H37" s="25" t="str">
        <f>IF('GREEN SHEET'!F37="","",'GREEN SHEET'!F37)</f>
        <v/>
      </c>
      <c r="I37" s="25" t="str">
        <f>IF('GREEN SHEET'!G37="","",'GREEN SHEET'!G37)</f>
        <v/>
      </c>
      <c r="J37" s="25" t="str">
        <f>IF('GREEN SHEET'!H37="","",'GREEN SHEET'!H37)</f>
        <v/>
      </c>
      <c r="K37" s="25" t="str">
        <f>IF('GREEN SHEET'!I37="","",'GREEN SHEET'!I37)</f>
        <v/>
      </c>
      <c r="L37" s="25" t="str">
        <f>IF('GREEN SHEET'!J37="","",'GREEN SHEET'!J37)</f>
        <v/>
      </c>
      <c r="M37" s="25" t="str">
        <f>IF('GREEN SHEET'!K37="","",'GREEN SHEET'!K37)</f>
        <v/>
      </c>
      <c r="N37" s="166" t="str">
        <f>IF(F37="","",IF('GREEN SHEET'!AB37="",'GREEN SHEET'!Y37,'GREEN SHEET'!AB37))</f>
        <v/>
      </c>
      <c r="O37" s="166" t="str">
        <f>IF(F37="","",IF('GREEN SHEET'!AC37="",'GREEN SHEET'!Z37,'GREEN SHEET'!AC37))</f>
        <v/>
      </c>
      <c r="P37" s="167" t="str">
        <f>IF(F37="","",IF('GREEN SHEET'!AV37="",'GREEN SHEET'!AS37,'GREEN SHEET'!AV37))</f>
        <v/>
      </c>
      <c r="Q37" s="167" t="str">
        <f>IF(F37="","",IF('GREEN SHEET'!AW37="",'GREEN SHEET'!AT37,'GREEN SHEET'!AW37))</f>
        <v/>
      </c>
      <c r="R37" s="166" t="str">
        <f>IF(F37="","",IF('GREEN SHEET'!BO37="",'GREEN SHEET'!BL37,'GREEN SHEET'!BO37))</f>
        <v/>
      </c>
      <c r="S37" s="166" t="str">
        <f>IF(F37="","",IF('GREEN SHEET'!BP37="",'GREEN SHEET'!BM37,'GREEN SHEET'!BP37))</f>
        <v/>
      </c>
      <c r="T37" s="167" t="str">
        <f>IF(F37="","",IF('GREEN SHEET'!CH37="",'GREEN SHEET'!CE37,'GREEN SHEET'!CH37))</f>
        <v/>
      </c>
      <c r="U37" s="167" t="str">
        <f>IF(F37="","",IF('GREEN SHEET'!CI37="",'GREEN SHEET'!CF37,'GREEN SHEET'!CI37))</f>
        <v/>
      </c>
      <c r="V37" s="168" t="str">
        <f>IF(F37="","",IF('GREEN SHEET'!DA37="",'GREEN SHEET'!CX37,'GREEN SHEET'!DA37))</f>
        <v/>
      </c>
      <c r="W37" s="168" t="str">
        <f>IF(F37="","",IF('GREEN SHEET'!DB37="",'GREEN SHEET'!CY37,'GREEN SHEET'!DB37))</f>
        <v/>
      </c>
      <c r="X37" s="167" t="str">
        <f>IF(F37="","",IF('GREEN SHEET'!DT37="",'GREEN SHEET'!DQ37,'GREEN SHEET'!DT37))</f>
        <v/>
      </c>
      <c r="Y37" s="167" t="str">
        <f>IF(F37="","",IF('GREEN SHEET'!DU37="",'GREEN SHEET'!DR37,'GREEN SHEET'!DU37))</f>
        <v/>
      </c>
      <c r="Z37" s="169" t="str">
        <f>IF(F37="","",IF('GREEN SHEET'!FH37="",'GREEN SHEET'!EH37,'GREEN SHEET'!FH37))</f>
        <v/>
      </c>
      <c r="AA37" s="170" t="str">
        <f t="shared" si="1"/>
        <v/>
      </c>
      <c r="AB37" s="171" t="str">
        <f t="shared" si="6"/>
        <v/>
      </c>
      <c r="AC37" s="171" t="str">
        <f>IF(F37="","",IF('GREEN SHEET'!EN37="","",'GREEN SHEET'!EN37))</f>
        <v/>
      </c>
      <c r="AD37" s="174" t="str">
        <f>IF(AA37="","",RANK(AA37,AA$7:$AA$51,0)+COUNTIF($AA$7:AA37,AA37)-1)</f>
        <v/>
      </c>
      <c r="AE37" s="174" t="str">
        <f t="shared" si="2"/>
        <v/>
      </c>
      <c r="AF37" s="174" t="str">
        <f t="shared" si="3"/>
        <v/>
      </c>
      <c r="AG37" s="174" t="str">
        <f t="shared" si="4"/>
        <v/>
      </c>
    </row>
    <row r="38" spans="1:33" ht="16.8" hidden="1" x14ac:dyDescent="0.25">
      <c r="A38" s="154"/>
      <c r="B38" s="25">
        <v>32</v>
      </c>
      <c r="C38" s="173" t="str">
        <f t="shared" si="5"/>
        <v/>
      </c>
      <c r="D38" s="173" t="str">
        <f t="shared" si="0"/>
        <v/>
      </c>
      <c r="E38" s="25" t="str">
        <f>IF('GREEN SHEET'!C38="","",'GREEN SHEET'!C38)</f>
        <v/>
      </c>
      <c r="F38" s="25" t="str">
        <f>IF('GREEN SHEET'!D38="","",'GREEN SHEET'!D38)</f>
        <v/>
      </c>
      <c r="G38" s="25" t="str">
        <f>IF('GREEN SHEET'!E38="","",'GREEN SHEET'!E38)</f>
        <v/>
      </c>
      <c r="H38" s="25" t="str">
        <f>IF('GREEN SHEET'!F38="","",'GREEN SHEET'!F38)</f>
        <v/>
      </c>
      <c r="I38" s="25" t="str">
        <f>IF('GREEN SHEET'!G38="","",'GREEN SHEET'!G38)</f>
        <v/>
      </c>
      <c r="J38" s="25" t="str">
        <f>IF('GREEN SHEET'!H38="","",'GREEN SHEET'!H38)</f>
        <v/>
      </c>
      <c r="K38" s="25" t="str">
        <f>IF('GREEN SHEET'!I38="","",'GREEN SHEET'!I38)</f>
        <v/>
      </c>
      <c r="L38" s="25" t="str">
        <f>IF('GREEN SHEET'!J38="","",'GREEN SHEET'!J38)</f>
        <v/>
      </c>
      <c r="M38" s="25" t="str">
        <f>IF('GREEN SHEET'!K38="","",'GREEN SHEET'!K38)</f>
        <v/>
      </c>
      <c r="N38" s="166" t="str">
        <f>IF(F38="","",IF('GREEN SHEET'!AB38="",'GREEN SHEET'!Y38,'GREEN SHEET'!AB38))</f>
        <v/>
      </c>
      <c r="O38" s="166" t="str">
        <f>IF(F38="","",IF('GREEN SHEET'!AC38="",'GREEN SHEET'!Z38,'GREEN SHEET'!AC38))</f>
        <v/>
      </c>
      <c r="P38" s="167" t="str">
        <f>IF(F38="","",IF('GREEN SHEET'!AV38="",'GREEN SHEET'!AS38,'GREEN SHEET'!AV38))</f>
        <v/>
      </c>
      <c r="Q38" s="167" t="str">
        <f>IF(F38="","",IF('GREEN SHEET'!AW38="",'GREEN SHEET'!AT38,'GREEN SHEET'!AW38))</f>
        <v/>
      </c>
      <c r="R38" s="166" t="str">
        <f>IF(F38="","",IF('GREEN SHEET'!BO38="",'GREEN SHEET'!BL38,'GREEN SHEET'!BO38))</f>
        <v/>
      </c>
      <c r="S38" s="166" t="str">
        <f>IF(F38="","",IF('GREEN SHEET'!BP38="",'GREEN SHEET'!BM38,'GREEN SHEET'!BP38))</f>
        <v/>
      </c>
      <c r="T38" s="167" t="str">
        <f>IF(F38="","",IF('GREEN SHEET'!CH38="",'GREEN SHEET'!CE38,'GREEN SHEET'!CH38))</f>
        <v/>
      </c>
      <c r="U38" s="167" t="str">
        <f>IF(F38="","",IF('GREEN SHEET'!CI38="",'GREEN SHEET'!CF38,'GREEN SHEET'!CI38))</f>
        <v/>
      </c>
      <c r="V38" s="168" t="str">
        <f>IF(F38="","",IF('GREEN SHEET'!DA38="",'GREEN SHEET'!CX38,'GREEN SHEET'!DA38))</f>
        <v/>
      </c>
      <c r="W38" s="168" t="str">
        <f>IF(F38="","",IF('GREEN SHEET'!DB38="",'GREEN SHEET'!CY38,'GREEN SHEET'!DB38))</f>
        <v/>
      </c>
      <c r="X38" s="167" t="str">
        <f>IF(F38="","",IF('GREEN SHEET'!DT38="",'GREEN SHEET'!DQ38,'GREEN SHEET'!DT38))</f>
        <v/>
      </c>
      <c r="Y38" s="167" t="str">
        <f>IF(F38="","",IF('GREEN SHEET'!DU38="",'GREEN SHEET'!DR38,'GREEN SHEET'!DU38))</f>
        <v/>
      </c>
      <c r="Z38" s="169" t="str">
        <f>IF(F38="","",IF('GREEN SHEET'!FH38="",'GREEN SHEET'!EH38,'GREEN SHEET'!FH38))</f>
        <v/>
      </c>
      <c r="AA38" s="170" t="str">
        <f t="shared" si="1"/>
        <v/>
      </c>
      <c r="AB38" s="171" t="str">
        <f t="shared" si="6"/>
        <v/>
      </c>
      <c r="AC38" s="171" t="str">
        <f>IF(F38="","",IF('GREEN SHEET'!EN38="","",'GREEN SHEET'!EN38))</f>
        <v/>
      </c>
      <c r="AD38" s="174" t="str">
        <f>IF(AA38="","",RANK(AA38,AA$7:$AA$51,0)+COUNTIF($AA$7:AA38,AA38)-1)</f>
        <v/>
      </c>
      <c r="AE38" s="174" t="str">
        <f t="shared" si="2"/>
        <v/>
      </c>
      <c r="AF38" s="174" t="str">
        <f t="shared" si="3"/>
        <v/>
      </c>
      <c r="AG38" s="174" t="str">
        <f t="shared" si="4"/>
        <v/>
      </c>
    </row>
    <row r="39" spans="1:33" ht="16.8" hidden="1" x14ac:dyDescent="0.25">
      <c r="A39" s="154"/>
      <c r="B39" s="25">
        <v>33</v>
      </c>
      <c r="C39" s="173" t="str">
        <f t="shared" si="5"/>
        <v/>
      </c>
      <c r="D39" s="173" t="str">
        <f t="shared" si="0"/>
        <v/>
      </c>
      <c r="E39" s="25" t="str">
        <f>IF('GREEN SHEET'!C39="","",'GREEN SHEET'!C39)</f>
        <v/>
      </c>
      <c r="F39" s="25" t="str">
        <f>IF('GREEN SHEET'!D39="","",'GREEN SHEET'!D39)</f>
        <v/>
      </c>
      <c r="G39" s="25" t="str">
        <f>IF('GREEN SHEET'!E39="","",'GREEN SHEET'!E39)</f>
        <v/>
      </c>
      <c r="H39" s="25" t="str">
        <f>IF('GREEN SHEET'!F39="","",'GREEN SHEET'!F39)</f>
        <v/>
      </c>
      <c r="I39" s="25" t="str">
        <f>IF('GREEN SHEET'!G39="","",'GREEN SHEET'!G39)</f>
        <v/>
      </c>
      <c r="J39" s="25" t="str">
        <f>IF('GREEN SHEET'!H39="","",'GREEN SHEET'!H39)</f>
        <v/>
      </c>
      <c r="K39" s="25" t="str">
        <f>IF('GREEN SHEET'!I39="","",'GREEN SHEET'!I39)</f>
        <v/>
      </c>
      <c r="L39" s="25" t="str">
        <f>IF('GREEN SHEET'!J39="","",'GREEN SHEET'!J39)</f>
        <v/>
      </c>
      <c r="M39" s="25" t="str">
        <f>IF('GREEN SHEET'!K39="","",'GREEN SHEET'!K39)</f>
        <v/>
      </c>
      <c r="N39" s="166" t="str">
        <f>IF(F39="","",IF('GREEN SHEET'!AB39="",'GREEN SHEET'!Y39,'GREEN SHEET'!AB39))</f>
        <v/>
      </c>
      <c r="O39" s="166" t="str">
        <f>IF(F39="","",IF('GREEN SHEET'!AC39="",'GREEN SHEET'!Z39,'GREEN SHEET'!AC39))</f>
        <v/>
      </c>
      <c r="P39" s="167" t="str">
        <f>IF(F39="","",IF('GREEN SHEET'!AV39="",'GREEN SHEET'!AS39,'GREEN SHEET'!AV39))</f>
        <v/>
      </c>
      <c r="Q39" s="167" t="str">
        <f>IF(F39="","",IF('GREEN SHEET'!AW39="",'GREEN SHEET'!AT39,'GREEN SHEET'!AW39))</f>
        <v/>
      </c>
      <c r="R39" s="166" t="str">
        <f>IF(F39="","",IF('GREEN SHEET'!BO39="",'GREEN SHEET'!BL39,'GREEN SHEET'!BO39))</f>
        <v/>
      </c>
      <c r="S39" s="166" t="str">
        <f>IF(F39="","",IF('GREEN SHEET'!BP39="",'GREEN SHEET'!BM39,'GREEN SHEET'!BP39))</f>
        <v/>
      </c>
      <c r="T39" s="167" t="str">
        <f>IF(F39="","",IF('GREEN SHEET'!CH39="",'GREEN SHEET'!CE39,'GREEN SHEET'!CH39))</f>
        <v/>
      </c>
      <c r="U39" s="167" t="str">
        <f>IF(F39="","",IF('GREEN SHEET'!CI39="",'GREEN SHEET'!CF39,'GREEN SHEET'!CI39))</f>
        <v/>
      </c>
      <c r="V39" s="168" t="str">
        <f>IF(F39="","",IF('GREEN SHEET'!DA39="",'GREEN SHEET'!CX39,'GREEN SHEET'!DA39))</f>
        <v/>
      </c>
      <c r="W39" s="168" t="str">
        <f>IF(F39="","",IF('GREEN SHEET'!DB39="",'GREEN SHEET'!CY39,'GREEN SHEET'!DB39))</f>
        <v/>
      </c>
      <c r="X39" s="167" t="str">
        <f>IF(F39="","",IF('GREEN SHEET'!DT39="",'GREEN SHEET'!DQ39,'GREEN SHEET'!DT39))</f>
        <v/>
      </c>
      <c r="Y39" s="167" t="str">
        <f>IF(F39="","",IF('GREEN SHEET'!DU39="",'GREEN SHEET'!DR39,'GREEN SHEET'!DU39))</f>
        <v/>
      </c>
      <c r="Z39" s="169" t="str">
        <f>IF(F39="","",IF('GREEN SHEET'!FH39="",'GREEN SHEET'!EH39,'GREEN SHEET'!FH39))</f>
        <v/>
      </c>
      <c r="AA39" s="170" t="str">
        <f t="shared" si="1"/>
        <v/>
      </c>
      <c r="AB39" s="171" t="str">
        <f t="shared" si="6"/>
        <v/>
      </c>
      <c r="AC39" s="171" t="str">
        <f>IF(F39="","",IF('GREEN SHEET'!EN39="","",'GREEN SHEET'!EN39))</f>
        <v/>
      </c>
      <c r="AD39" s="174" t="str">
        <f>IF(AA39="","",RANK(AA39,AA$7:$AA$51,0)+COUNTIF($AA$7:AA39,AA39)-1)</f>
        <v/>
      </c>
      <c r="AE39" s="174" t="str">
        <f t="shared" si="2"/>
        <v/>
      </c>
      <c r="AF39" s="174" t="str">
        <f t="shared" si="3"/>
        <v/>
      </c>
      <c r="AG39" s="174" t="str">
        <f t="shared" si="4"/>
        <v/>
      </c>
    </row>
    <row r="40" spans="1:33" ht="16.8" hidden="1" x14ac:dyDescent="0.25">
      <c r="A40" s="154"/>
      <c r="B40" s="25">
        <v>34</v>
      </c>
      <c r="C40" s="173" t="str">
        <f t="shared" si="5"/>
        <v/>
      </c>
      <c r="D40" s="173" t="str">
        <f t="shared" si="0"/>
        <v/>
      </c>
      <c r="E40" s="25" t="str">
        <f>IF('GREEN SHEET'!C40="","",'GREEN SHEET'!C40)</f>
        <v/>
      </c>
      <c r="F40" s="25" t="str">
        <f>IF('GREEN SHEET'!D40="","",'GREEN SHEET'!D40)</f>
        <v/>
      </c>
      <c r="G40" s="25" t="str">
        <f>IF('GREEN SHEET'!E40="","",'GREEN SHEET'!E40)</f>
        <v/>
      </c>
      <c r="H40" s="25" t="str">
        <f>IF('GREEN SHEET'!F40="","",'GREEN SHEET'!F40)</f>
        <v/>
      </c>
      <c r="I40" s="25" t="str">
        <f>IF('GREEN SHEET'!G40="","",'GREEN SHEET'!G40)</f>
        <v/>
      </c>
      <c r="J40" s="25" t="str">
        <f>IF('GREEN SHEET'!H40="","",'GREEN SHEET'!H40)</f>
        <v/>
      </c>
      <c r="K40" s="25" t="str">
        <f>IF('GREEN SHEET'!I40="","",'GREEN SHEET'!I40)</f>
        <v/>
      </c>
      <c r="L40" s="25" t="str">
        <f>IF('GREEN SHEET'!J40="","",'GREEN SHEET'!J40)</f>
        <v/>
      </c>
      <c r="M40" s="25" t="str">
        <f>IF('GREEN SHEET'!K40="","",'GREEN SHEET'!K40)</f>
        <v/>
      </c>
      <c r="N40" s="166" t="str">
        <f>IF(F40="","",IF('GREEN SHEET'!AB40="",'GREEN SHEET'!Y40,'GREEN SHEET'!AB40))</f>
        <v/>
      </c>
      <c r="O40" s="166" t="str">
        <f>IF(F40="","",IF('GREEN SHEET'!AC40="",'GREEN SHEET'!Z40,'GREEN SHEET'!AC40))</f>
        <v/>
      </c>
      <c r="P40" s="167" t="str">
        <f>IF(F40="","",IF('GREEN SHEET'!AV40="",'GREEN SHEET'!AS40,'GREEN SHEET'!AV40))</f>
        <v/>
      </c>
      <c r="Q40" s="167" t="str">
        <f>IF(F40="","",IF('GREEN SHEET'!AW40="",'GREEN SHEET'!AT40,'GREEN SHEET'!AW40))</f>
        <v/>
      </c>
      <c r="R40" s="166" t="str">
        <f>IF(F40="","",IF('GREEN SHEET'!BO40="",'GREEN SHEET'!BL40,'GREEN SHEET'!BO40))</f>
        <v/>
      </c>
      <c r="S40" s="166" t="str">
        <f>IF(F40="","",IF('GREEN SHEET'!BP40="",'GREEN SHEET'!BM40,'GREEN SHEET'!BP40))</f>
        <v/>
      </c>
      <c r="T40" s="167" t="str">
        <f>IF(F40="","",IF('GREEN SHEET'!CH40="",'GREEN SHEET'!CE40,'GREEN SHEET'!CH40))</f>
        <v/>
      </c>
      <c r="U40" s="167" t="str">
        <f>IF(F40="","",IF('GREEN SHEET'!CI40="",'GREEN SHEET'!CF40,'GREEN SHEET'!CI40))</f>
        <v/>
      </c>
      <c r="V40" s="168" t="str">
        <f>IF(F40="","",IF('GREEN SHEET'!DA40="",'GREEN SHEET'!CX40,'GREEN SHEET'!DA40))</f>
        <v/>
      </c>
      <c r="W40" s="168" t="str">
        <f>IF(F40="","",IF('GREEN SHEET'!DB40="",'GREEN SHEET'!CY40,'GREEN SHEET'!DB40))</f>
        <v/>
      </c>
      <c r="X40" s="167" t="str">
        <f>IF(F40="","",IF('GREEN SHEET'!DT40="",'GREEN SHEET'!DQ40,'GREEN SHEET'!DT40))</f>
        <v/>
      </c>
      <c r="Y40" s="167" t="str">
        <f>IF(F40="","",IF('GREEN SHEET'!DU40="",'GREEN SHEET'!DR40,'GREEN SHEET'!DU40))</f>
        <v/>
      </c>
      <c r="Z40" s="169" t="str">
        <f>IF(F40="","",IF('GREEN SHEET'!FH40="",'GREEN SHEET'!EH40,'GREEN SHEET'!FH40))</f>
        <v/>
      </c>
      <c r="AA40" s="170" t="str">
        <f t="shared" si="1"/>
        <v/>
      </c>
      <c r="AB40" s="171" t="str">
        <f t="shared" si="6"/>
        <v/>
      </c>
      <c r="AC40" s="171" t="str">
        <f>IF(F40="","",IF('GREEN SHEET'!EN40="","",'GREEN SHEET'!EN40))</f>
        <v/>
      </c>
      <c r="AD40" s="174" t="str">
        <f>IF(AA40="","",RANK(AA40,AA$7:$AA$51,0)+COUNTIF($AA$7:AA40,AA40)-1)</f>
        <v/>
      </c>
      <c r="AE40" s="174" t="str">
        <f t="shared" si="2"/>
        <v/>
      </c>
      <c r="AF40" s="174" t="str">
        <f t="shared" si="3"/>
        <v/>
      </c>
      <c r="AG40" s="174" t="str">
        <f t="shared" si="4"/>
        <v/>
      </c>
    </row>
    <row r="41" spans="1:33" ht="16.8" hidden="1" x14ac:dyDescent="0.25">
      <c r="A41" s="154"/>
      <c r="B41" s="25">
        <v>35</v>
      </c>
      <c r="C41" s="173" t="str">
        <f t="shared" si="5"/>
        <v/>
      </c>
      <c r="D41" s="173" t="str">
        <f t="shared" si="0"/>
        <v/>
      </c>
      <c r="E41" s="25" t="str">
        <f>IF('GREEN SHEET'!C41="","",'GREEN SHEET'!C41)</f>
        <v/>
      </c>
      <c r="F41" s="25" t="str">
        <f>IF('GREEN SHEET'!D41="","",'GREEN SHEET'!D41)</f>
        <v/>
      </c>
      <c r="G41" s="25" t="str">
        <f>IF('GREEN SHEET'!E41="","",'GREEN SHEET'!E41)</f>
        <v/>
      </c>
      <c r="H41" s="25" t="str">
        <f>IF('GREEN SHEET'!F41="","",'GREEN SHEET'!F41)</f>
        <v/>
      </c>
      <c r="I41" s="25" t="str">
        <f>IF('GREEN SHEET'!G41="","",'GREEN SHEET'!G41)</f>
        <v/>
      </c>
      <c r="J41" s="25" t="str">
        <f>IF('GREEN SHEET'!H41="","",'GREEN SHEET'!H41)</f>
        <v/>
      </c>
      <c r="K41" s="25" t="str">
        <f>IF('GREEN SHEET'!I41="","",'GREEN SHEET'!I41)</f>
        <v/>
      </c>
      <c r="L41" s="25" t="str">
        <f>IF('GREEN SHEET'!J41="","",'GREEN SHEET'!J41)</f>
        <v/>
      </c>
      <c r="M41" s="25" t="str">
        <f>IF('GREEN SHEET'!K41="","",'GREEN SHEET'!K41)</f>
        <v/>
      </c>
      <c r="N41" s="166" t="str">
        <f>IF(F41="","",IF('GREEN SHEET'!AB41="",'GREEN SHEET'!Y41,'GREEN SHEET'!AB41))</f>
        <v/>
      </c>
      <c r="O41" s="166" t="str">
        <f>IF(F41="","",IF('GREEN SHEET'!AC41="",'GREEN SHEET'!Z41,'GREEN SHEET'!AC41))</f>
        <v/>
      </c>
      <c r="P41" s="167" t="str">
        <f>IF(F41="","",IF('GREEN SHEET'!AV41="",'GREEN SHEET'!AS41,'GREEN SHEET'!AV41))</f>
        <v/>
      </c>
      <c r="Q41" s="167" t="str">
        <f>IF(F41="","",IF('GREEN SHEET'!AW41="",'GREEN SHEET'!AT41,'GREEN SHEET'!AW41))</f>
        <v/>
      </c>
      <c r="R41" s="166" t="str">
        <f>IF(F41="","",IF('GREEN SHEET'!BO41="",'GREEN SHEET'!BL41,'GREEN SHEET'!BO41))</f>
        <v/>
      </c>
      <c r="S41" s="166" t="str">
        <f>IF(F41="","",IF('GREEN SHEET'!BP41="",'GREEN SHEET'!BM41,'GREEN SHEET'!BP41))</f>
        <v/>
      </c>
      <c r="T41" s="167" t="str">
        <f>IF(F41="","",IF('GREEN SHEET'!CH41="",'GREEN SHEET'!CE41,'GREEN SHEET'!CH41))</f>
        <v/>
      </c>
      <c r="U41" s="167" t="str">
        <f>IF(F41="","",IF('GREEN SHEET'!CI41="",'GREEN SHEET'!CF41,'GREEN SHEET'!CI41))</f>
        <v/>
      </c>
      <c r="V41" s="168" t="str">
        <f>IF(F41="","",IF('GREEN SHEET'!DA41="",'GREEN SHEET'!CX41,'GREEN SHEET'!DA41))</f>
        <v/>
      </c>
      <c r="W41" s="168" t="str">
        <f>IF(F41="","",IF('GREEN SHEET'!DB41="",'GREEN SHEET'!CY41,'GREEN SHEET'!DB41))</f>
        <v/>
      </c>
      <c r="X41" s="167" t="str">
        <f>IF(F41="","",IF('GREEN SHEET'!DT41="",'GREEN SHEET'!DQ41,'GREEN SHEET'!DT41))</f>
        <v/>
      </c>
      <c r="Y41" s="167" t="str">
        <f>IF(F41="","",IF('GREEN SHEET'!DU41="",'GREEN SHEET'!DR41,'GREEN SHEET'!DU41))</f>
        <v/>
      </c>
      <c r="Z41" s="169" t="str">
        <f>IF(F41="","",IF('GREEN SHEET'!FH41="",'GREEN SHEET'!EH41,'GREEN SHEET'!FH41))</f>
        <v/>
      </c>
      <c r="AA41" s="170" t="str">
        <f t="shared" si="1"/>
        <v/>
      </c>
      <c r="AB41" s="171" t="str">
        <f t="shared" si="6"/>
        <v/>
      </c>
      <c r="AC41" s="171" t="str">
        <f>IF(F41="","",IF('GREEN SHEET'!EN41="","",'GREEN SHEET'!EN41))</f>
        <v/>
      </c>
      <c r="AD41" s="174" t="str">
        <f>IF(AA41="","",RANK(AA41,AA$7:$AA$51,0)+COUNTIF($AA$7:AA41,AA41)-1)</f>
        <v/>
      </c>
      <c r="AE41" s="174" t="str">
        <f t="shared" si="2"/>
        <v/>
      </c>
      <c r="AF41" s="174" t="str">
        <f t="shared" si="3"/>
        <v/>
      </c>
      <c r="AG41" s="174" t="str">
        <f t="shared" si="4"/>
        <v/>
      </c>
    </row>
    <row r="42" spans="1:33" ht="16.8" hidden="1" x14ac:dyDescent="0.25">
      <c r="A42" s="154"/>
      <c r="B42" s="25">
        <v>36</v>
      </c>
      <c r="C42" s="173" t="str">
        <f t="shared" si="5"/>
        <v/>
      </c>
      <c r="D42" s="173" t="str">
        <f t="shared" si="0"/>
        <v/>
      </c>
      <c r="E42" s="25" t="str">
        <f>IF('GREEN SHEET'!C42="","",'GREEN SHEET'!C42)</f>
        <v/>
      </c>
      <c r="F42" s="25" t="str">
        <f>IF('GREEN SHEET'!D42="","",'GREEN SHEET'!D42)</f>
        <v/>
      </c>
      <c r="G42" s="25" t="str">
        <f>IF('GREEN SHEET'!E42="","",'GREEN SHEET'!E42)</f>
        <v/>
      </c>
      <c r="H42" s="25" t="str">
        <f>IF('GREEN SHEET'!F42="","",'GREEN SHEET'!F42)</f>
        <v/>
      </c>
      <c r="I42" s="25" t="str">
        <f>IF('GREEN SHEET'!G42="","",'GREEN SHEET'!G42)</f>
        <v/>
      </c>
      <c r="J42" s="25" t="str">
        <f>IF('GREEN SHEET'!H42="","",'GREEN SHEET'!H42)</f>
        <v/>
      </c>
      <c r="K42" s="25" t="str">
        <f>IF('GREEN SHEET'!I42="","",'GREEN SHEET'!I42)</f>
        <v/>
      </c>
      <c r="L42" s="25" t="str">
        <f>IF('GREEN SHEET'!J42="","",'GREEN SHEET'!J42)</f>
        <v/>
      </c>
      <c r="M42" s="25" t="str">
        <f>IF('GREEN SHEET'!K42="","",'GREEN SHEET'!K42)</f>
        <v/>
      </c>
      <c r="N42" s="166" t="str">
        <f>IF(F42="","",IF('GREEN SHEET'!AB42="",'GREEN SHEET'!Y42,'GREEN SHEET'!AB42))</f>
        <v/>
      </c>
      <c r="O42" s="166" t="str">
        <f>IF(F42="","",IF('GREEN SHEET'!AC42="",'GREEN SHEET'!Z42,'GREEN SHEET'!AC42))</f>
        <v/>
      </c>
      <c r="P42" s="167" t="str">
        <f>IF(F42="","",IF('GREEN SHEET'!AV42="",'GREEN SHEET'!AS42,'GREEN SHEET'!AV42))</f>
        <v/>
      </c>
      <c r="Q42" s="167" t="str">
        <f>IF(F42="","",IF('GREEN SHEET'!AW42="",'GREEN SHEET'!AT42,'GREEN SHEET'!AW42))</f>
        <v/>
      </c>
      <c r="R42" s="166" t="str">
        <f>IF(F42="","",IF('GREEN SHEET'!BO42="",'GREEN SHEET'!BL42,'GREEN SHEET'!BO42))</f>
        <v/>
      </c>
      <c r="S42" s="166" t="str">
        <f>IF(F42="","",IF('GREEN SHEET'!BP42="",'GREEN SHEET'!BM42,'GREEN SHEET'!BP42))</f>
        <v/>
      </c>
      <c r="T42" s="167" t="str">
        <f>IF(F42="","",IF('GREEN SHEET'!CH42="",'GREEN SHEET'!CE42,'GREEN SHEET'!CH42))</f>
        <v/>
      </c>
      <c r="U42" s="167" t="str">
        <f>IF(F42="","",IF('GREEN SHEET'!CI42="",'GREEN SHEET'!CF42,'GREEN SHEET'!CI42))</f>
        <v/>
      </c>
      <c r="V42" s="168" t="str">
        <f>IF(F42="","",IF('GREEN SHEET'!DA42="",'GREEN SHEET'!CX42,'GREEN SHEET'!DA42))</f>
        <v/>
      </c>
      <c r="W42" s="168" t="str">
        <f>IF(F42="","",IF('GREEN SHEET'!DB42="",'GREEN SHEET'!CY42,'GREEN SHEET'!DB42))</f>
        <v/>
      </c>
      <c r="X42" s="167" t="str">
        <f>IF(F42="","",IF('GREEN SHEET'!DT42="",'GREEN SHEET'!DQ42,'GREEN SHEET'!DT42))</f>
        <v/>
      </c>
      <c r="Y42" s="167" t="str">
        <f>IF(F42="","",IF('GREEN SHEET'!DU42="",'GREEN SHEET'!DR42,'GREEN SHEET'!DU42))</f>
        <v/>
      </c>
      <c r="Z42" s="169" t="str">
        <f>IF(F42="","",IF('GREEN SHEET'!FH42="",'GREEN SHEET'!EH42,'GREEN SHEET'!FH42))</f>
        <v/>
      </c>
      <c r="AA42" s="170" t="str">
        <f t="shared" si="1"/>
        <v/>
      </c>
      <c r="AB42" s="171" t="str">
        <f t="shared" si="6"/>
        <v/>
      </c>
      <c r="AC42" s="171" t="str">
        <f>IF(F42="","",IF('GREEN SHEET'!EN42="","",'GREEN SHEET'!EN42))</f>
        <v/>
      </c>
      <c r="AD42" s="174" t="str">
        <f>IF(AA42="","",RANK(AA42,AA$7:$AA$51,0)+COUNTIF($AA$7:AA42,AA42)-1)</f>
        <v/>
      </c>
      <c r="AE42" s="174" t="str">
        <f t="shared" si="2"/>
        <v/>
      </c>
      <c r="AF42" s="174" t="str">
        <f t="shared" si="3"/>
        <v/>
      </c>
      <c r="AG42" s="174" t="str">
        <f t="shared" si="4"/>
        <v/>
      </c>
    </row>
    <row r="43" spans="1:33" ht="16.8" hidden="1" x14ac:dyDescent="0.25">
      <c r="A43" s="154"/>
      <c r="B43" s="25">
        <v>37</v>
      </c>
      <c r="C43" s="173" t="str">
        <f t="shared" si="5"/>
        <v/>
      </c>
      <c r="D43" s="173" t="str">
        <f t="shared" si="0"/>
        <v/>
      </c>
      <c r="E43" s="25" t="str">
        <f>IF('GREEN SHEET'!C43="","",'GREEN SHEET'!C43)</f>
        <v/>
      </c>
      <c r="F43" s="25" t="str">
        <f>IF('GREEN SHEET'!D43="","",'GREEN SHEET'!D43)</f>
        <v/>
      </c>
      <c r="G43" s="25" t="str">
        <f>IF('GREEN SHEET'!E43="","",'GREEN SHEET'!E43)</f>
        <v/>
      </c>
      <c r="H43" s="25" t="str">
        <f>IF('GREEN SHEET'!F43="","",'GREEN SHEET'!F43)</f>
        <v/>
      </c>
      <c r="I43" s="25" t="str">
        <f>IF('GREEN SHEET'!G43="","",'GREEN SHEET'!G43)</f>
        <v/>
      </c>
      <c r="J43" s="25" t="str">
        <f>IF('GREEN SHEET'!H43="","",'GREEN SHEET'!H43)</f>
        <v/>
      </c>
      <c r="K43" s="25" t="str">
        <f>IF('GREEN SHEET'!I43="","",'GREEN SHEET'!I43)</f>
        <v/>
      </c>
      <c r="L43" s="25" t="str">
        <f>IF('GREEN SHEET'!J43="","",'GREEN SHEET'!J43)</f>
        <v/>
      </c>
      <c r="M43" s="25" t="str">
        <f>IF('GREEN SHEET'!K43="","",'GREEN SHEET'!K43)</f>
        <v/>
      </c>
      <c r="N43" s="166" t="str">
        <f>IF(F43="","",IF('GREEN SHEET'!AB43="",'GREEN SHEET'!Y43,'GREEN SHEET'!AB43))</f>
        <v/>
      </c>
      <c r="O43" s="166" t="str">
        <f>IF(F43="","",IF('GREEN SHEET'!AC43="",'GREEN SHEET'!Z43,'GREEN SHEET'!AC43))</f>
        <v/>
      </c>
      <c r="P43" s="167" t="str">
        <f>IF(F43="","",IF('GREEN SHEET'!AV43="",'GREEN SHEET'!AS43,'GREEN SHEET'!AV43))</f>
        <v/>
      </c>
      <c r="Q43" s="167" t="str">
        <f>IF(F43="","",IF('GREEN SHEET'!AW43="",'GREEN SHEET'!AT43,'GREEN SHEET'!AW43))</f>
        <v/>
      </c>
      <c r="R43" s="166" t="str">
        <f>IF(F43="","",IF('GREEN SHEET'!BO43="",'GREEN SHEET'!BL43,'GREEN SHEET'!BO43))</f>
        <v/>
      </c>
      <c r="S43" s="166" t="str">
        <f>IF(F43="","",IF('GREEN SHEET'!BP43="",'GREEN SHEET'!BM43,'GREEN SHEET'!BP43))</f>
        <v/>
      </c>
      <c r="T43" s="167" t="str">
        <f>IF(F43="","",IF('GREEN SHEET'!CH43="",'GREEN SHEET'!CE43,'GREEN SHEET'!CH43))</f>
        <v/>
      </c>
      <c r="U43" s="167" t="str">
        <f>IF(F43="","",IF('GREEN SHEET'!CI43="",'GREEN SHEET'!CF43,'GREEN SHEET'!CI43))</f>
        <v/>
      </c>
      <c r="V43" s="168" t="str">
        <f>IF(F43="","",IF('GREEN SHEET'!DA43="",'GREEN SHEET'!CX43,'GREEN SHEET'!DA43))</f>
        <v/>
      </c>
      <c r="W43" s="168" t="str">
        <f>IF(F43="","",IF('GREEN SHEET'!DB43="",'GREEN SHEET'!CY43,'GREEN SHEET'!DB43))</f>
        <v/>
      </c>
      <c r="X43" s="167" t="str">
        <f>IF(F43="","",IF('GREEN SHEET'!DT43="",'GREEN SHEET'!DQ43,'GREEN SHEET'!DT43))</f>
        <v/>
      </c>
      <c r="Y43" s="167" t="str">
        <f>IF(F43="","",IF('GREEN SHEET'!DU43="",'GREEN SHEET'!DR43,'GREEN SHEET'!DU43))</f>
        <v/>
      </c>
      <c r="Z43" s="169" t="str">
        <f>IF(F43="","",IF('GREEN SHEET'!FH43="",'GREEN SHEET'!EH43,'GREEN SHEET'!FH43))</f>
        <v/>
      </c>
      <c r="AA43" s="170" t="str">
        <f t="shared" si="1"/>
        <v/>
      </c>
      <c r="AB43" s="171" t="str">
        <f t="shared" si="6"/>
        <v/>
      </c>
      <c r="AC43" s="171" t="str">
        <f>IF(F43="","",IF('GREEN SHEET'!EN43="","",'GREEN SHEET'!EN43))</f>
        <v/>
      </c>
      <c r="AD43" s="174" t="str">
        <f>IF(AA43="","",RANK(AA43,AA$7:$AA$51,0)+COUNTIF($AA$7:AA43,AA43)-1)</f>
        <v/>
      </c>
      <c r="AE43" s="174" t="str">
        <f t="shared" si="2"/>
        <v/>
      </c>
      <c r="AF43" s="174" t="str">
        <f t="shared" si="3"/>
        <v/>
      </c>
      <c r="AG43" s="174" t="str">
        <f t="shared" si="4"/>
        <v/>
      </c>
    </row>
    <row r="44" spans="1:33" ht="16.8" hidden="1" x14ac:dyDescent="0.25">
      <c r="A44" s="154"/>
      <c r="B44" s="25">
        <v>38</v>
      </c>
      <c r="C44" s="173" t="str">
        <f t="shared" si="5"/>
        <v/>
      </c>
      <c r="D44" s="173" t="str">
        <f t="shared" si="0"/>
        <v/>
      </c>
      <c r="E44" s="25" t="str">
        <f>IF('GREEN SHEET'!C44="","",'GREEN SHEET'!C44)</f>
        <v/>
      </c>
      <c r="F44" s="25" t="str">
        <f>IF('GREEN SHEET'!D44="","",'GREEN SHEET'!D44)</f>
        <v/>
      </c>
      <c r="G44" s="25" t="str">
        <f>IF('GREEN SHEET'!E44="","",'GREEN SHEET'!E44)</f>
        <v/>
      </c>
      <c r="H44" s="25" t="str">
        <f>IF('GREEN SHEET'!F44="","",'GREEN SHEET'!F44)</f>
        <v/>
      </c>
      <c r="I44" s="25" t="str">
        <f>IF('GREEN SHEET'!G44="","",'GREEN SHEET'!G44)</f>
        <v/>
      </c>
      <c r="J44" s="25" t="str">
        <f>IF('GREEN SHEET'!H44="","",'GREEN SHEET'!H44)</f>
        <v/>
      </c>
      <c r="K44" s="25" t="str">
        <f>IF('GREEN SHEET'!I44="","",'GREEN SHEET'!I44)</f>
        <v/>
      </c>
      <c r="L44" s="25" t="str">
        <f>IF('GREEN SHEET'!J44="","",'GREEN SHEET'!J44)</f>
        <v/>
      </c>
      <c r="M44" s="25" t="str">
        <f>IF('GREEN SHEET'!K44="","",'GREEN SHEET'!K44)</f>
        <v/>
      </c>
      <c r="N44" s="166" t="str">
        <f>IF(F44="","",IF('GREEN SHEET'!AB44="",'GREEN SHEET'!Y44,'GREEN SHEET'!AB44))</f>
        <v/>
      </c>
      <c r="O44" s="166" t="str">
        <f>IF(F44="","",IF('GREEN SHEET'!AC44="",'GREEN SHEET'!Z44,'GREEN SHEET'!AC44))</f>
        <v/>
      </c>
      <c r="P44" s="167" t="str">
        <f>IF(F44="","",IF('GREEN SHEET'!AV44="",'GREEN SHEET'!AS44,'GREEN SHEET'!AV44))</f>
        <v/>
      </c>
      <c r="Q44" s="167" t="str">
        <f>IF(F44="","",IF('GREEN SHEET'!AW44="",'GREEN SHEET'!AT44,'GREEN SHEET'!AW44))</f>
        <v/>
      </c>
      <c r="R44" s="166" t="str">
        <f>IF(F44="","",IF('GREEN SHEET'!BO44="",'GREEN SHEET'!BL44,'GREEN SHEET'!BO44))</f>
        <v/>
      </c>
      <c r="S44" s="166" t="str">
        <f>IF(F44="","",IF('GREEN SHEET'!BP44="",'GREEN SHEET'!BM44,'GREEN SHEET'!BP44))</f>
        <v/>
      </c>
      <c r="T44" s="167" t="str">
        <f>IF(F44="","",IF('GREEN SHEET'!CH44="",'GREEN SHEET'!CE44,'GREEN SHEET'!CH44))</f>
        <v/>
      </c>
      <c r="U44" s="167" t="str">
        <f>IF(F44="","",IF('GREEN SHEET'!CI44="",'GREEN SHEET'!CF44,'GREEN SHEET'!CI44))</f>
        <v/>
      </c>
      <c r="V44" s="168" t="str">
        <f>IF(F44="","",IF('GREEN SHEET'!DA44="",'GREEN SHEET'!CX44,'GREEN SHEET'!DA44))</f>
        <v/>
      </c>
      <c r="W44" s="168" t="str">
        <f>IF(F44="","",IF('GREEN SHEET'!DB44="",'GREEN SHEET'!CY44,'GREEN SHEET'!DB44))</f>
        <v/>
      </c>
      <c r="X44" s="167" t="str">
        <f>IF(F44="","",IF('GREEN SHEET'!DT44="",'GREEN SHEET'!DQ44,'GREEN SHEET'!DT44))</f>
        <v/>
      </c>
      <c r="Y44" s="167" t="str">
        <f>IF(F44="","",IF('GREEN SHEET'!DU44="",'GREEN SHEET'!DR44,'GREEN SHEET'!DU44))</f>
        <v/>
      </c>
      <c r="Z44" s="169" t="str">
        <f>IF(F44="","",IF('GREEN SHEET'!FH44="",'GREEN SHEET'!EH44,'GREEN SHEET'!FH44))</f>
        <v/>
      </c>
      <c r="AA44" s="170" t="str">
        <f t="shared" si="1"/>
        <v/>
      </c>
      <c r="AB44" s="171" t="str">
        <f t="shared" si="6"/>
        <v/>
      </c>
      <c r="AC44" s="171" t="str">
        <f>IF(F44="","",IF('GREEN SHEET'!EN44="","",'GREEN SHEET'!EN44))</f>
        <v/>
      </c>
      <c r="AD44" s="174" t="str">
        <f>IF(AA44="","",RANK(AA44,AA$7:$AA$51,0)+COUNTIF($AA$7:AA44,AA44)-1)</f>
        <v/>
      </c>
      <c r="AE44" s="174" t="str">
        <f t="shared" si="2"/>
        <v/>
      </c>
      <c r="AF44" s="174" t="str">
        <f t="shared" si="3"/>
        <v/>
      </c>
      <c r="AG44" s="174" t="str">
        <f t="shared" si="4"/>
        <v/>
      </c>
    </row>
    <row r="45" spans="1:33" ht="16.8" hidden="1" x14ac:dyDescent="0.25">
      <c r="A45" s="154"/>
      <c r="B45" s="25">
        <v>39</v>
      </c>
      <c r="C45" s="173" t="str">
        <f t="shared" si="5"/>
        <v/>
      </c>
      <c r="D45" s="173" t="str">
        <f t="shared" si="0"/>
        <v/>
      </c>
      <c r="E45" s="25" t="str">
        <f>IF('GREEN SHEET'!C45="","",'GREEN SHEET'!C45)</f>
        <v/>
      </c>
      <c r="F45" s="25" t="str">
        <f>IF('GREEN SHEET'!D45="","",'GREEN SHEET'!D45)</f>
        <v/>
      </c>
      <c r="G45" s="25" t="str">
        <f>IF('GREEN SHEET'!E45="","",'GREEN SHEET'!E45)</f>
        <v/>
      </c>
      <c r="H45" s="25" t="str">
        <f>IF('GREEN SHEET'!F45="","",'GREEN SHEET'!F45)</f>
        <v/>
      </c>
      <c r="I45" s="25" t="str">
        <f>IF('GREEN SHEET'!G45="","",'GREEN SHEET'!G45)</f>
        <v/>
      </c>
      <c r="J45" s="25" t="str">
        <f>IF('GREEN SHEET'!H45="","",'GREEN SHEET'!H45)</f>
        <v/>
      </c>
      <c r="K45" s="25" t="str">
        <f>IF('GREEN SHEET'!I45="","",'GREEN SHEET'!I45)</f>
        <v/>
      </c>
      <c r="L45" s="25" t="str">
        <f>IF('GREEN SHEET'!J45="","",'GREEN SHEET'!J45)</f>
        <v/>
      </c>
      <c r="M45" s="25" t="str">
        <f>IF('GREEN SHEET'!K45="","",'GREEN SHEET'!K45)</f>
        <v/>
      </c>
      <c r="N45" s="166" t="str">
        <f>IF(F45="","",IF('GREEN SHEET'!AB45="",'GREEN SHEET'!Y45,'GREEN SHEET'!AB45))</f>
        <v/>
      </c>
      <c r="O45" s="166" t="str">
        <f>IF(F45="","",IF('GREEN SHEET'!AC45="",'GREEN SHEET'!Z45,'GREEN SHEET'!AC45))</f>
        <v/>
      </c>
      <c r="P45" s="167" t="str">
        <f>IF(F45="","",IF('GREEN SHEET'!AV45="",'GREEN SHEET'!AS45,'GREEN SHEET'!AV45))</f>
        <v/>
      </c>
      <c r="Q45" s="167" t="str">
        <f>IF(F45="","",IF('GREEN SHEET'!AW45="",'GREEN SHEET'!AT45,'GREEN SHEET'!AW45))</f>
        <v/>
      </c>
      <c r="R45" s="166" t="str">
        <f>IF(F45="","",IF('GREEN SHEET'!BO45="",'GREEN SHEET'!BL45,'GREEN SHEET'!BO45))</f>
        <v/>
      </c>
      <c r="S45" s="166" t="str">
        <f>IF(F45="","",IF('GREEN SHEET'!BP45="",'GREEN SHEET'!BM45,'GREEN SHEET'!BP45))</f>
        <v/>
      </c>
      <c r="T45" s="167" t="str">
        <f>IF(F45="","",IF('GREEN SHEET'!CH45="",'GREEN SHEET'!CE45,'GREEN SHEET'!CH45))</f>
        <v/>
      </c>
      <c r="U45" s="167" t="str">
        <f>IF(F45="","",IF('GREEN SHEET'!CI45="",'GREEN SHEET'!CF45,'GREEN SHEET'!CI45))</f>
        <v/>
      </c>
      <c r="V45" s="168" t="str">
        <f>IF(F45="","",IF('GREEN SHEET'!DA45="",'GREEN SHEET'!CX45,'GREEN SHEET'!DA45))</f>
        <v/>
      </c>
      <c r="W45" s="168" t="str">
        <f>IF(F45="","",IF('GREEN SHEET'!DB45="",'GREEN SHEET'!CY45,'GREEN SHEET'!DB45))</f>
        <v/>
      </c>
      <c r="X45" s="167" t="str">
        <f>IF(F45="","",IF('GREEN SHEET'!DT45="",'GREEN SHEET'!DQ45,'GREEN SHEET'!DT45))</f>
        <v/>
      </c>
      <c r="Y45" s="167" t="str">
        <f>IF(F45="","",IF('GREEN SHEET'!DU45="",'GREEN SHEET'!DR45,'GREEN SHEET'!DU45))</f>
        <v/>
      </c>
      <c r="Z45" s="169" t="str">
        <f>IF(F45="","",IF('GREEN SHEET'!FH45="",'GREEN SHEET'!EH45,'GREEN SHEET'!FH45))</f>
        <v/>
      </c>
      <c r="AA45" s="170" t="str">
        <f t="shared" si="1"/>
        <v/>
      </c>
      <c r="AB45" s="171" t="str">
        <f t="shared" si="6"/>
        <v/>
      </c>
      <c r="AC45" s="171" t="str">
        <f>IF(F45="","",IF('GREEN SHEET'!EN45="","",'GREEN SHEET'!EN45))</f>
        <v/>
      </c>
      <c r="AD45" s="174" t="str">
        <f>IF(AA45="","",RANK(AA45,AA$7:$AA$51,0)+COUNTIF($AA$7:AA45,AA45)-1)</f>
        <v/>
      </c>
      <c r="AE45" s="174" t="str">
        <f t="shared" si="2"/>
        <v/>
      </c>
      <c r="AF45" s="174" t="str">
        <f t="shared" si="3"/>
        <v/>
      </c>
      <c r="AG45" s="174" t="str">
        <f t="shared" si="4"/>
        <v/>
      </c>
    </row>
    <row r="46" spans="1:33" ht="16.8" hidden="1" x14ac:dyDescent="0.25">
      <c r="A46" s="154"/>
      <c r="B46" s="25">
        <v>40</v>
      </c>
      <c r="C46" s="173" t="str">
        <f t="shared" si="5"/>
        <v/>
      </c>
      <c r="D46" s="173" t="str">
        <f t="shared" si="0"/>
        <v/>
      </c>
      <c r="E46" s="25" t="str">
        <f>IF('GREEN SHEET'!C46="","",'GREEN SHEET'!C46)</f>
        <v/>
      </c>
      <c r="F46" s="25" t="str">
        <f>IF('GREEN SHEET'!D46="","",'GREEN SHEET'!D46)</f>
        <v/>
      </c>
      <c r="G46" s="25" t="str">
        <f>IF('GREEN SHEET'!E46="","",'GREEN SHEET'!E46)</f>
        <v/>
      </c>
      <c r="H46" s="25" t="str">
        <f>IF('GREEN SHEET'!F46="","",'GREEN SHEET'!F46)</f>
        <v/>
      </c>
      <c r="I46" s="25" t="str">
        <f>IF('GREEN SHEET'!G46="","",'GREEN SHEET'!G46)</f>
        <v/>
      </c>
      <c r="J46" s="25" t="str">
        <f>IF('GREEN SHEET'!H46="","",'GREEN SHEET'!H46)</f>
        <v/>
      </c>
      <c r="K46" s="25" t="str">
        <f>IF('GREEN SHEET'!I46="","",'GREEN SHEET'!I46)</f>
        <v/>
      </c>
      <c r="L46" s="25" t="str">
        <f>IF('GREEN SHEET'!J46="","",'GREEN SHEET'!J46)</f>
        <v/>
      </c>
      <c r="M46" s="25" t="str">
        <f>IF('GREEN SHEET'!K46="","",'GREEN SHEET'!K46)</f>
        <v/>
      </c>
      <c r="N46" s="166" t="str">
        <f>IF(F46="","",IF('GREEN SHEET'!AB46="",'GREEN SHEET'!Y46,'GREEN SHEET'!AB46))</f>
        <v/>
      </c>
      <c r="O46" s="166" t="str">
        <f>IF(F46="","",IF('GREEN SHEET'!AC46="",'GREEN SHEET'!Z46,'GREEN SHEET'!AC46))</f>
        <v/>
      </c>
      <c r="P46" s="167" t="str">
        <f>IF(F46="","",IF('GREEN SHEET'!AV46="",'GREEN SHEET'!AS46,'GREEN SHEET'!AV46))</f>
        <v/>
      </c>
      <c r="Q46" s="167" t="str">
        <f>IF(F46="","",IF('GREEN SHEET'!AW46="",'GREEN SHEET'!AT46,'GREEN SHEET'!AW46))</f>
        <v/>
      </c>
      <c r="R46" s="166" t="str">
        <f>IF(F46="","",IF('GREEN SHEET'!BO46="",'GREEN SHEET'!BL46,'GREEN SHEET'!BO46))</f>
        <v/>
      </c>
      <c r="S46" s="166" t="str">
        <f>IF(F46="","",IF('GREEN SHEET'!BP46="",'GREEN SHEET'!BM46,'GREEN SHEET'!BP46))</f>
        <v/>
      </c>
      <c r="T46" s="167" t="str">
        <f>IF(F46="","",IF('GREEN SHEET'!CH46="",'GREEN SHEET'!CE46,'GREEN SHEET'!CH46))</f>
        <v/>
      </c>
      <c r="U46" s="167" t="str">
        <f>IF(F46="","",IF('GREEN SHEET'!CI46="",'GREEN SHEET'!CF46,'GREEN SHEET'!CI46))</f>
        <v/>
      </c>
      <c r="V46" s="168" t="str">
        <f>IF(F46="","",IF('GREEN SHEET'!DA46="",'GREEN SHEET'!CX46,'GREEN SHEET'!DA46))</f>
        <v/>
      </c>
      <c r="W46" s="168" t="str">
        <f>IF(F46="","",IF('GREEN SHEET'!DB46="",'GREEN SHEET'!CY46,'GREEN SHEET'!DB46))</f>
        <v/>
      </c>
      <c r="X46" s="167" t="str">
        <f>IF(F46="","",IF('GREEN SHEET'!DT46="",'GREEN SHEET'!DQ46,'GREEN SHEET'!DT46))</f>
        <v/>
      </c>
      <c r="Y46" s="167" t="str">
        <f>IF(F46="","",IF('GREEN SHEET'!DU46="",'GREEN SHEET'!DR46,'GREEN SHEET'!DU46))</f>
        <v/>
      </c>
      <c r="Z46" s="169" t="str">
        <f>IF(F46="","",IF('GREEN SHEET'!FH46="",'GREEN SHEET'!EH46,'GREEN SHEET'!FH46))</f>
        <v/>
      </c>
      <c r="AA46" s="170" t="str">
        <f t="shared" si="1"/>
        <v/>
      </c>
      <c r="AB46" s="171" t="str">
        <f t="shared" si="6"/>
        <v/>
      </c>
      <c r="AC46" s="171" t="str">
        <f>IF(F46="","",IF('GREEN SHEET'!EN46="","",'GREEN SHEET'!EN46))</f>
        <v/>
      </c>
      <c r="AD46" s="174" t="str">
        <f>IF(AA46="","",RANK(AA46,AA$7:$AA$51,0)+COUNTIF($AA$7:AA46,AA46)-1)</f>
        <v/>
      </c>
      <c r="AE46" s="174" t="str">
        <f t="shared" si="2"/>
        <v/>
      </c>
      <c r="AF46" s="174" t="str">
        <f t="shared" si="3"/>
        <v/>
      </c>
      <c r="AG46" s="174" t="str">
        <f t="shared" si="4"/>
        <v/>
      </c>
    </row>
    <row r="47" spans="1:33" ht="16.8" hidden="1" x14ac:dyDescent="0.25">
      <c r="A47" s="154"/>
      <c r="B47" s="25">
        <v>41</v>
      </c>
      <c r="C47" s="173" t="str">
        <f t="shared" si="5"/>
        <v/>
      </c>
      <c r="D47" s="173" t="str">
        <f t="shared" si="0"/>
        <v/>
      </c>
      <c r="E47" s="25" t="str">
        <f>IF('GREEN SHEET'!C47="","",'GREEN SHEET'!C47)</f>
        <v/>
      </c>
      <c r="F47" s="25" t="str">
        <f>IF('GREEN SHEET'!D47="","",'GREEN SHEET'!D47)</f>
        <v/>
      </c>
      <c r="G47" s="25" t="str">
        <f>IF('GREEN SHEET'!E47="","",'GREEN SHEET'!E47)</f>
        <v/>
      </c>
      <c r="H47" s="25" t="str">
        <f>IF('GREEN SHEET'!F47="","",'GREEN SHEET'!F47)</f>
        <v/>
      </c>
      <c r="I47" s="25" t="str">
        <f>IF('GREEN SHEET'!G47="","",'GREEN SHEET'!G47)</f>
        <v/>
      </c>
      <c r="J47" s="25" t="str">
        <f>IF('GREEN SHEET'!H47="","",'GREEN SHEET'!H47)</f>
        <v/>
      </c>
      <c r="K47" s="25" t="str">
        <f>IF('GREEN SHEET'!I47="","",'GREEN SHEET'!I47)</f>
        <v/>
      </c>
      <c r="L47" s="25" t="str">
        <f>IF('GREEN SHEET'!J47="","",'GREEN SHEET'!J47)</f>
        <v/>
      </c>
      <c r="M47" s="25" t="str">
        <f>IF('GREEN SHEET'!K47="","",'GREEN SHEET'!K47)</f>
        <v/>
      </c>
      <c r="N47" s="166" t="str">
        <f>IF(F47="","",IF('GREEN SHEET'!AB47="",'GREEN SHEET'!Y47,'GREEN SHEET'!AB47))</f>
        <v/>
      </c>
      <c r="O47" s="166" t="str">
        <f>IF(F47="","",IF('GREEN SHEET'!AC47="",'GREEN SHEET'!Z47,'GREEN SHEET'!AC47))</f>
        <v/>
      </c>
      <c r="P47" s="167" t="str">
        <f>IF(F47="","",IF('GREEN SHEET'!AV47="",'GREEN SHEET'!AS47,'GREEN SHEET'!AV47))</f>
        <v/>
      </c>
      <c r="Q47" s="167" t="str">
        <f>IF(F47="","",IF('GREEN SHEET'!AW47="",'GREEN SHEET'!AT47,'GREEN SHEET'!AW47))</f>
        <v/>
      </c>
      <c r="R47" s="166" t="str">
        <f>IF(F47="","",IF('GREEN SHEET'!BO47="",'GREEN SHEET'!BL47,'GREEN SHEET'!BO47))</f>
        <v/>
      </c>
      <c r="S47" s="166" t="str">
        <f>IF(F47="","",IF('GREEN SHEET'!BP47="",'GREEN SHEET'!BM47,'GREEN SHEET'!BP47))</f>
        <v/>
      </c>
      <c r="T47" s="167" t="str">
        <f>IF(F47="","",IF('GREEN SHEET'!CH47="",'GREEN SHEET'!CE47,'GREEN SHEET'!CH47))</f>
        <v/>
      </c>
      <c r="U47" s="167" t="str">
        <f>IF(F47="","",IF('GREEN SHEET'!CI47="",'GREEN SHEET'!CF47,'GREEN SHEET'!CI47))</f>
        <v/>
      </c>
      <c r="V47" s="168" t="str">
        <f>IF(F47="","",IF('GREEN SHEET'!DA47="",'GREEN SHEET'!CX47,'GREEN SHEET'!DA47))</f>
        <v/>
      </c>
      <c r="W47" s="168" t="str">
        <f>IF(F47="","",IF('GREEN SHEET'!DB47="",'GREEN SHEET'!CY47,'GREEN SHEET'!DB47))</f>
        <v/>
      </c>
      <c r="X47" s="167" t="str">
        <f>IF(F47="","",IF('GREEN SHEET'!DT47="",'GREEN SHEET'!DQ47,'GREEN SHEET'!DT47))</f>
        <v/>
      </c>
      <c r="Y47" s="167" t="str">
        <f>IF(F47="","",IF('GREEN SHEET'!DU47="",'GREEN SHEET'!DR47,'GREEN SHEET'!DU47))</f>
        <v/>
      </c>
      <c r="Z47" s="169" t="str">
        <f>IF(F47="","",IF('GREEN SHEET'!FH47="",'GREEN SHEET'!EH47,'GREEN SHEET'!FH47))</f>
        <v/>
      </c>
      <c r="AA47" s="170" t="str">
        <f t="shared" si="1"/>
        <v/>
      </c>
      <c r="AB47" s="171" t="str">
        <f t="shared" si="6"/>
        <v/>
      </c>
      <c r="AC47" s="171" t="str">
        <f>IF(F47="","",IF('GREEN SHEET'!EN47="","",'GREEN SHEET'!EN47))</f>
        <v/>
      </c>
      <c r="AD47" s="174" t="str">
        <f>IF(AA47="","",RANK(AA47,AA$7:$AA$51,0)+COUNTIF($AA$7:AA47,AA47)-1)</f>
        <v/>
      </c>
      <c r="AE47" s="174" t="str">
        <f t="shared" si="2"/>
        <v/>
      </c>
      <c r="AF47" s="174" t="str">
        <f t="shared" si="3"/>
        <v/>
      </c>
      <c r="AG47" s="174" t="str">
        <f t="shared" si="4"/>
        <v/>
      </c>
    </row>
    <row r="48" spans="1:33" ht="16.8" hidden="1" x14ac:dyDescent="0.25">
      <c r="A48" s="154"/>
      <c r="B48" s="25">
        <v>42</v>
      </c>
      <c r="C48" s="173" t="str">
        <f t="shared" si="5"/>
        <v/>
      </c>
      <c r="D48" s="173" t="str">
        <f t="shared" si="0"/>
        <v/>
      </c>
      <c r="E48" s="25" t="str">
        <f>IF('GREEN SHEET'!C48="","",'GREEN SHEET'!C48)</f>
        <v/>
      </c>
      <c r="F48" s="25" t="str">
        <f>IF('GREEN SHEET'!D48="","",'GREEN SHEET'!D48)</f>
        <v/>
      </c>
      <c r="G48" s="25" t="str">
        <f>IF('GREEN SHEET'!E48="","",'GREEN SHEET'!E48)</f>
        <v/>
      </c>
      <c r="H48" s="25" t="str">
        <f>IF('GREEN SHEET'!F48="","",'GREEN SHEET'!F48)</f>
        <v/>
      </c>
      <c r="I48" s="25" t="str">
        <f>IF('GREEN SHEET'!G48="","",'GREEN SHEET'!G48)</f>
        <v/>
      </c>
      <c r="J48" s="25" t="str">
        <f>IF('GREEN SHEET'!H48="","",'GREEN SHEET'!H48)</f>
        <v/>
      </c>
      <c r="K48" s="25" t="str">
        <f>IF('GREEN SHEET'!I48="","",'GREEN SHEET'!I48)</f>
        <v/>
      </c>
      <c r="L48" s="25" t="str">
        <f>IF('GREEN SHEET'!J48="","",'GREEN SHEET'!J48)</f>
        <v/>
      </c>
      <c r="M48" s="25" t="str">
        <f>IF('GREEN SHEET'!K48="","",'GREEN SHEET'!K48)</f>
        <v/>
      </c>
      <c r="N48" s="166" t="str">
        <f>IF(F48="","",IF('GREEN SHEET'!AB48="",'GREEN SHEET'!Y48,'GREEN SHEET'!AB48))</f>
        <v/>
      </c>
      <c r="O48" s="166" t="str">
        <f>IF(F48="","",IF('GREEN SHEET'!AC48="",'GREEN SHEET'!Z48,'GREEN SHEET'!AC48))</f>
        <v/>
      </c>
      <c r="P48" s="167" t="str">
        <f>IF(F48="","",IF('GREEN SHEET'!AV48="",'GREEN SHEET'!AS48,'GREEN SHEET'!AV48))</f>
        <v/>
      </c>
      <c r="Q48" s="167" t="str">
        <f>IF(F48="","",IF('GREEN SHEET'!AW48="",'GREEN SHEET'!AT48,'GREEN SHEET'!AW48))</f>
        <v/>
      </c>
      <c r="R48" s="166" t="str">
        <f>IF(F48="","",IF('GREEN SHEET'!BO48="",'GREEN SHEET'!BL48,'GREEN SHEET'!BO48))</f>
        <v/>
      </c>
      <c r="S48" s="166" t="str">
        <f>IF(F48="","",IF('GREEN SHEET'!BP48="",'GREEN SHEET'!BM48,'GREEN SHEET'!BP48))</f>
        <v/>
      </c>
      <c r="T48" s="167" t="str">
        <f>IF(F48="","",IF('GREEN SHEET'!CH48="",'GREEN SHEET'!CE48,'GREEN SHEET'!CH48))</f>
        <v/>
      </c>
      <c r="U48" s="167" t="str">
        <f>IF(F48="","",IF('GREEN SHEET'!CI48="",'GREEN SHEET'!CF48,'GREEN SHEET'!CI48))</f>
        <v/>
      </c>
      <c r="V48" s="168" t="str">
        <f>IF(F48="","",IF('GREEN SHEET'!DA48="",'GREEN SHEET'!CX48,'GREEN SHEET'!DA48))</f>
        <v/>
      </c>
      <c r="W48" s="168" t="str">
        <f>IF(F48="","",IF('GREEN SHEET'!DB48="",'GREEN SHEET'!CY48,'GREEN SHEET'!DB48))</f>
        <v/>
      </c>
      <c r="X48" s="167" t="str">
        <f>IF(F48="","",IF('GREEN SHEET'!DT48="",'GREEN SHEET'!DQ48,'GREEN SHEET'!DT48))</f>
        <v/>
      </c>
      <c r="Y48" s="167" t="str">
        <f>IF(F48="","",IF('GREEN SHEET'!DU48="",'GREEN SHEET'!DR48,'GREEN SHEET'!DU48))</f>
        <v/>
      </c>
      <c r="Z48" s="169" t="str">
        <f>IF(F48="","",IF('GREEN SHEET'!FH48="",'GREEN SHEET'!EH48,'GREEN SHEET'!FH48))</f>
        <v/>
      </c>
      <c r="AA48" s="170" t="str">
        <f t="shared" si="1"/>
        <v/>
      </c>
      <c r="AB48" s="171" t="str">
        <f t="shared" si="6"/>
        <v/>
      </c>
      <c r="AC48" s="171" t="str">
        <f>IF(F48="","",IF('GREEN SHEET'!EN48="","",'GREEN SHEET'!EN48))</f>
        <v/>
      </c>
      <c r="AD48" s="174" t="str">
        <f>IF(AA48="","",RANK(AA48,AA$7:$AA$51,0)+COUNTIF($AA$7:AA48,AA48)-1)</f>
        <v/>
      </c>
      <c r="AE48" s="174" t="str">
        <f t="shared" si="2"/>
        <v/>
      </c>
      <c r="AF48" s="174" t="str">
        <f t="shared" si="3"/>
        <v/>
      </c>
      <c r="AG48" s="174" t="str">
        <f t="shared" si="4"/>
        <v/>
      </c>
    </row>
    <row r="49" spans="1:39" ht="16.8" hidden="1" x14ac:dyDescent="0.25">
      <c r="A49" s="154"/>
      <c r="B49" s="25">
        <v>43</v>
      </c>
      <c r="C49" s="173" t="str">
        <f t="shared" si="5"/>
        <v/>
      </c>
      <c r="D49" s="173" t="str">
        <f t="shared" si="0"/>
        <v/>
      </c>
      <c r="E49" s="25" t="str">
        <f>IF('GREEN SHEET'!C49="","",'GREEN SHEET'!C49)</f>
        <v/>
      </c>
      <c r="F49" s="25" t="str">
        <f>IF('GREEN SHEET'!D49="","",'GREEN SHEET'!D49)</f>
        <v/>
      </c>
      <c r="G49" s="25" t="str">
        <f>IF('GREEN SHEET'!E49="","",'GREEN SHEET'!E49)</f>
        <v/>
      </c>
      <c r="H49" s="25" t="str">
        <f>IF('GREEN SHEET'!F49="","",'GREEN SHEET'!F49)</f>
        <v/>
      </c>
      <c r="I49" s="25" t="str">
        <f>IF('GREEN SHEET'!G49="","",'GREEN SHEET'!G49)</f>
        <v/>
      </c>
      <c r="J49" s="25" t="str">
        <f>IF('GREEN SHEET'!H49="","",'GREEN SHEET'!H49)</f>
        <v/>
      </c>
      <c r="K49" s="25" t="str">
        <f>IF('GREEN SHEET'!I49="","",'GREEN SHEET'!I49)</f>
        <v/>
      </c>
      <c r="L49" s="25" t="str">
        <f>IF('GREEN SHEET'!J49="","",'GREEN SHEET'!J49)</f>
        <v/>
      </c>
      <c r="M49" s="25" t="str">
        <f>IF('GREEN SHEET'!K49="","",'GREEN SHEET'!K49)</f>
        <v/>
      </c>
      <c r="N49" s="166" t="str">
        <f>IF(F49="","",IF('GREEN SHEET'!AB49="",'GREEN SHEET'!Y49,'GREEN SHEET'!AB49))</f>
        <v/>
      </c>
      <c r="O49" s="166" t="str">
        <f>IF(F49="","",IF('GREEN SHEET'!AC49="",'GREEN SHEET'!Z49,'GREEN SHEET'!AC49))</f>
        <v/>
      </c>
      <c r="P49" s="167" t="str">
        <f>IF(F49="","",IF('GREEN SHEET'!AV49="",'GREEN SHEET'!AS49,'GREEN SHEET'!AV49))</f>
        <v/>
      </c>
      <c r="Q49" s="167" t="str">
        <f>IF(F49="","",IF('GREEN SHEET'!AW49="",'GREEN SHEET'!AT49,'GREEN SHEET'!AW49))</f>
        <v/>
      </c>
      <c r="R49" s="166" t="str">
        <f>IF(F49="","",IF('GREEN SHEET'!BO49="",'GREEN SHEET'!BL49,'GREEN SHEET'!BO49))</f>
        <v/>
      </c>
      <c r="S49" s="166" t="str">
        <f>IF(F49="","",IF('GREEN SHEET'!BP49="",'GREEN SHEET'!BM49,'GREEN SHEET'!BP49))</f>
        <v/>
      </c>
      <c r="T49" s="167" t="str">
        <f>IF(F49="","",IF('GREEN SHEET'!CH49="",'GREEN SHEET'!CE49,'GREEN SHEET'!CH49))</f>
        <v/>
      </c>
      <c r="U49" s="167" t="str">
        <f>IF(F49="","",IF('GREEN SHEET'!CI49="",'GREEN SHEET'!CF49,'GREEN SHEET'!CI49))</f>
        <v/>
      </c>
      <c r="V49" s="168" t="str">
        <f>IF(F49="","",IF('GREEN SHEET'!DA49="",'GREEN SHEET'!CX49,'GREEN SHEET'!DA49))</f>
        <v/>
      </c>
      <c r="W49" s="168" t="str">
        <f>IF(F49="","",IF('GREEN SHEET'!DB49="",'GREEN SHEET'!CY49,'GREEN SHEET'!DB49))</f>
        <v/>
      </c>
      <c r="X49" s="167" t="str">
        <f>IF(F49="","",IF('GREEN SHEET'!DT49="",'GREEN SHEET'!DQ49,'GREEN SHEET'!DT49))</f>
        <v/>
      </c>
      <c r="Y49" s="167" t="str">
        <f>IF(F49="","",IF('GREEN SHEET'!DU49="",'GREEN SHEET'!DR49,'GREEN SHEET'!DU49))</f>
        <v/>
      </c>
      <c r="Z49" s="169" t="str">
        <f>IF(F49="","",IF('GREEN SHEET'!FH49="",'GREEN SHEET'!EH49,'GREEN SHEET'!FH49))</f>
        <v/>
      </c>
      <c r="AA49" s="170" t="str">
        <f t="shared" si="1"/>
        <v/>
      </c>
      <c r="AB49" s="171" t="str">
        <f t="shared" si="6"/>
        <v/>
      </c>
      <c r="AC49" s="171" t="str">
        <f>IF(F49="","",IF('GREEN SHEET'!EN49="","",'GREEN SHEET'!EN49))</f>
        <v/>
      </c>
      <c r="AD49" s="174" t="str">
        <f>IF(AA49="","",RANK(AA49,AA$7:$AA$51,0)+COUNTIF($AA$7:AA49,AA49)-1)</f>
        <v/>
      </c>
      <c r="AE49" s="174" t="str">
        <f t="shared" si="2"/>
        <v/>
      </c>
      <c r="AF49" s="174" t="str">
        <f t="shared" si="3"/>
        <v/>
      </c>
      <c r="AG49" s="174" t="str">
        <f t="shared" si="4"/>
        <v/>
      </c>
    </row>
    <row r="50" spans="1:39" ht="16.8" hidden="1" x14ac:dyDescent="0.25">
      <c r="A50" s="154"/>
      <c r="B50" s="25">
        <v>44</v>
      </c>
      <c r="C50" s="173" t="str">
        <f t="shared" si="5"/>
        <v/>
      </c>
      <c r="D50" s="173" t="str">
        <f t="shared" si="0"/>
        <v/>
      </c>
      <c r="E50" s="25" t="str">
        <f>IF('GREEN SHEET'!C50="","",'GREEN SHEET'!C50)</f>
        <v/>
      </c>
      <c r="F50" s="25" t="str">
        <f>IF('GREEN SHEET'!D50="","",'GREEN SHEET'!D50)</f>
        <v/>
      </c>
      <c r="G50" s="25" t="str">
        <f>IF('GREEN SHEET'!E50="","",'GREEN SHEET'!E50)</f>
        <v/>
      </c>
      <c r="H50" s="25" t="str">
        <f>IF('GREEN SHEET'!F50="","",'GREEN SHEET'!F50)</f>
        <v/>
      </c>
      <c r="I50" s="25" t="str">
        <f>IF('GREEN SHEET'!G50="","",'GREEN SHEET'!G50)</f>
        <v/>
      </c>
      <c r="J50" s="25" t="str">
        <f>IF('GREEN SHEET'!H50="","",'GREEN SHEET'!H50)</f>
        <v/>
      </c>
      <c r="K50" s="25" t="str">
        <f>IF('GREEN SHEET'!I50="","",'GREEN SHEET'!I50)</f>
        <v/>
      </c>
      <c r="L50" s="25" t="str">
        <f>IF('GREEN SHEET'!J50="","",'GREEN SHEET'!J50)</f>
        <v/>
      </c>
      <c r="M50" s="25" t="str">
        <f>IF('GREEN SHEET'!K50="","",'GREEN SHEET'!K50)</f>
        <v/>
      </c>
      <c r="N50" s="166" t="str">
        <f>IF(F50="","",IF('GREEN SHEET'!AB50="",'GREEN SHEET'!Y50,'GREEN SHEET'!AB50))</f>
        <v/>
      </c>
      <c r="O50" s="166" t="str">
        <f>IF(F50="","",IF('GREEN SHEET'!AC50="",'GREEN SHEET'!Z50,'GREEN SHEET'!AC50))</f>
        <v/>
      </c>
      <c r="P50" s="167" t="str">
        <f>IF(F50="","",IF('GREEN SHEET'!AV50="",'GREEN SHEET'!AS50,'GREEN SHEET'!AV50))</f>
        <v/>
      </c>
      <c r="Q50" s="167" t="str">
        <f>IF(F50="","",IF('GREEN SHEET'!AW50="",'GREEN SHEET'!AT50,'GREEN SHEET'!AW50))</f>
        <v/>
      </c>
      <c r="R50" s="166" t="str">
        <f>IF(F50="","",IF('GREEN SHEET'!BO50="",'GREEN SHEET'!BL50,'GREEN SHEET'!BO50))</f>
        <v/>
      </c>
      <c r="S50" s="166" t="str">
        <f>IF(F50="","",IF('GREEN SHEET'!BP50="",'GREEN SHEET'!BM50,'GREEN SHEET'!BP50))</f>
        <v/>
      </c>
      <c r="T50" s="167" t="str">
        <f>IF(F50="","",IF('GREEN SHEET'!CH50="",'GREEN SHEET'!CE50,'GREEN SHEET'!CH50))</f>
        <v/>
      </c>
      <c r="U50" s="167" t="str">
        <f>IF(F50="","",IF('GREEN SHEET'!CI50="",'GREEN SHEET'!CF50,'GREEN SHEET'!CI50))</f>
        <v/>
      </c>
      <c r="V50" s="168" t="str">
        <f>IF(F50="","",IF('GREEN SHEET'!DA50="",'GREEN SHEET'!CX50,'GREEN SHEET'!DA50))</f>
        <v/>
      </c>
      <c r="W50" s="168" t="str">
        <f>IF(F50="","",IF('GREEN SHEET'!DB50="",'GREEN SHEET'!CY50,'GREEN SHEET'!DB50))</f>
        <v/>
      </c>
      <c r="X50" s="167" t="str">
        <f>IF(F50="","",IF('GREEN SHEET'!DT50="",'GREEN SHEET'!DQ50,'GREEN SHEET'!DT50))</f>
        <v/>
      </c>
      <c r="Y50" s="167" t="str">
        <f>IF(F50="","",IF('GREEN SHEET'!DU50="",'GREEN SHEET'!DR50,'GREEN SHEET'!DU50))</f>
        <v/>
      </c>
      <c r="Z50" s="169" t="str">
        <f>IF(F50="","",IF('GREEN SHEET'!FH50="",'GREEN SHEET'!EH50,'GREEN SHEET'!FH50))</f>
        <v/>
      </c>
      <c r="AA50" s="170" t="str">
        <f t="shared" si="1"/>
        <v/>
      </c>
      <c r="AB50" s="171" t="str">
        <f t="shared" si="6"/>
        <v/>
      </c>
      <c r="AC50" s="171" t="str">
        <f>IF(F50="","",IF('GREEN SHEET'!EN50="","",'GREEN SHEET'!EN50))</f>
        <v/>
      </c>
      <c r="AD50" s="174" t="str">
        <f>IF(AA50="","",RANK(AA50,AA$7:$AA$51,0)+COUNTIF($AA$7:AA50,AA50)-1)</f>
        <v/>
      </c>
      <c r="AE50" s="174" t="str">
        <f t="shared" si="2"/>
        <v/>
      </c>
      <c r="AF50" s="174" t="str">
        <f t="shared" si="3"/>
        <v/>
      </c>
      <c r="AG50" s="174" t="str">
        <f t="shared" si="4"/>
        <v/>
      </c>
    </row>
    <row r="51" spans="1:39" ht="16.8" hidden="1" x14ac:dyDescent="0.25">
      <c r="A51" s="154"/>
      <c r="B51" s="25">
        <v>45</v>
      </c>
      <c r="C51" s="173" t="str">
        <f t="shared" si="5"/>
        <v/>
      </c>
      <c r="D51" s="173" t="str">
        <f t="shared" si="0"/>
        <v/>
      </c>
      <c r="E51" s="25" t="str">
        <f>IF('GREEN SHEET'!C51="","",'GREEN SHEET'!C51)</f>
        <v/>
      </c>
      <c r="F51" s="25" t="str">
        <f>IF('GREEN SHEET'!D51="","",'GREEN SHEET'!D51)</f>
        <v/>
      </c>
      <c r="G51" s="25" t="str">
        <f>IF('GREEN SHEET'!E51="","",'GREEN SHEET'!E51)</f>
        <v/>
      </c>
      <c r="H51" s="25" t="str">
        <f>IF('GREEN SHEET'!F51="","",'GREEN SHEET'!F51)</f>
        <v/>
      </c>
      <c r="I51" s="25" t="str">
        <f>IF('GREEN SHEET'!G51="","",'GREEN SHEET'!G51)</f>
        <v/>
      </c>
      <c r="J51" s="25" t="str">
        <f>IF('GREEN SHEET'!H51="","",'GREEN SHEET'!H51)</f>
        <v/>
      </c>
      <c r="K51" s="25" t="str">
        <f>IF('GREEN SHEET'!I51="","",'GREEN SHEET'!I51)</f>
        <v/>
      </c>
      <c r="L51" s="25" t="str">
        <f>IF('GREEN SHEET'!J51="","",'GREEN SHEET'!J51)</f>
        <v/>
      </c>
      <c r="M51" s="25" t="str">
        <f>IF('GREEN SHEET'!K51="","",'GREEN SHEET'!K51)</f>
        <v/>
      </c>
      <c r="N51" s="166" t="str">
        <f>IF(F51="","",IF('GREEN SHEET'!AB51="",'GREEN SHEET'!Y51,'GREEN SHEET'!AB51))</f>
        <v/>
      </c>
      <c r="O51" s="166" t="str">
        <f>IF(F51="","",IF('GREEN SHEET'!AC51="",'GREEN SHEET'!Z51,'GREEN SHEET'!AC51))</f>
        <v/>
      </c>
      <c r="P51" s="167" t="str">
        <f>IF(F51="","",IF('GREEN SHEET'!AV51="",'GREEN SHEET'!AS51,'GREEN SHEET'!AV51))</f>
        <v/>
      </c>
      <c r="Q51" s="167" t="str">
        <f>IF(F51="","",IF('GREEN SHEET'!AW51="",'GREEN SHEET'!AT51,'GREEN SHEET'!AW51))</f>
        <v/>
      </c>
      <c r="R51" s="166" t="str">
        <f>IF(F51="","",IF('GREEN SHEET'!BO51="",'GREEN SHEET'!BL51,'GREEN SHEET'!BO51))</f>
        <v/>
      </c>
      <c r="S51" s="166" t="str">
        <f>IF(F51="","",IF('GREEN SHEET'!BP51="",'GREEN SHEET'!BM51,'GREEN SHEET'!BP51))</f>
        <v/>
      </c>
      <c r="T51" s="167" t="str">
        <f>IF(F51="","",IF('GREEN SHEET'!CH51="",'GREEN SHEET'!CE51,'GREEN SHEET'!CH51))</f>
        <v/>
      </c>
      <c r="U51" s="167" t="str">
        <f>IF(F51="","",IF('GREEN SHEET'!CI51="",'GREEN SHEET'!CF51,'GREEN SHEET'!CI51))</f>
        <v/>
      </c>
      <c r="V51" s="168" t="str">
        <f>IF(F51="","",IF('GREEN SHEET'!DA51="",'GREEN SHEET'!CX51,'GREEN SHEET'!DA51))</f>
        <v/>
      </c>
      <c r="W51" s="168" t="str">
        <f>IF(F51="","",IF('GREEN SHEET'!DB51="",'GREEN SHEET'!CY51,'GREEN SHEET'!DB51))</f>
        <v/>
      </c>
      <c r="X51" s="167" t="str">
        <f>IF(F51="","",IF('GREEN SHEET'!DT51="",'GREEN SHEET'!DQ51,'GREEN SHEET'!DT51))</f>
        <v/>
      </c>
      <c r="Y51" s="167" t="str">
        <f>IF(F51="","",IF('GREEN SHEET'!DU51="",'GREEN SHEET'!DR51,'GREEN SHEET'!DU51))</f>
        <v/>
      </c>
      <c r="Z51" s="169" t="str">
        <f>IF(F51="","",IF('GREEN SHEET'!FH51="",'GREEN SHEET'!EH51,'GREEN SHEET'!FH51))</f>
        <v/>
      </c>
      <c r="AA51" s="170" t="str">
        <f t="shared" si="1"/>
        <v/>
      </c>
      <c r="AB51" s="171" t="str">
        <f t="shared" si="6"/>
        <v/>
      </c>
      <c r="AC51" s="171" t="str">
        <f>IF(F51="","",IF('GREEN SHEET'!EN51="","",'GREEN SHEET'!EN51))</f>
        <v/>
      </c>
      <c r="AD51" s="174" t="str">
        <f>IF(AA51="","",RANK(AA51,AA$7:$AA$51,0)+COUNTIF($AA$7:AA51,AA51)-1)</f>
        <v/>
      </c>
      <c r="AE51" s="174" t="str">
        <f t="shared" si="2"/>
        <v/>
      </c>
      <c r="AF51" s="174" t="str">
        <f t="shared" si="3"/>
        <v/>
      </c>
      <c r="AG51" s="174" t="str">
        <f t="shared" si="4"/>
        <v/>
      </c>
    </row>
    <row r="52" spans="1:39" s="158" customFormat="1" ht="17.399999999999999" hidden="1" thickBot="1" x14ac:dyDescent="0.3">
      <c r="A52" s="154"/>
      <c r="B52" s="175"/>
      <c r="C52" s="175"/>
      <c r="D52" s="175"/>
      <c r="E52" s="175"/>
      <c r="F52" s="175"/>
      <c r="G52" s="176"/>
      <c r="H52" s="177"/>
      <c r="I52" s="177"/>
      <c r="J52" s="178"/>
      <c r="K52" s="175"/>
      <c r="L52" s="175"/>
      <c r="M52" s="177"/>
      <c r="N52" s="179"/>
      <c r="O52" s="179"/>
      <c r="P52" s="179"/>
      <c r="Q52" s="180"/>
      <c r="R52" s="179"/>
      <c r="S52" s="179"/>
      <c r="T52" s="179"/>
      <c r="U52" s="179"/>
      <c r="V52" s="181"/>
      <c r="W52" s="181"/>
      <c r="X52" s="179"/>
      <c r="Y52" s="179"/>
      <c r="Z52" s="179"/>
      <c r="AA52" s="182"/>
      <c r="AB52" s="179"/>
      <c r="AC52" s="179"/>
      <c r="AD52" s="183"/>
      <c r="AE52" s="183"/>
      <c r="AF52" s="183"/>
      <c r="AG52" s="183"/>
      <c r="AI52" s="21"/>
      <c r="AJ52" s="21"/>
      <c r="AK52" s="21"/>
      <c r="AL52" s="21"/>
      <c r="AM52" s="21"/>
    </row>
    <row r="53" spans="1:39" s="158" customFormat="1" ht="39" customHeight="1" thickBot="1" x14ac:dyDescent="0.3">
      <c r="A53" s="154"/>
      <c r="B53" s="1458" t="s">
        <v>226</v>
      </c>
      <c r="C53" s="1459"/>
      <c r="D53" s="1459"/>
      <c r="E53" s="1459"/>
      <c r="F53" s="1459"/>
      <c r="G53" s="184" t="s">
        <v>228</v>
      </c>
      <c r="H53" s="1460" t="s">
        <v>227</v>
      </c>
      <c r="I53" s="1461"/>
      <c r="J53" s="1461"/>
      <c r="K53" s="1461"/>
      <c r="L53" s="1461"/>
      <c r="M53" s="185"/>
      <c r="N53" s="1462" t="str">
        <f>"GRADE WISE RESULT  "&amp;DASHBOARD!B4</f>
        <v>GRADE WISE RESULT  SESSION    -  2025-26</v>
      </c>
      <c r="O53" s="1463"/>
      <c r="P53" s="1463"/>
      <c r="Q53" s="1463"/>
      <c r="R53" s="1463"/>
      <c r="S53" s="1463"/>
      <c r="T53" s="1463"/>
      <c r="U53" s="1463"/>
      <c r="V53" s="1463"/>
      <c r="W53" s="1463"/>
      <c r="X53" s="1463"/>
      <c r="Y53" s="1463"/>
      <c r="Z53" s="1463"/>
      <c r="AA53" s="1463"/>
      <c r="AB53" s="1463"/>
      <c r="AC53" s="1463"/>
      <c r="AD53" s="185"/>
      <c r="AE53" s="185"/>
      <c r="AF53" s="185"/>
      <c r="AG53" s="186"/>
      <c r="AI53" s="21"/>
      <c r="AJ53" s="21"/>
      <c r="AK53" s="21"/>
      <c r="AL53" s="21"/>
      <c r="AM53" s="21"/>
    </row>
    <row r="54" spans="1:39" s="158" customFormat="1" ht="63.75" customHeight="1" x14ac:dyDescent="0.25">
      <c r="A54" s="154"/>
      <c r="B54" s="25" t="str">
        <f>B6</f>
        <v>S.NO.</v>
      </c>
      <c r="C54" s="25" t="str">
        <f t="shared" ref="C54:X54" si="7">C6</f>
        <v>RANK</v>
      </c>
      <c r="D54" s="25" t="str">
        <f t="shared" si="7"/>
        <v>RANK</v>
      </c>
      <c r="E54" s="25" t="str">
        <f t="shared" si="7"/>
        <v>ROLL NO.</v>
      </c>
      <c r="F54" s="25" t="str">
        <f t="shared" si="7"/>
        <v>S.R.NO.</v>
      </c>
      <c r="G54" s="45" t="str">
        <f t="shared" si="7"/>
        <v xml:space="preserve">NAME </v>
      </c>
      <c r="H54" s="45" t="str">
        <f t="shared" si="7"/>
        <v>F'NAME</v>
      </c>
      <c r="I54" s="45" t="str">
        <f t="shared" si="7"/>
        <v>M'NAME</v>
      </c>
      <c r="J54" s="187" t="str">
        <f t="shared" si="7"/>
        <v>DOB</v>
      </c>
      <c r="K54" s="25" t="str">
        <f t="shared" si="7"/>
        <v>BOY/GIRL</v>
      </c>
      <c r="L54" s="25" t="str">
        <f t="shared" si="7"/>
        <v>CATEGORY</v>
      </c>
      <c r="M54" s="45" t="str">
        <f t="shared" si="7"/>
        <v>ADDRESS</v>
      </c>
      <c r="N54" s="166">
        <f t="shared" si="7"/>
        <v>100</v>
      </c>
      <c r="O54" s="166" t="str">
        <f>IF(N54="","",IF(N54&lt;33,"E",IF(AND(N54&gt;=33,N54&lt;41),"D",IF(AND(N54&gt;=41,N54&lt;51),"C2",IF(AND(N54&gt;=51,N54&lt;61),"C1",IF(AND(N54&gt;=61,N54&lt;71),"B2",IF(AND(N54&gt;=71,N54&lt;81),"B1",IF(AND(N54&gt;=81,N54&lt;91),"A2",IF(AND(N54&gt;=91,N54&lt;=100),"A1")))))))))</f>
        <v>A1</v>
      </c>
      <c r="P54" s="167">
        <f t="shared" si="7"/>
        <v>100</v>
      </c>
      <c r="Q54" s="188" t="str">
        <f>IF(P54="","",IF(P54&lt;33,"E",IF(AND(P54&gt;=33,P54&lt;41),"D",IF(AND(P54&gt;=41,P54&lt;51),"C2",IF(AND(P54&gt;=51,P54&lt;61),"C1",IF(AND(P54&gt;=61,P54&lt;71),"B2",IF(AND(P54&gt;=71,P54&lt;81),"B1",IF(AND(P54&gt;=81,P54&lt;91),"A2",IF(AND(P54&gt;=91,P54&lt;=100),"A1")))))))))</f>
        <v>A1</v>
      </c>
      <c r="R54" s="166">
        <f t="shared" si="7"/>
        <v>100</v>
      </c>
      <c r="S54" s="166" t="str">
        <f>IF(R54="","",IF(R54&lt;33,"E",IF(AND(R54&gt;=33,R54&lt;41),"D",IF(AND(R54&gt;=41,R54&lt;51),"C2",IF(AND(R54&gt;=51,R54&lt;61),"C1",IF(AND(R54&gt;=61,R54&lt;71),"B2",IF(AND(R54&gt;=71,R54&lt;81),"B1",IF(AND(R54&gt;=81,R54&lt;91),"A2",IF(AND(R54&gt;=91,R54&lt;=100),"A1")))))))))</f>
        <v>A1</v>
      </c>
      <c r="T54" s="167">
        <f t="shared" si="7"/>
        <v>100</v>
      </c>
      <c r="U54" s="167" t="str">
        <f>IF(T54="","",IF(T54&lt;33,"E",IF(AND(T54&gt;=33,T54&lt;41),"D",IF(AND(T54&gt;=41,T54&lt;51),"C2",IF(AND(T54&gt;=51,T54&lt;61),"C1",IF(AND(T54&gt;=61,T54&lt;71),"B2",IF(AND(T54&gt;=71,T54&lt;81),"B1",IF(AND(T54&gt;=81,T54&lt;91),"A2",IF(AND(T54&gt;=91,T54&lt;=100),"A1")))))))))</f>
        <v>A1</v>
      </c>
      <c r="V54" s="168">
        <f t="shared" si="7"/>
        <v>100</v>
      </c>
      <c r="W54" s="168" t="str">
        <f>IF(V54="","",IF(V54&lt;33,"E",IF(AND(V54&gt;=33,V54&lt;41),"D",IF(AND(V54&gt;=41,V54&lt;51),"C2",IF(AND(V54&gt;=51,V54&lt;61),"C1",IF(AND(V54&gt;=61,V54&lt;71),"B2",IF(AND(V54&gt;=71,V54&lt;81),"B1",IF(AND(V54&gt;=81,V54&lt;91),"A2",IF(AND(V54&gt;=91,V54&lt;=100),"A1")))))))))</f>
        <v>A1</v>
      </c>
      <c r="X54" s="167">
        <f t="shared" si="7"/>
        <v>100</v>
      </c>
      <c r="Y54" s="167" t="str">
        <f>IF(X54="","",IF(X54&lt;33,"E",IF(AND(X54&gt;=33,X54&lt;41),"D",IF(AND(X54&gt;=41,X54&lt;51),"C2",IF(AND(X54&gt;=51,X54&lt;61),"C1",IF(AND(X54&gt;=61,X54&lt;71),"B2",IF(AND(X54&gt;=71,X54&lt;81),"B1",IF(AND(X54&gt;=81,X54&lt;91),"A2",IF(AND(X54&gt;=91,X54&lt;=100),"A1")))))))))</f>
        <v>A1</v>
      </c>
      <c r="Z54" s="189" t="str">
        <f t="shared" ref="Z54:AE54" si="8">Z2</f>
        <v xml:space="preserve">GRAND TOTAL MARKS </v>
      </c>
      <c r="AA54" s="189" t="str">
        <f t="shared" si="8"/>
        <v>PERCENT</v>
      </c>
      <c r="AB54" s="189" t="str">
        <f t="shared" si="8"/>
        <v xml:space="preserve">OVERALL GRADE </v>
      </c>
      <c r="AC54" s="189" t="str">
        <f t="shared" si="8"/>
        <v xml:space="preserve">POSITION IN CLASS </v>
      </c>
      <c r="AD54" s="172" t="str">
        <f t="shared" si="8"/>
        <v>RANK</v>
      </c>
      <c r="AE54" s="172" t="str">
        <f t="shared" si="8"/>
        <v>H1</v>
      </c>
      <c r="AF54" s="172"/>
      <c r="AG54" s="172"/>
      <c r="AI54" s="21"/>
      <c r="AJ54" s="21"/>
      <c r="AK54" s="21"/>
      <c r="AL54" s="21"/>
      <c r="AM54" s="21"/>
    </row>
    <row r="55" spans="1:39" s="158" customFormat="1" ht="16.8" x14ac:dyDescent="0.25">
      <c r="A55" s="154"/>
      <c r="B55" s="25">
        <v>1</v>
      </c>
      <c r="C55" s="25" t="str">
        <f>IF(AG7="","",AG7)</f>
        <v/>
      </c>
      <c r="D55" s="25" t="str">
        <f>IF(AD55="","",AD55)</f>
        <v/>
      </c>
      <c r="E55" s="25" t="str">
        <f t="shared" ref="E55:E93" si="9">IF(C55="","",VLOOKUP(C55,$C$7:$AC$51,3,FALSE))</f>
        <v/>
      </c>
      <c r="F55" s="25" t="str">
        <f t="shared" ref="F55:F93" si="10">IF(C55="","",VLOOKUP(C55,$C$7:$AC$51,4,FALSE))</f>
        <v/>
      </c>
      <c r="G55" s="45" t="str">
        <f t="shared" ref="G55:G93" si="11">IF(C55="","",VLOOKUP(C55,$C$7:$AC$51,5,FALSE))</f>
        <v/>
      </c>
      <c r="H55" s="45" t="str">
        <f t="shared" ref="H55:H93" si="12">IF(C55="","",VLOOKUP(C55,$C$7:$AC$51,6,FALSE))</f>
        <v/>
      </c>
      <c r="I55" s="45" t="str">
        <f t="shared" ref="I55:I93" si="13">IF(C55="","",VLOOKUP(C55,$C$7:$AC$51,7,FALSE))</f>
        <v/>
      </c>
      <c r="J55" s="187" t="str">
        <f t="shared" ref="J55:J93" si="14">IF(C55="","",VLOOKUP(C55,$C$7:$AC$51,8,FALSE))</f>
        <v/>
      </c>
      <c r="K55" s="25" t="str">
        <f t="shared" ref="K55:K93" si="15">IF(C55="","",VLOOKUP(C55,$C$7:$AC$51,9,FALSE))</f>
        <v/>
      </c>
      <c r="L55" s="25" t="str">
        <f t="shared" ref="L55:L93" si="16">IF(C55="","",VLOOKUP(C55,$C$7:$AC$51,10,FALSE))</f>
        <v/>
      </c>
      <c r="M55" s="45" t="str">
        <f t="shared" ref="M55:M93" si="17">IF(C55="","",VLOOKUP(C55,$C$7:$AC$51,11,FALSE))</f>
        <v/>
      </c>
      <c r="N55" s="166" t="str">
        <f t="shared" ref="N55:N94" si="18">IF(C55="","",VLOOKUP(C55,$C$7:$AC$51,12,FALSE))</f>
        <v/>
      </c>
      <c r="O55" s="166" t="str">
        <f t="shared" ref="O55:O94" si="19">IF(N55="","",IF(N55&lt;33,"E",IF(AND(N55&gt;=33,N55&lt;41),"D",IF(AND(N55&gt;=41,N55&lt;51),"C2",IF(AND(N55&gt;=51,N55&lt;61),"C1",IF(AND(N55&gt;=61,N55&lt;71),"B2",IF(AND(N55&gt;=71,N55&lt;81),"B1",IF(AND(N55&gt;=81,N55&lt;91),"A2",IF(AND(N55&gt;=91,N55&lt;=100),"A1")))))))))</f>
        <v/>
      </c>
      <c r="P55" s="167" t="str">
        <f t="shared" ref="P55:P94" si="20">IF(C55="","",VLOOKUP(C55,$C$7:$AC$51,14,FALSE))</f>
        <v/>
      </c>
      <c r="Q55" s="188" t="str">
        <f t="shared" ref="Q55:Q94" si="21">IF(P55="","",IF(P55&lt;33,"E",IF(AND(P55&gt;=33,P55&lt;41),"D",IF(AND(P55&gt;=41,P55&lt;51),"C2",IF(AND(P55&gt;=51,P55&lt;61),"C1",IF(AND(P55&gt;=61,P55&lt;71),"B2",IF(AND(P55&gt;=71,P55&lt;81),"B1",IF(AND(P55&gt;=81,P55&lt;91),"A2",IF(AND(P55&gt;=91,P55&lt;=100),"A1")))))))))</f>
        <v/>
      </c>
      <c r="R55" s="166" t="str">
        <f t="shared" ref="R55:R94" si="22">IF(C55="","",VLOOKUP(C55,$C$7:$AC$51,16,FALSE))</f>
        <v/>
      </c>
      <c r="S55" s="166" t="str">
        <f t="shared" ref="S55:S94" si="23">IF(R55="","",IF(R55&lt;33,"E",IF(AND(R55&gt;=33,R55&lt;41),"D",IF(AND(R55&gt;=41,R55&lt;51),"C2",IF(AND(R55&gt;=51,R55&lt;61),"C1",IF(AND(R55&gt;=61,R55&lt;71),"B2",IF(AND(R55&gt;=71,R55&lt;81),"B1",IF(AND(R55&gt;=81,R55&lt;91),"A2",IF(AND(R55&gt;=91,R55&lt;=100),"A1")))))))))</f>
        <v/>
      </c>
      <c r="T55" s="167" t="str">
        <f t="shared" ref="T55:T94" si="24">IF(C55="","",VLOOKUP(C55,$C$7:$AC$51,18,FALSE))</f>
        <v/>
      </c>
      <c r="U55" s="167" t="str">
        <f t="shared" ref="U55:U94" si="25">IF(T55="","",IF(T55&lt;33,"E",IF(AND(T55&gt;=33,T55&lt;41),"D",IF(AND(T55&gt;=41,T55&lt;51),"C2",IF(AND(T55&gt;=51,T55&lt;61),"C1",IF(AND(T55&gt;=61,T55&lt;71),"B2",IF(AND(T55&gt;=71,T55&lt;81),"B1",IF(AND(T55&gt;=81,T55&lt;91),"A2",IF(AND(T55&gt;=91,T55&lt;=100),"A1")))))))))</f>
        <v/>
      </c>
      <c r="V55" s="168" t="str">
        <f t="shared" ref="V55:V94" si="26">IF(C55="","",VLOOKUP(C55,$C$7:$AC$51,20,FALSE))</f>
        <v/>
      </c>
      <c r="W55" s="168" t="str">
        <f t="shared" ref="W55:W94" si="27">IF(V55="","",IF(V55&lt;33,"E",IF(AND(V55&gt;=33,V55&lt;41),"D",IF(AND(V55&gt;=41,V55&lt;51),"C2",IF(AND(V55&gt;=51,V55&lt;61),"C1",IF(AND(V55&gt;=61,V55&lt;71),"B2",IF(AND(V55&gt;=71,V55&lt;81),"B1",IF(AND(V55&gt;=81,V55&lt;91),"A2",IF(AND(V55&gt;=91,V55&lt;=100),"A1")))))))))</f>
        <v/>
      </c>
      <c r="X55" s="167" t="str">
        <f t="shared" ref="X55:X94" si="28">IF(C55="","",VLOOKUP(C55,$C$7:$AC$51,22,FALSE))</f>
        <v/>
      </c>
      <c r="Y55" s="167" t="str">
        <f t="shared" ref="Y55:Y94" si="29">IF(X55="","",IF(X55&lt;33,"E",IF(AND(X55&gt;=33,X55&lt;41),"D",IF(AND(X55&gt;=41,X55&lt;51),"C2",IF(AND(X55&gt;=51,X55&lt;61),"C1",IF(AND(X55&gt;=61,X55&lt;71),"B2",IF(AND(X55&gt;=71,X55&lt;81),"B1",IF(AND(X55&gt;=81,X55&lt;91),"A2",IF(AND(X55&gt;=91,X55&lt;=100),"A1")))))))))</f>
        <v/>
      </c>
      <c r="Z55" s="169" t="str">
        <f t="shared" ref="Z55:Z94" si="30">IF(C55="","",VLOOKUP(C55,$C$7:$AC$51,24,FALSE))</f>
        <v/>
      </c>
      <c r="AA55" s="170" t="str">
        <f t="shared" ref="AA55:AA94" si="31">IF(C55="","",VLOOKUP(C55,$C$7:$AC$51,25,FALSE))</f>
        <v/>
      </c>
      <c r="AB55" s="169" t="str">
        <f t="shared" ref="AB55:AB94" si="32">IF(C55="","",VLOOKUP(C55,$C$7:$AC$51,26,FALSE))</f>
        <v/>
      </c>
      <c r="AC55" s="169" t="str">
        <f t="shared" ref="AC55:AC94" si="33">IF(C55="","",VLOOKUP(C55,$C$7:$AC$51,27,FALSE))</f>
        <v/>
      </c>
      <c r="AD55" s="174" t="str">
        <f>IF(C55="","",VLOOKUP(C55,$C$7:$AD$51,28,FALSE))</f>
        <v/>
      </c>
      <c r="AE55" s="174" t="str">
        <f t="shared" ref="AE55:AE94" si="34">IF(AD55="","",SMALL($AD$55:$AD$94,B7))</f>
        <v/>
      </c>
      <c r="AF55" s="174"/>
      <c r="AG55" s="174"/>
      <c r="AI55" s="21"/>
      <c r="AJ55" s="21"/>
      <c r="AK55" s="21"/>
      <c r="AL55" s="21"/>
      <c r="AM55" s="21"/>
    </row>
    <row r="56" spans="1:39" s="158" customFormat="1" ht="16.8" x14ac:dyDescent="0.25">
      <c r="A56" s="154"/>
      <c r="B56" s="25">
        <v>2</v>
      </c>
      <c r="C56" s="25" t="str">
        <f t="shared" ref="C56:C94" si="35">IF(AG8="","",AG8)</f>
        <v/>
      </c>
      <c r="D56" s="25" t="str">
        <f t="shared" ref="D56:D93" si="36">IF(AD56="","",AD56)</f>
        <v/>
      </c>
      <c r="E56" s="25" t="str">
        <f t="shared" si="9"/>
        <v/>
      </c>
      <c r="F56" s="25" t="str">
        <f t="shared" si="10"/>
        <v/>
      </c>
      <c r="G56" s="45" t="str">
        <f t="shared" si="11"/>
        <v/>
      </c>
      <c r="H56" s="45" t="str">
        <f t="shared" si="12"/>
        <v/>
      </c>
      <c r="I56" s="45" t="str">
        <f t="shared" si="13"/>
        <v/>
      </c>
      <c r="J56" s="187" t="str">
        <f t="shared" si="14"/>
        <v/>
      </c>
      <c r="K56" s="25" t="str">
        <f t="shared" si="15"/>
        <v/>
      </c>
      <c r="L56" s="25" t="str">
        <f t="shared" si="16"/>
        <v/>
      </c>
      <c r="M56" s="45" t="str">
        <f t="shared" si="17"/>
        <v/>
      </c>
      <c r="N56" s="166" t="str">
        <f t="shared" si="18"/>
        <v/>
      </c>
      <c r="O56" s="166" t="str">
        <f t="shared" si="19"/>
        <v/>
      </c>
      <c r="P56" s="167" t="str">
        <f t="shared" si="20"/>
        <v/>
      </c>
      <c r="Q56" s="188" t="str">
        <f t="shared" si="21"/>
        <v/>
      </c>
      <c r="R56" s="166" t="str">
        <f t="shared" si="22"/>
        <v/>
      </c>
      <c r="S56" s="166" t="str">
        <f t="shared" si="23"/>
        <v/>
      </c>
      <c r="T56" s="167" t="str">
        <f t="shared" si="24"/>
        <v/>
      </c>
      <c r="U56" s="167" t="str">
        <f t="shared" si="25"/>
        <v/>
      </c>
      <c r="V56" s="168" t="str">
        <f t="shared" si="26"/>
        <v/>
      </c>
      <c r="W56" s="168" t="str">
        <f t="shared" si="27"/>
        <v/>
      </c>
      <c r="X56" s="167" t="str">
        <f t="shared" si="28"/>
        <v/>
      </c>
      <c r="Y56" s="167" t="str">
        <f t="shared" si="29"/>
        <v/>
      </c>
      <c r="Z56" s="169" t="str">
        <f t="shared" si="30"/>
        <v/>
      </c>
      <c r="AA56" s="170" t="str">
        <f t="shared" si="31"/>
        <v/>
      </c>
      <c r="AB56" s="169" t="str">
        <f t="shared" si="32"/>
        <v/>
      </c>
      <c r="AC56" s="169" t="str">
        <f t="shared" si="33"/>
        <v/>
      </c>
      <c r="AD56" s="174" t="str">
        <f>IF(C56="","",VLOOKUP(C56,$C$7:$AD$51,28,FALSE))</f>
        <v/>
      </c>
      <c r="AE56" s="174" t="str">
        <f t="shared" si="34"/>
        <v/>
      </c>
      <c r="AF56" s="174"/>
      <c r="AG56" s="174"/>
      <c r="AI56" s="21"/>
      <c r="AJ56" s="21"/>
      <c r="AK56" s="21"/>
      <c r="AL56" s="21"/>
      <c r="AM56" s="21"/>
    </row>
    <row r="57" spans="1:39" s="158" customFormat="1" ht="16.8" x14ac:dyDescent="0.25">
      <c r="A57" s="154"/>
      <c r="B57" s="25">
        <v>3</v>
      </c>
      <c r="C57" s="25" t="str">
        <f t="shared" si="35"/>
        <v/>
      </c>
      <c r="D57" s="25" t="str">
        <f t="shared" si="36"/>
        <v/>
      </c>
      <c r="E57" s="25" t="str">
        <f t="shared" si="9"/>
        <v/>
      </c>
      <c r="F57" s="25" t="str">
        <f t="shared" si="10"/>
        <v/>
      </c>
      <c r="G57" s="45" t="str">
        <f t="shared" si="11"/>
        <v/>
      </c>
      <c r="H57" s="45" t="str">
        <f t="shared" si="12"/>
        <v/>
      </c>
      <c r="I57" s="45" t="str">
        <f t="shared" si="13"/>
        <v/>
      </c>
      <c r="J57" s="187" t="str">
        <f t="shared" si="14"/>
        <v/>
      </c>
      <c r="K57" s="25" t="str">
        <f t="shared" si="15"/>
        <v/>
      </c>
      <c r="L57" s="25" t="str">
        <f t="shared" si="16"/>
        <v/>
      </c>
      <c r="M57" s="45" t="str">
        <f t="shared" si="17"/>
        <v/>
      </c>
      <c r="N57" s="166" t="str">
        <f t="shared" si="18"/>
        <v/>
      </c>
      <c r="O57" s="166" t="str">
        <f t="shared" si="19"/>
        <v/>
      </c>
      <c r="P57" s="167" t="str">
        <f t="shared" si="20"/>
        <v/>
      </c>
      <c r="Q57" s="188" t="str">
        <f t="shared" si="21"/>
        <v/>
      </c>
      <c r="R57" s="166" t="str">
        <f t="shared" si="22"/>
        <v/>
      </c>
      <c r="S57" s="166" t="str">
        <f t="shared" si="23"/>
        <v/>
      </c>
      <c r="T57" s="167" t="str">
        <f t="shared" si="24"/>
        <v/>
      </c>
      <c r="U57" s="167" t="str">
        <f t="shared" si="25"/>
        <v/>
      </c>
      <c r="V57" s="168" t="str">
        <f t="shared" si="26"/>
        <v/>
      </c>
      <c r="W57" s="168" t="str">
        <f t="shared" si="27"/>
        <v/>
      </c>
      <c r="X57" s="167" t="str">
        <f t="shared" si="28"/>
        <v/>
      </c>
      <c r="Y57" s="167" t="str">
        <f t="shared" si="29"/>
        <v/>
      </c>
      <c r="Z57" s="169" t="str">
        <f t="shared" si="30"/>
        <v/>
      </c>
      <c r="AA57" s="170" t="str">
        <f t="shared" si="31"/>
        <v/>
      </c>
      <c r="AB57" s="169" t="str">
        <f t="shared" si="32"/>
        <v/>
      </c>
      <c r="AC57" s="169" t="str">
        <f t="shared" si="33"/>
        <v/>
      </c>
      <c r="AD57" s="174" t="str">
        <f>IF(C57="","",VLOOKUP(C57,$C$7:$AD$51,28,FALSE))</f>
        <v/>
      </c>
      <c r="AE57" s="174" t="str">
        <f t="shared" si="34"/>
        <v/>
      </c>
      <c r="AF57" s="174"/>
      <c r="AG57" s="174"/>
      <c r="AI57" s="21"/>
      <c r="AJ57" s="21"/>
      <c r="AK57" s="21"/>
      <c r="AL57" s="21"/>
      <c r="AM57" s="21"/>
    </row>
    <row r="58" spans="1:39" s="158" customFormat="1" ht="16.8" x14ac:dyDescent="0.25">
      <c r="A58" s="154"/>
      <c r="B58" s="25">
        <v>4</v>
      </c>
      <c r="C58" s="25" t="str">
        <f t="shared" si="35"/>
        <v/>
      </c>
      <c r="D58" s="25" t="str">
        <f t="shared" si="36"/>
        <v/>
      </c>
      <c r="E58" s="25" t="str">
        <f t="shared" si="9"/>
        <v/>
      </c>
      <c r="F58" s="25" t="str">
        <f t="shared" si="10"/>
        <v/>
      </c>
      <c r="G58" s="45" t="str">
        <f t="shared" si="11"/>
        <v/>
      </c>
      <c r="H58" s="45" t="str">
        <f t="shared" si="12"/>
        <v/>
      </c>
      <c r="I58" s="45" t="str">
        <f t="shared" si="13"/>
        <v/>
      </c>
      <c r="J58" s="187" t="str">
        <f t="shared" si="14"/>
        <v/>
      </c>
      <c r="K58" s="25" t="str">
        <f t="shared" si="15"/>
        <v/>
      </c>
      <c r="L58" s="25" t="str">
        <f t="shared" si="16"/>
        <v/>
      </c>
      <c r="M58" s="45" t="str">
        <f t="shared" si="17"/>
        <v/>
      </c>
      <c r="N58" s="166" t="str">
        <f t="shared" si="18"/>
        <v/>
      </c>
      <c r="O58" s="166" t="str">
        <f t="shared" si="19"/>
        <v/>
      </c>
      <c r="P58" s="167" t="str">
        <f t="shared" si="20"/>
        <v/>
      </c>
      <c r="Q58" s="188" t="str">
        <f t="shared" si="21"/>
        <v/>
      </c>
      <c r="R58" s="166" t="str">
        <f t="shared" si="22"/>
        <v/>
      </c>
      <c r="S58" s="166" t="str">
        <f t="shared" si="23"/>
        <v/>
      </c>
      <c r="T58" s="167" t="str">
        <f t="shared" si="24"/>
        <v/>
      </c>
      <c r="U58" s="167" t="str">
        <f t="shared" si="25"/>
        <v/>
      </c>
      <c r="V58" s="168" t="str">
        <f t="shared" si="26"/>
        <v/>
      </c>
      <c r="W58" s="168" t="str">
        <f t="shared" si="27"/>
        <v/>
      </c>
      <c r="X58" s="167" t="str">
        <f t="shared" si="28"/>
        <v/>
      </c>
      <c r="Y58" s="167" t="str">
        <f t="shared" si="29"/>
        <v/>
      </c>
      <c r="Z58" s="169" t="str">
        <f t="shared" si="30"/>
        <v/>
      </c>
      <c r="AA58" s="170" t="str">
        <f t="shared" si="31"/>
        <v/>
      </c>
      <c r="AB58" s="169" t="str">
        <f t="shared" si="32"/>
        <v/>
      </c>
      <c r="AC58" s="169" t="str">
        <f t="shared" si="33"/>
        <v/>
      </c>
      <c r="AD58" s="174" t="str">
        <f>IF(C58="","",VLOOKUP(C58,$C$7:$AD$51,28,FALSE))</f>
        <v/>
      </c>
      <c r="AE58" s="174" t="str">
        <f t="shared" si="34"/>
        <v/>
      </c>
      <c r="AF58" s="174"/>
      <c r="AG58" s="174"/>
      <c r="AI58" s="21"/>
      <c r="AJ58" s="21"/>
      <c r="AK58" s="21"/>
      <c r="AL58" s="21"/>
      <c r="AM58" s="21"/>
    </row>
    <row r="59" spans="1:39" s="158" customFormat="1" ht="16.8" x14ac:dyDescent="0.25">
      <c r="A59" s="154"/>
      <c r="B59" s="25">
        <v>5</v>
      </c>
      <c r="C59" s="25" t="str">
        <f t="shared" si="35"/>
        <v/>
      </c>
      <c r="D59" s="25" t="str">
        <f t="shared" si="36"/>
        <v/>
      </c>
      <c r="E59" s="25" t="str">
        <f t="shared" si="9"/>
        <v/>
      </c>
      <c r="F59" s="25" t="str">
        <f t="shared" si="10"/>
        <v/>
      </c>
      <c r="G59" s="45" t="str">
        <f t="shared" si="11"/>
        <v/>
      </c>
      <c r="H59" s="45" t="str">
        <f t="shared" si="12"/>
        <v/>
      </c>
      <c r="I59" s="45" t="str">
        <f t="shared" si="13"/>
        <v/>
      </c>
      <c r="J59" s="187" t="str">
        <f t="shared" si="14"/>
        <v/>
      </c>
      <c r="K59" s="25" t="str">
        <f t="shared" si="15"/>
        <v/>
      </c>
      <c r="L59" s="25" t="str">
        <f t="shared" si="16"/>
        <v/>
      </c>
      <c r="M59" s="45" t="str">
        <f t="shared" si="17"/>
        <v/>
      </c>
      <c r="N59" s="166" t="str">
        <f t="shared" si="18"/>
        <v/>
      </c>
      <c r="O59" s="166" t="str">
        <f t="shared" si="19"/>
        <v/>
      </c>
      <c r="P59" s="167" t="str">
        <f t="shared" si="20"/>
        <v/>
      </c>
      <c r="Q59" s="188" t="str">
        <f t="shared" si="21"/>
        <v/>
      </c>
      <c r="R59" s="166" t="str">
        <f t="shared" si="22"/>
        <v/>
      </c>
      <c r="S59" s="166" t="str">
        <f t="shared" si="23"/>
        <v/>
      </c>
      <c r="T59" s="167" t="str">
        <f t="shared" si="24"/>
        <v/>
      </c>
      <c r="U59" s="167" t="str">
        <f t="shared" si="25"/>
        <v/>
      </c>
      <c r="V59" s="168" t="str">
        <f t="shared" si="26"/>
        <v/>
      </c>
      <c r="W59" s="168" t="str">
        <f t="shared" si="27"/>
        <v/>
      </c>
      <c r="X59" s="167" t="str">
        <f t="shared" si="28"/>
        <v/>
      </c>
      <c r="Y59" s="167" t="str">
        <f t="shared" si="29"/>
        <v/>
      </c>
      <c r="Z59" s="169" t="str">
        <f t="shared" si="30"/>
        <v/>
      </c>
      <c r="AA59" s="170" t="str">
        <f t="shared" si="31"/>
        <v/>
      </c>
      <c r="AB59" s="169" t="str">
        <f t="shared" si="32"/>
        <v/>
      </c>
      <c r="AC59" s="169" t="str">
        <f t="shared" si="33"/>
        <v/>
      </c>
      <c r="AD59" s="174" t="str">
        <f>IF(C59="","",VLOOKUP(C59,$C$7:$AD$51,28,FALSE))</f>
        <v/>
      </c>
      <c r="AE59" s="174" t="str">
        <f t="shared" si="34"/>
        <v/>
      </c>
      <c r="AF59" s="174"/>
      <c r="AG59" s="174"/>
      <c r="AI59" s="21"/>
      <c r="AJ59" s="21"/>
      <c r="AK59" s="21"/>
      <c r="AL59" s="21"/>
      <c r="AM59" s="21"/>
    </row>
    <row r="60" spans="1:39" s="158" customFormat="1" ht="16.8" x14ac:dyDescent="0.25">
      <c r="A60" s="154"/>
      <c r="B60" s="25">
        <v>6</v>
      </c>
      <c r="C60" s="25" t="str">
        <f t="shared" si="35"/>
        <v/>
      </c>
      <c r="D60" s="25" t="str">
        <f t="shared" si="36"/>
        <v/>
      </c>
      <c r="E60" s="25" t="str">
        <f t="shared" si="9"/>
        <v/>
      </c>
      <c r="F60" s="25" t="str">
        <f t="shared" si="10"/>
        <v/>
      </c>
      <c r="G60" s="45" t="str">
        <f t="shared" si="11"/>
        <v/>
      </c>
      <c r="H60" s="45" t="str">
        <f t="shared" si="12"/>
        <v/>
      </c>
      <c r="I60" s="45" t="str">
        <f t="shared" si="13"/>
        <v/>
      </c>
      <c r="J60" s="187" t="str">
        <f t="shared" si="14"/>
        <v/>
      </c>
      <c r="K60" s="25" t="str">
        <f t="shared" si="15"/>
        <v/>
      </c>
      <c r="L60" s="25" t="str">
        <f t="shared" si="16"/>
        <v/>
      </c>
      <c r="M60" s="45" t="str">
        <f t="shared" si="17"/>
        <v/>
      </c>
      <c r="N60" s="166" t="str">
        <f t="shared" si="18"/>
        <v/>
      </c>
      <c r="O60" s="166" t="str">
        <f t="shared" si="19"/>
        <v/>
      </c>
      <c r="P60" s="167" t="str">
        <f t="shared" si="20"/>
        <v/>
      </c>
      <c r="Q60" s="188" t="str">
        <f t="shared" si="21"/>
        <v/>
      </c>
      <c r="R60" s="166" t="str">
        <f t="shared" si="22"/>
        <v/>
      </c>
      <c r="S60" s="166" t="str">
        <f t="shared" si="23"/>
        <v/>
      </c>
      <c r="T60" s="167" t="str">
        <f t="shared" si="24"/>
        <v/>
      </c>
      <c r="U60" s="167" t="str">
        <f t="shared" si="25"/>
        <v/>
      </c>
      <c r="V60" s="168" t="str">
        <f t="shared" si="26"/>
        <v/>
      </c>
      <c r="W60" s="168" t="str">
        <f t="shared" si="27"/>
        <v/>
      </c>
      <c r="X60" s="167" t="str">
        <f t="shared" si="28"/>
        <v/>
      </c>
      <c r="Y60" s="167" t="str">
        <f t="shared" si="29"/>
        <v/>
      </c>
      <c r="Z60" s="169" t="str">
        <f t="shared" si="30"/>
        <v/>
      </c>
      <c r="AA60" s="170" t="str">
        <f t="shared" si="31"/>
        <v/>
      </c>
      <c r="AB60" s="169" t="str">
        <f t="shared" si="32"/>
        <v/>
      </c>
      <c r="AC60" s="169" t="str">
        <f t="shared" si="33"/>
        <v/>
      </c>
      <c r="AD60" s="174"/>
      <c r="AE60" s="174" t="str">
        <f t="shared" si="34"/>
        <v/>
      </c>
      <c r="AF60" s="174"/>
      <c r="AG60" s="174"/>
      <c r="AI60" s="21"/>
      <c r="AJ60" s="21"/>
      <c r="AK60" s="21"/>
      <c r="AL60" s="21"/>
      <c r="AM60" s="21"/>
    </row>
    <row r="61" spans="1:39" s="158" customFormat="1" ht="16.8" x14ac:dyDescent="0.25">
      <c r="A61" s="154"/>
      <c r="B61" s="25">
        <v>7</v>
      </c>
      <c r="C61" s="25" t="str">
        <f t="shared" si="35"/>
        <v/>
      </c>
      <c r="D61" s="25" t="str">
        <f t="shared" si="36"/>
        <v/>
      </c>
      <c r="E61" s="25" t="str">
        <f t="shared" si="9"/>
        <v/>
      </c>
      <c r="F61" s="25" t="str">
        <f t="shared" si="10"/>
        <v/>
      </c>
      <c r="G61" s="45" t="str">
        <f t="shared" si="11"/>
        <v/>
      </c>
      <c r="H61" s="45" t="str">
        <f t="shared" si="12"/>
        <v/>
      </c>
      <c r="I61" s="45" t="str">
        <f t="shared" si="13"/>
        <v/>
      </c>
      <c r="J61" s="187" t="str">
        <f t="shared" si="14"/>
        <v/>
      </c>
      <c r="K61" s="25" t="str">
        <f t="shared" si="15"/>
        <v/>
      </c>
      <c r="L61" s="25" t="str">
        <f t="shared" si="16"/>
        <v/>
      </c>
      <c r="M61" s="45" t="str">
        <f t="shared" si="17"/>
        <v/>
      </c>
      <c r="N61" s="166" t="str">
        <f t="shared" si="18"/>
        <v/>
      </c>
      <c r="O61" s="166" t="str">
        <f t="shared" si="19"/>
        <v/>
      </c>
      <c r="P61" s="167" t="str">
        <f t="shared" si="20"/>
        <v/>
      </c>
      <c r="Q61" s="188" t="str">
        <f t="shared" si="21"/>
        <v/>
      </c>
      <c r="R61" s="166" t="str">
        <f t="shared" si="22"/>
        <v/>
      </c>
      <c r="S61" s="166" t="str">
        <f t="shared" si="23"/>
        <v/>
      </c>
      <c r="T61" s="167" t="str">
        <f t="shared" si="24"/>
        <v/>
      </c>
      <c r="U61" s="167" t="str">
        <f t="shared" si="25"/>
        <v/>
      </c>
      <c r="V61" s="168" t="str">
        <f t="shared" si="26"/>
        <v/>
      </c>
      <c r="W61" s="168" t="str">
        <f t="shared" si="27"/>
        <v/>
      </c>
      <c r="X61" s="167" t="str">
        <f t="shared" si="28"/>
        <v/>
      </c>
      <c r="Y61" s="167" t="str">
        <f t="shared" si="29"/>
        <v/>
      </c>
      <c r="Z61" s="169" t="str">
        <f t="shared" si="30"/>
        <v/>
      </c>
      <c r="AA61" s="170" t="str">
        <f t="shared" si="31"/>
        <v/>
      </c>
      <c r="AB61" s="169" t="str">
        <f t="shared" si="32"/>
        <v/>
      </c>
      <c r="AC61" s="169" t="str">
        <f t="shared" si="33"/>
        <v/>
      </c>
      <c r="AD61" s="174"/>
      <c r="AE61" s="174" t="str">
        <f t="shared" si="34"/>
        <v/>
      </c>
      <c r="AF61" s="174"/>
      <c r="AG61" s="174"/>
      <c r="AI61" s="21"/>
      <c r="AJ61" s="21"/>
      <c r="AK61" s="21"/>
      <c r="AL61" s="21"/>
      <c r="AM61" s="21"/>
    </row>
    <row r="62" spans="1:39" s="158" customFormat="1" ht="16.8" x14ac:dyDescent="0.25">
      <c r="A62" s="154"/>
      <c r="B62" s="25">
        <v>8</v>
      </c>
      <c r="C62" s="25" t="str">
        <f t="shared" si="35"/>
        <v/>
      </c>
      <c r="D62" s="25" t="str">
        <f t="shared" si="36"/>
        <v/>
      </c>
      <c r="E62" s="25" t="str">
        <f t="shared" si="9"/>
        <v/>
      </c>
      <c r="F62" s="25" t="str">
        <f t="shared" si="10"/>
        <v/>
      </c>
      <c r="G62" s="45" t="str">
        <f t="shared" si="11"/>
        <v/>
      </c>
      <c r="H62" s="45" t="str">
        <f t="shared" si="12"/>
        <v/>
      </c>
      <c r="I62" s="45" t="str">
        <f t="shared" si="13"/>
        <v/>
      </c>
      <c r="J62" s="187" t="str">
        <f t="shared" si="14"/>
        <v/>
      </c>
      <c r="K62" s="25" t="str">
        <f t="shared" si="15"/>
        <v/>
      </c>
      <c r="L62" s="25" t="str">
        <f t="shared" si="16"/>
        <v/>
      </c>
      <c r="M62" s="45" t="str">
        <f t="shared" si="17"/>
        <v/>
      </c>
      <c r="N62" s="166" t="str">
        <f t="shared" si="18"/>
        <v/>
      </c>
      <c r="O62" s="166" t="str">
        <f t="shared" si="19"/>
        <v/>
      </c>
      <c r="P62" s="167" t="str">
        <f t="shared" si="20"/>
        <v/>
      </c>
      <c r="Q62" s="188" t="str">
        <f t="shared" si="21"/>
        <v/>
      </c>
      <c r="R62" s="166" t="str">
        <f t="shared" si="22"/>
        <v/>
      </c>
      <c r="S62" s="166" t="str">
        <f t="shared" si="23"/>
        <v/>
      </c>
      <c r="T62" s="167" t="str">
        <f t="shared" si="24"/>
        <v/>
      </c>
      <c r="U62" s="167" t="str">
        <f t="shared" si="25"/>
        <v/>
      </c>
      <c r="V62" s="168" t="str">
        <f t="shared" si="26"/>
        <v/>
      </c>
      <c r="W62" s="168" t="str">
        <f t="shared" si="27"/>
        <v/>
      </c>
      <c r="X62" s="167" t="str">
        <f t="shared" si="28"/>
        <v/>
      </c>
      <c r="Y62" s="167" t="str">
        <f t="shared" si="29"/>
        <v/>
      </c>
      <c r="Z62" s="169" t="str">
        <f t="shared" si="30"/>
        <v/>
      </c>
      <c r="AA62" s="170" t="str">
        <f t="shared" si="31"/>
        <v/>
      </c>
      <c r="AB62" s="169" t="str">
        <f t="shared" si="32"/>
        <v/>
      </c>
      <c r="AC62" s="169" t="str">
        <f t="shared" si="33"/>
        <v/>
      </c>
      <c r="AD62" s="174"/>
      <c r="AE62" s="174" t="str">
        <f t="shared" si="34"/>
        <v/>
      </c>
      <c r="AF62" s="174"/>
      <c r="AG62" s="174"/>
      <c r="AI62" s="21"/>
      <c r="AJ62" s="21"/>
      <c r="AK62" s="21"/>
      <c r="AL62" s="21"/>
      <c r="AM62" s="21"/>
    </row>
    <row r="63" spans="1:39" s="158" customFormat="1" ht="16.8" x14ac:dyDescent="0.25">
      <c r="A63" s="154"/>
      <c r="B63" s="25">
        <v>9</v>
      </c>
      <c r="C63" s="25" t="str">
        <f t="shared" si="35"/>
        <v/>
      </c>
      <c r="D63" s="25" t="str">
        <f t="shared" si="36"/>
        <v/>
      </c>
      <c r="E63" s="25" t="str">
        <f t="shared" si="9"/>
        <v/>
      </c>
      <c r="F63" s="25" t="str">
        <f t="shared" si="10"/>
        <v/>
      </c>
      <c r="G63" s="45" t="str">
        <f t="shared" si="11"/>
        <v/>
      </c>
      <c r="H63" s="45" t="str">
        <f t="shared" si="12"/>
        <v/>
      </c>
      <c r="I63" s="45" t="str">
        <f t="shared" si="13"/>
        <v/>
      </c>
      <c r="J63" s="187" t="str">
        <f t="shared" si="14"/>
        <v/>
      </c>
      <c r="K63" s="25" t="str">
        <f t="shared" si="15"/>
        <v/>
      </c>
      <c r="L63" s="25" t="str">
        <f t="shared" si="16"/>
        <v/>
      </c>
      <c r="M63" s="45" t="str">
        <f t="shared" si="17"/>
        <v/>
      </c>
      <c r="N63" s="166" t="str">
        <f t="shared" si="18"/>
        <v/>
      </c>
      <c r="O63" s="166" t="str">
        <f t="shared" si="19"/>
        <v/>
      </c>
      <c r="P63" s="167" t="str">
        <f t="shared" si="20"/>
        <v/>
      </c>
      <c r="Q63" s="188" t="str">
        <f t="shared" si="21"/>
        <v/>
      </c>
      <c r="R63" s="166" t="str">
        <f t="shared" si="22"/>
        <v/>
      </c>
      <c r="S63" s="166" t="str">
        <f t="shared" si="23"/>
        <v/>
      </c>
      <c r="T63" s="167" t="str">
        <f t="shared" si="24"/>
        <v/>
      </c>
      <c r="U63" s="167" t="str">
        <f t="shared" si="25"/>
        <v/>
      </c>
      <c r="V63" s="168" t="str">
        <f t="shared" si="26"/>
        <v/>
      </c>
      <c r="W63" s="168" t="str">
        <f t="shared" si="27"/>
        <v/>
      </c>
      <c r="X63" s="167" t="str">
        <f t="shared" si="28"/>
        <v/>
      </c>
      <c r="Y63" s="167" t="str">
        <f t="shared" si="29"/>
        <v/>
      </c>
      <c r="Z63" s="169" t="str">
        <f t="shared" si="30"/>
        <v/>
      </c>
      <c r="AA63" s="170" t="str">
        <f t="shared" si="31"/>
        <v/>
      </c>
      <c r="AB63" s="169" t="str">
        <f t="shared" si="32"/>
        <v/>
      </c>
      <c r="AC63" s="169" t="str">
        <f t="shared" si="33"/>
        <v/>
      </c>
      <c r="AD63" s="174"/>
      <c r="AE63" s="174" t="str">
        <f t="shared" si="34"/>
        <v/>
      </c>
      <c r="AF63" s="174"/>
      <c r="AG63" s="174"/>
      <c r="AI63" s="21"/>
      <c r="AJ63" s="21"/>
      <c r="AK63" s="21"/>
      <c r="AL63" s="21"/>
      <c r="AM63" s="21"/>
    </row>
    <row r="64" spans="1:39" s="158" customFormat="1" ht="16.8" x14ac:dyDescent="0.25">
      <c r="A64" s="154"/>
      <c r="B64" s="25">
        <v>10</v>
      </c>
      <c r="C64" s="25" t="str">
        <f t="shared" si="35"/>
        <v/>
      </c>
      <c r="D64" s="25" t="str">
        <f t="shared" si="36"/>
        <v/>
      </c>
      <c r="E64" s="25" t="str">
        <f t="shared" si="9"/>
        <v/>
      </c>
      <c r="F64" s="25" t="str">
        <f t="shared" si="10"/>
        <v/>
      </c>
      <c r="G64" s="45" t="str">
        <f t="shared" si="11"/>
        <v/>
      </c>
      <c r="H64" s="45" t="str">
        <f t="shared" si="12"/>
        <v/>
      </c>
      <c r="I64" s="45" t="str">
        <f t="shared" si="13"/>
        <v/>
      </c>
      <c r="J64" s="187" t="str">
        <f t="shared" si="14"/>
        <v/>
      </c>
      <c r="K64" s="25" t="str">
        <f t="shared" si="15"/>
        <v/>
      </c>
      <c r="L64" s="25" t="str">
        <f t="shared" si="16"/>
        <v/>
      </c>
      <c r="M64" s="45" t="str">
        <f t="shared" si="17"/>
        <v/>
      </c>
      <c r="N64" s="166" t="str">
        <f t="shared" si="18"/>
        <v/>
      </c>
      <c r="O64" s="166" t="str">
        <f t="shared" si="19"/>
        <v/>
      </c>
      <c r="P64" s="167" t="str">
        <f t="shared" si="20"/>
        <v/>
      </c>
      <c r="Q64" s="188" t="str">
        <f t="shared" si="21"/>
        <v/>
      </c>
      <c r="R64" s="166" t="str">
        <f t="shared" si="22"/>
        <v/>
      </c>
      <c r="S64" s="166" t="str">
        <f t="shared" si="23"/>
        <v/>
      </c>
      <c r="T64" s="167" t="str">
        <f t="shared" si="24"/>
        <v/>
      </c>
      <c r="U64" s="167" t="str">
        <f t="shared" si="25"/>
        <v/>
      </c>
      <c r="V64" s="168" t="str">
        <f t="shared" si="26"/>
        <v/>
      </c>
      <c r="W64" s="168" t="str">
        <f t="shared" si="27"/>
        <v/>
      </c>
      <c r="X64" s="167" t="str">
        <f t="shared" si="28"/>
        <v/>
      </c>
      <c r="Y64" s="167" t="str">
        <f t="shared" si="29"/>
        <v/>
      </c>
      <c r="Z64" s="169" t="str">
        <f t="shared" si="30"/>
        <v/>
      </c>
      <c r="AA64" s="170" t="str">
        <f t="shared" si="31"/>
        <v/>
      </c>
      <c r="AB64" s="169" t="str">
        <f t="shared" si="32"/>
        <v/>
      </c>
      <c r="AC64" s="169" t="str">
        <f t="shared" si="33"/>
        <v/>
      </c>
      <c r="AD64" s="174"/>
      <c r="AE64" s="174" t="str">
        <f t="shared" si="34"/>
        <v/>
      </c>
      <c r="AF64" s="174"/>
      <c r="AG64" s="174"/>
      <c r="AI64" s="21"/>
      <c r="AJ64" s="21"/>
      <c r="AK64" s="21"/>
      <c r="AL64" s="21"/>
      <c r="AM64" s="21"/>
    </row>
    <row r="65" spans="1:39" s="158" customFormat="1" ht="16.8" x14ac:dyDescent="0.25">
      <c r="A65" s="154"/>
      <c r="B65" s="25">
        <v>11</v>
      </c>
      <c r="C65" s="25" t="str">
        <f t="shared" si="35"/>
        <v/>
      </c>
      <c r="D65" s="25" t="str">
        <f t="shared" si="36"/>
        <v/>
      </c>
      <c r="E65" s="25" t="str">
        <f t="shared" si="9"/>
        <v/>
      </c>
      <c r="F65" s="25" t="str">
        <f t="shared" si="10"/>
        <v/>
      </c>
      <c r="G65" s="45" t="str">
        <f t="shared" si="11"/>
        <v/>
      </c>
      <c r="H65" s="45" t="str">
        <f t="shared" si="12"/>
        <v/>
      </c>
      <c r="I65" s="45" t="str">
        <f t="shared" si="13"/>
        <v/>
      </c>
      <c r="J65" s="187" t="str">
        <f t="shared" si="14"/>
        <v/>
      </c>
      <c r="K65" s="25" t="str">
        <f t="shared" si="15"/>
        <v/>
      </c>
      <c r="L65" s="25" t="str">
        <f t="shared" si="16"/>
        <v/>
      </c>
      <c r="M65" s="45" t="str">
        <f t="shared" si="17"/>
        <v/>
      </c>
      <c r="N65" s="166" t="str">
        <f t="shared" si="18"/>
        <v/>
      </c>
      <c r="O65" s="166" t="str">
        <f t="shared" si="19"/>
        <v/>
      </c>
      <c r="P65" s="167" t="str">
        <f t="shared" si="20"/>
        <v/>
      </c>
      <c r="Q65" s="188" t="str">
        <f t="shared" si="21"/>
        <v/>
      </c>
      <c r="R65" s="166" t="str">
        <f t="shared" si="22"/>
        <v/>
      </c>
      <c r="S65" s="166" t="str">
        <f t="shared" si="23"/>
        <v/>
      </c>
      <c r="T65" s="167" t="str">
        <f t="shared" si="24"/>
        <v/>
      </c>
      <c r="U65" s="167" t="str">
        <f t="shared" si="25"/>
        <v/>
      </c>
      <c r="V65" s="168" t="str">
        <f t="shared" si="26"/>
        <v/>
      </c>
      <c r="W65" s="168" t="str">
        <f t="shared" si="27"/>
        <v/>
      </c>
      <c r="X65" s="167" t="str">
        <f t="shared" si="28"/>
        <v/>
      </c>
      <c r="Y65" s="167" t="str">
        <f t="shared" si="29"/>
        <v/>
      </c>
      <c r="Z65" s="169" t="str">
        <f t="shared" si="30"/>
        <v/>
      </c>
      <c r="AA65" s="170" t="str">
        <f t="shared" si="31"/>
        <v/>
      </c>
      <c r="AB65" s="169" t="str">
        <f t="shared" si="32"/>
        <v/>
      </c>
      <c r="AC65" s="169" t="str">
        <f t="shared" si="33"/>
        <v/>
      </c>
      <c r="AD65" s="174"/>
      <c r="AE65" s="174" t="str">
        <f t="shared" si="34"/>
        <v/>
      </c>
      <c r="AF65" s="174"/>
      <c r="AG65" s="174"/>
      <c r="AI65" s="21"/>
      <c r="AJ65" s="21"/>
      <c r="AK65" s="21"/>
      <c r="AL65" s="21"/>
      <c r="AM65" s="21"/>
    </row>
    <row r="66" spans="1:39" s="158" customFormat="1" ht="16.8" x14ac:dyDescent="0.25">
      <c r="A66" s="154"/>
      <c r="B66" s="25">
        <v>12</v>
      </c>
      <c r="C66" s="25" t="str">
        <f t="shared" si="35"/>
        <v/>
      </c>
      <c r="D66" s="25" t="str">
        <f t="shared" si="36"/>
        <v/>
      </c>
      <c r="E66" s="25" t="str">
        <f t="shared" si="9"/>
        <v/>
      </c>
      <c r="F66" s="25" t="str">
        <f t="shared" si="10"/>
        <v/>
      </c>
      <c r="G66" s="45" t="str">
        <f t="shared" si="11"/>
        <v/>
      </c>
      <c r="H66" s="45" t="str">
        <f t="shared" si="12"/>
        <v/>
      </c>
      <c r="I66" s="45" t="str">
        <f t="shared" si="13"/>
        <v/>
      </c>
      <c r="J66" s="187" t="str">
        <f t="shared" si="14"/>
        <v/>
      </c>
      <c r="K66" s="25" t="str">
        <f t="shared" si="15"/>
        <v/>
      </c>
      <c r="L66" s="25" t="str">
        <f t="shared" si="16"/>
        <v/>
      </c>
      <c r="M66" s="45" t="str">
        <f t="shared" si="17"/>
        <v/>
      </c>
      <c r="N66" s="166" t="str">
        <f t="shared" si="18"/>
        <v/>
      </c>
      <c r="O66" s="166" t="str">
        <f t="shared" si="19"/>
        <v/>
      </c>
      <c r="P66" s="167" t="str">
        <f t="shared" si="20"/>
        <v/>
      </c>
      <c r="Q66" s="188" t="str">
        <f t="shared" si="21"/>
        <v/>
      </c>
      <c r="R66" s="166" t="str">
        <f t="shared" si="22"/>
        <v/>
      </c>
      <c r="S66" s="166" t="str">
        <f t="shared" si="23"/>
        <v/>
      </c>
      <c r="T66" s="167" t="str">
        <f t="shared" si="24"/>
        <v/>
      </c>
      <c r="U66" s="167" t="str">
        <f t="shared" si="25"/>
        <v/>
      </c>
      <c r="V66" s="168" t="str">
        <f t="shared" si="26"/>
        <v/>
      </c>
      <c r="W66" s="168" t="str">
        <f t="shared" si="27"/>
        <v/>
      </c>
      <c r="X66" s="167" t="str">
        <f t="shared" si="28"/>
        <v/>
      </c>
      <c r="Y66" s="167" t="str">
        <f t="shared" si="29"/>
        <v/>
      </c>
      <c r="Z66" s="169" t="str">
        <f t="shared" si="30"/>
        <v/>
      </c>
      <c r="AA66" s="170" t="str">
        <f t="shared" si="31"/>
        <v/>
      </c>
      <c r="AB66" s="169" t="str">
        <f t="shared" si="32"/>
        <v/>
      </c>
      <c r="AC66" s="169" t="str">
        <f t="shared" si="33"/>
        <v/>
      </c>
      <c r="AD66" s="174"/>
      <c r="AE66" s="174" t="str">
        <f t="shared" si="34"/>
        <v/>
      </c>
      <c r="AF66" s="174"/>
      <c r="AG66" s="174"/>
      <c r="AI66" s="21"/>
      <c r="AJ66" s="21"/>
      <c r="AK66" s="21"/>
      <c r="AL66" s="21"/>
      <c r="AM66" s="21"/>
    </row>
    <row r="67" spans="1:39" s="158" customFormat="1" ht="16.8" x14ac:dyDescent="0.25">
      <c r="A67" s="154"/>
      <c r="B67" s="25">
        <v>13</v>
      </c>
      <c r="C67" s="25" t="str">
        <f t="shared" si="35"/>
        <v/>
      </c>
      <c r="D67" s="25" t="str">
        <f t="shared" si="36"/>
        <v/>
      </c>
      <c r="E67" s="25" t="str">
        <f t="shared" si="9"/>
        <v/>
      </c>
      <c r="F67" s="25" t="str">
        <f t="shared" si="10"/>
        <v/>
      </c>
      <c r="G67" s="45" t="str">
        <f t="shared" si="11"/>
        <v/>
      </c>
      <c r="H67" s="45" t="str">
        <f t="shared" si="12"/>
        <v/>
      </c>
      <c r="I67" s="45" t="str">
        <f t="shared" si="13"/>
        <v/>
      </c>
      <c r="J67" s="187" t="str">
        <f t="shared" si="14"/>
        <v/>
      </c>
      <c r="K67" s="25" t="str">
        <f t="shared" si="15"/>
        <v/>
      </c>
      <c r="L67" s="25" t="str">
        <f t="shared" si="16"/>
        <v/>
      </c>
      <c r="M67" s="45" t="str">
        <f t="shared" si="17"/>
        <v/>
      </c>
      <c r="N67" s="166" t="str">
        <f t="shared" si="18"/>
        <v/>
      </c>
      <c r="O67" s="166" t="str">
        <f t="shared" si="19"/>
        <v/>
      </c>
      <c r="P67" s="167" t="str">
        <f t="shared" si="20"/>
        <v/>
      </c>
      <c r="Q67" s="188" t="str">
        <f t="shared" si="21"/>
        <v/>
      </c>
      <c r="R67" s="166" t="str">
        <f t="shared" si="22"/>
        <v/>
      </c>
      <c r="S67" s="166" t="str">
        <f t="shared" si="23"/>
        <v/>
      </c>
      <c r="T67" s="167" t="str">
        <f t="shared" si="24"/>
        <v/>
      </c>
      <c r="U67" s="167" t="str">
        <f t="shared" si="25"/>
        <v/>
      </c>
      <c r="V67" s="168" t="str">
        <f t="shared" si="26"/>
        <v/>
      </c>
      <c r="W67" s="168" t="str">
        <f t="shared" si="27"/>
        <v/>
      </c>
      <c r="X67" s="167" t="str">
        <f t="shared" si="28"/>
        <v/>
      </c>
      <c r="Y67" s="167" t="str">
        <f t="shared" si="29"/>
        <v/>
      </c>
      <c r="Z67" s="169" t="str">
        <f t="shared" si="30"/>
        <v/>
      </c>
      <c r="AA67" s="170" t="str">
        <f t="shared" si="31"/>
        <v/>
      </c>
      <c r="AB67" s="169" t="str">
        <f t="shared" si="32"/>
        <v/>
      </c>
      <c r="AC67" s="169" t="str">
        <f t="shared" si="33"/>
        <v/>
      </c>
      <c r="AD67" s="174"/>
      <c r="AE67" s="174" t="str">
        <f t="shared" si="34"/>
        <v/>
      </c>
      <c r="AF67" s="174"/>
      <c r="AG67" s="174"/>
      <c r="AI67" s="21"/>
      <c r="AJ67" s="21"/>
      <c r="AK67" s="21"/>
      <c r="AL67" s="21"/>
      <c r="AM67" s="21"/>
    </row>
    <row r="68" spans="1:39" s="158" customFormat="1" ht="16.8" x14ac:dyDescent="0.25">
      <c r="A68" s="154"/>
      <c r="B68" s="25">
        <v>14</v>
      </c>
      <c r="C68" s="25" t="str">
        <f t="shared" si="35"/>
        <v/>
      </c>
      <c r="D68" s="25" t="str">
        <f t="shared" si="36"/>
        <v/>
      </c>
      <c r="E68" s="25" t="str">
        <f t="shared" si="9"/>
        <v/>
      </c>
      <c r="F68" s="25" t="str">
        <f t="shared" si="10"/>
        <v/>
      </c>
      <c r="G68" s="45" t="str">
        <f t="shared" si="11"/>
        <v/>
      </c>
      <c r="H68" s="45" t="str">
        <f t="shared" si="12"/>
        <v/>
      </c>
      <c r="I68" s="45" t="str">
        <f t="shared" si="13"/>
        <v/>
      </c>
      <c r="J68" s="187" t="str">
        <f t="shared" si="14"/>
        <v/>
      </c>
      <c r="K68" s="25" t="str">
        <f t="shared" si="15"/>
        <v/>
      </c>
      <c r="L68" s="25" t="str">
        <f t="shared" si="16"/>
        <v/>
      </c>
      <c r="M68" s="45" t="str">
        <f t="shared" si="17"/>
        <v/>
      </c>
      <c r="N68" s="166" t="str">
        <f t="shared" si="18"/>
        <v/>
      </c>
      <c r="O68" s="166" t="str">
        <f t="shared" si="19"/>
        <v/>
      </c>
      <c r="P68" s="167" t="str">
        <f t="shared" si="20"/>
        <v/>
      </c>
      <c r="Q68" s="188" t="str">
        <f t="shared" si="21"/>
        <v/>
      </c>
      <c r="R68" s="166" t="str">
        <f t="shared" si="22"/>
        <v/>
      </c>
      <c r="S68" s="166" t="str">
        <f t="shared" si="23"/>
        <v/>
      </c>
      <c r="T68" s="167" t="str">
        <f t="shared" si="24"/>
        <v/>
      </c>
      <c r="U68" s="167" t="str">
        <f t="shared" si="25"/>
        <v/>
      </c>
      <c r="V68" s="168" t="str">
        <f t="shared" si="26"/>
        <v/>
      </c>
      <c r="W68" s="168" t="str">
        <f t="shared" si="27"/>
        <v/>
      </c>
      <c r="X68" s="167" t="str">
        <f t="shared" si="28"/>
        <v/>
      </c>
      <c r="Y68" s="167" t="str">
        <f t="shared" si="29"/>
        <v/>
      </c>
      <c r="Z68" s="169" t="str">
        <f t="shared" si="30"/>
        <v/>
      </c>
      <c r="AA68" s="170" t="str">
        <f t="shared" si="31"/>
        <v/>
      </c>
      <c r="AB68" s="169" t="str">
        <f t="shared" si="32"/>
        <v/>
      </c>
      <c r="AC68" s="169" t="str">
        <f t="shared" si="33"/>
        <v/>
      </c>
      <c r="AD68" s="174"/>
      <c r="AE68" s="174" t="str">
        <f t="shared" si="34"/>
        <v/>
      </c>
      <c r="AF68" s="174"/>
      <c r="AG68" s="174"/>
      <c r="AI68" s="21"/>
      <c r="AJ68" s="21"/>
      <c r="AK68" s="21"/>
      <c r="AL68" s="21"/>
      <c r="AM68" s="21"/>
    </row>
    <row r="69" spans="1:39" s="158" customFormat="1" ht="16.8" x14ac:dyDescent="0.25">
      <c r="A69" s="154"/>
      <c r="B69" s="25">
        <v>15</v>
      </c>
      <c r="C69" s="25" t="str">
        <f t="shared" si="35"/>
        <v/>
      </c>
      <c r="D69" s="25" t="str">
        <f t="shared" si="36"/>
        <v/>
      </c>
      <c r="E69" s="25" t="str">
        <f t="shared" si="9"/>
        <v/>
      </c>
      <c r="F69" s="25" t="str">
        <f t="shared" si="10"/>
        <v/>
      </c>
      <c r="G69" s="45" t="str">
        <f t="shared" si="11"/>
        <v/>
      </c>
      <c r="H69" s="45" t="str">
        <f t="shared" si="12"/>
        <v/>
      </c>
      <c r="I69" s="45" t="str">
        <f t="shared" si="13"/>
        <v/>
      </c>
      <c r="J69" s="187" t="str">
        <f t="shared" si="14"/>
        <v/>
      </c>
      <c r="K69" s="25" t="str">
        <f t="shared" si="15"/>
        <v/>
      </c>
      <c r="L69" s="25" t="str">
        <f t="shared" si="16"/>
        <v/>
      </c>
      <c r="M69" s="45" t="str">
        <f t="shared" si="17"/>
        <v/>
      </c>
      <c r="N69" s="166" t="str">
        <f t="shared" si="18"/>
        <v/>
      </c>
      <c r="O69" s="166" t="str">
        <f t="shared" si="19"/>
        <v/>
      </c>
      <c r="P69" s="167" t="str">
        <f t="shared" si="20"/>
        <v/>
      </c>
      <c r="Q69" s="188" t="str">
        <f t="shared" si="21"/>
        <v/>
      </c>
      <c r="R69" s="166" t="str">
        <f t="shared" si="22"/>
        <v/>
      </c>
      <c r="S69" s="166" t="str">
        <f t="shared" si="23"/>
        <v/>
      </c>
      <c r="T69" s="167" t="str">
        <f t="shared" si="24"/>
        <v/>
      </c>
      <c r="U69" s="167" t="str">
        <f t="shared" si="25"/>
        <v/>
      </c>
      <c r="V69" s="168" t="str">
        <f t="shared" si="26"/>
        <v/>
      </c>
      <c r="W69" s="168" t="str">
        <f t="shared" si="27"/>
        <v/>
      </c>
      <c r="X69" s="167" t="str">
        <f t="shared" si="28"/>
        <v/>
      </c>
      <c r="Y69" s="167" t="str">
        <f t="shared" si="29"/>
        <v/>
      </c>
      <c r="Z69" s="169" t="str">
        <f t="shared" si="30"/>
        <v/>
      </c>
      <c r="AA69" s="170" t="str">
        <f t="shared" si="31"/>
        <v/>
      </c>
      <c r="AB69" s="169" t="str">
        <f t="shared" si="32"/>
        <v/>
      </c>
      <c r="AC69" s="169" t="str">
        <f t="shared" si="33"/>
        <v/>
      </c>
      <c r="AD69" s="174"/>
      <c r="AE69" s="174" t="str">
        <f t="shared" si="34"/>
        <v/>
      </c>
      <c r="AF69" s="174"/>
      <c r="AG69" s="174"/>
      <c r="AI69" s="21"/>
      <c r="AJ69" s="21"/>
      <c r="AK69" s="21"/>
      <c r="AL69" s="21"/>
      <c r="AM69" s="21"/>
    </row>
    <row r="70" spans="1:39" s="158" customFormat="1" ht="16.8" x14ac:dyDescent="0.25">
      <c r="A70" s="154"/>
      <c r="B70" s="25">
        <v>16</v>
      </c>
      <c r="C70" s="25" t="str">
        <f t="shared" si="35"/>
        <v/>
      </c>
      <c r="D70" s="25" t="str">
        <f t="shared" si="36"/>
        <v/>
      </c>
      <c r="E70" s="25" t="str">
        <f t="shared" si="9"/>
        <v/>
      </c>
      <c r="F70" s="25" t="str">
        <f t="shared" si="10"/>
        <v/>
      </c>
      <c r="G70" s="45" t="str">
        <f t="shared" si="11"/>
        <v/>
      </c>
      <c r="H70" s="45" t="str">
        <f t="shared" si="12"/>
        <v/>
      </c>
      <c r="I70" s="45" t="str">
        <f t="shared" si="13"/>
        <v/>
      </c>
      <c r="J70" s="187" t="str">
        <f t="shared" si="14"/>
        <v/>
      </c>
      <c r="K70" s="25" t="str">
        <f t="shared" si="15"/>
        <v/>
      </c>
      <c r="L70" s="25" t="str">
        <f t="shared" si="16"/>
        <v/>
      </c>
      <c r="M70" s="45" t="str">
        <f t="shared" si="17"/>
        <v/>
      </c>
      <c r="N70" s="166" t="str">
        <f t="shared" si="18"/>
        <v/>
      </c>
      <c r="O70" s="166" t="str">
        <f t="shared" si="19"/>
        <v/>
      </c>
      <c r="P70" s="167" t="str">
        <f t="shared" si="20"/>
        <v/>
      </c>
      <c r="Q70" s="188" t="str">
        <f t="shared" si="21"/>
        <v/>
      </c>
      <c r="R70" s="166" t="str">
        <f t="shared" si="22"/>
        <v/>
      </c>
      <c r="S70" s="166" t="str">
        <f t="shared" si="23"/>
        <v/>
      </c>
      <c r="T70" s="167" t="str">
        <f t="shared" si="24"/>
        <v/>
      </c>
      <c r="U70" s="167" t="str">
        <f t="shared" si="25"/>
        <v/>
      </c>
      <c r="V70" s="168" t="str">
        <f t="shared" si="26"/>
        <v/>
      </c>
      <c r="W70" s="168" t="str">
        <f t="shared" si="27"/>
        <v/>
      </c>
      <c r="X70" s="167" t="str">
        <f t="shared" si="28"/>
        <v/>
      </c>
      <c r="Y70" s="167" t="str">
        <f t="shared" si="29"/>
        <v/>
      </c>
      <c r="Z70" s="169" t="str">
        <f t="shared" si="30"/>
        <v/>
      </c>
      <c r="AA70" s="170" t="str">
        <f t="shared" si="31"/>
        <v/>
      </c>
      <c r="AB70" s="169" t="str">
        <f t="shared" si="32"/>
        <v/>
      </c>
      <c r="AC70" s="169" t="str">
        <f t="shared" si="33"/>
        <v/>
      </c>
      <c r="AD70" s="174"/>
      <c r="AE70" s="174" t="str">
        <f t="shared" si="34"/>
        <v/>
      </c>
      <c r="AF70" s="174"/>
      <c r="AG70" s="174"/>
      <c r="AI70" s="21"/>
      <c r="AJ70" s="21"/>
      <c r="AK70" s="21"/>
      <c r="AL70" s="21"/>
      <c r="AM70" s="21"/>
    </row>
    <row r="71" spans="1:39" s="158" customFormat="1" ht="16.8" x14ac:dyDescent="0.25">
      <c r="A71" s="154"/>
      <c r="B71" s="25">
        <v>17</v>
      </c>
      <c r="C71" s="25" t="str">
        <f t="shared" si="35"/>
        <v/>
      </c>
      <c r="D71" s="25" t="str">
        <f t="shared" si="36"/>
        <v/>
      </c>
      <c r="E71" s="25" t="str">
        <f t="shared" si="9"/>
        <v/>
      </c>
      <c r="F71" s="25" t="str">
        <f t="shared" si="10"/>
        <v/>
      </c>
      <c r="G71" s="45" t="str">
        <f t="shared" si="11"/>
        <v/>
      </c>
      <c r="H71" s="45" t="str">
        <f t="shared" si="12"/>
        <v/>
      </c>
      <c r="I71" s="45" t="str">
        <f t="shared" si="13"/>
        <v/>
      </c>
      <c r="J71" s="187" t="str">
        <f t="shared" si="14"/>
        <v/>
      </c>
      <c r="K71" s="25" t="str">
        <f t="shared" si="15"/>
        <v/>
      </c>
      <c r="L71" s="25" t="str">
        <f t="shared" si="16"/>
        <v/>
      </c>
      <c r="M71" s="45" t="str">
        <f t="shared" si="17"/>
        <v/>
      </c>
      <c r="N71" s="166" t="str">
        <f t="shared" si="18"/>
        <v/>
      </c>
      <c r="O71" s="166" t="str">
        <f t="shared" si="19"/>
        <v/>
      </c>
      <c r="P71" s="167" t="str">
        <f t="shared" si="20"/>
        <v/>
      </c>
      <c r="Q71" s="188" t="str">
        <f t="shared" si="21"/>
        <v/>
      </c>
      <c r="R71" s="166" t="str">
        <f t="shared" si="22"/>
        <v/>
      </c>
      <c r="S71" s="166" t="str">
        <f t="shared" si="23"/>
        <v/>
      </c>
      <c r="T71" s="167" t="str">
        <f t="shared" si="24"/>
        <v/>
      </c>
      <c r="U71" s="167" t="str">
        <f t="shared" si="25"/>
        <v/>
      </c>
      <c r="V71" s="168" t="str">
        <f t="shared" si="26"/>
        <v/>
      </c>
      <c r="W71" s="168" t="str">
        <f t="shared" si="27"/>
        <v/>
      </c>
      <c r="X71" s="167" t="str">
        <f t="shared" si="28"/>
        <v/>
      </c>
      <c r="Y71" s="167" t="str">
        <f t="shared" si="29"/>
        <v/>
      </c>
      <c r="Z71" s="169" t="str">
        <f t="shared" si="30"/>
        <v/>
      </c>
      <c r="AA71" s="170" t="str">
        <f t="shared" si="31"/>
        <v/>
      </c>
      <c r="AB71" s="169" t="str">
        <f t="shared" si="32"/>
        <v/>
      </c>
      <c r="AC71" s="169" t="str">
        <f t="shared" si="33"/>
        <v/>
      </c>
      <c r="AD71" s="174"/>
      <c r="AE71" s="174" t="str">
        <f t="shared" si="34"/>
        <v/>
      </c>
      <c r="AF71" s="174"/>
      <c r="AG71" s="174"/>
      <c r="AI71" s="21"/>
      <c r="AJ71" s="21"/>
      <c r="AK71" s="21"/>
      <c r="AL71" s="21"/>
      <c r="AM71" s="21"/>
    </row>
    <row r="72" spans="1:39" s="158" customFormat="1" ht="16.8" x14ac:dyDescent="0.25">
      <c r="A72" s="154"/>
      <c r="B72" s="25">
        <v>18</v>
      </c>
      <c r="C72" s="25" t="str">
        <f t="shared" si="35"/>
        <v/>
      </c>
      <c r="D72" s="25" t="str">
        <f t="shared" si="36"/>
        <v/>
      </c>
      <c r="E72" s="25" t="str">
        <f t="shared" si="9"/>
        <v/>
      </c>
      <c r="F72" s="25" t="str">
        <f t="shared" si="10"/>
        <v/>
      </c>
      <c r="G72" s="45" t="str">
        <f t="shared" si="11"/>
        <v/>
      </c>
      <c r="H72" s="45" t="str">
        <f t="shared" si="12"/>
        <v/>
      </c>
      <c r="I72" s="45" t="str">
        <f t="shared" si="13"/>
        <v/>
      </c>
      <c r="J72" s="187" t="str">
        <f t="shared" si="14"/>
        <v/>
      </c>
      <c r="K72" s="25" t="str">
        <f t="shared" si="15"/>
        <v/>
      </c>
      <c r="L72" s="25" t="str">
        <f t="shared" si="16"/>
        <v/>
      </c>
      <c r="M72" s="45" t="str">
        <f t="shared" si="17"/>
        <v/>
      </c>
      <c r="N72" s="166" t="str">
        <f t="shared" si="18"/>
        <v/>
      </c>
      <c r="O72" s="166" t="str">
        <f t="shared" si="19"/>
        <v/>
      </c>
      <c r="P72" s="167" t="str">
        <f t="shared" si="20"/>
        <v/>
      </c>
      <c r="Q72" s="188" t="str">
        <f t="shared" si="21"/>
        <v/>
      </c>
      <c r="R72" s="166" t="str">
        <f t="shared" si="22"/>
        <v/>
      </c>
      <c r="S72" s="166" t="str">
        <f t="shared" si="23"/>
        <v/>
      </c>
      <c r="T72" s="167" t="str">
        <f t="shared" si="24"/>
        <v/>
      </c>
      <c r="U72" s="167" t="str">
        <f t="shared" si="25"/>
        <v/>
      </c>
      <c r="V72" s="168" t="str">
        <f t="shared" si="26"/>
        <v/>
      </c>
      <c r="W72" s="168" t="str">
        <f t="shared" si="27"/>
        <v/>
      </c>
      <c r="X72" s="167" t="str">
        <f t="shared" si="28"/>
        <v/>
      </c>
      <c r="Y72" s="167" t="str">
        <f t="shared" si="29"/>
        <v/>
      </c>
      <c r="Z72" s="169" t="str">
        <f t="shared" si="30"/>
        <v/>
      </c>
      <c r="AA72" s="170" t="str">
        <f t="shared" si="31"/>
        <v/>
      </c>
      <c r="AB72" s="169" t="str">
        <f t="shared" si="32"/>
        <v/>
      </c>
      <c r="AC72" s="169" t="str">
        <f t="shared" si="33"/>
        <v/>
      </c>
      <c r="AD72" s="174"/>
      <c r="AE72" s="174" t="str">
        <f t="shared" si="34"/>
        <v/>
      </c>
      <c r="AF72" s="174"/>
      <c r="AG72" s="174"/>
      <c r="AI72" s="21"/>
      <c r="AJ72" s="21"/>
      <c r="AK72" s="21"/>
      <c r="AL72" s="21"/>
      <c r="AM72" s="21"/>
    </row>
    <row r="73" spans="1:39" s="158" customFormat="1" ht="16.8" x14ac:dyDescent="0.25">
      <c r="A73" s="154"/>
      <c r="B73" s="25">
        <v>19</v>
      </c>
      <c r="C73" s="25" t="str">
        <f t="shared" si="35"/>
        <v/>
      </c>
      <c r="D73" s="25" t="str">
        <f t="shared" si="36"/>
        <v/>
      </c>
      <c r="E73" s="25" t="str">
        <f t="shared" si="9"/>
        <v/>
      </c>
      <c r="F73" s="25" t="str">
        <f t="shared" si="10"/>
        <v/>
      </c>
      <c r="G73" s="45" t="str">
        <f t="shared" si="11"/>
        <v/>
      </c>
      <c r="H73" s="45" t="str">
        <f t="shared" si="12"/>
        <v/>
      </c>
      <c r="I73" s="45" t="str">
        <f t="shared" si="13"/>
        <v/>
      </c>
      <c r="J73" s="187" t="str">
        <f t="shared" si="14"/>
        <v/>
      </c>
      <c r="K73" s="25" t="str">
        <f t="shared" si="15"/>
        <v/>
      </c>
      <c r="L73" s="25" t="str">
        <f t="shared" si="16"/>
        <v/>
      </c>
      <c r="M73" s="45" t="str">
        <f t="shared" si="17"/>
        <v/>
      </c>
      <c r="N73" s="166" t="str">
        <f t="shared" si="18"/>
        <v/>
      </c>
      <c r="O73" s="166" t="str">
        <f t="shared" si="19"/>
        <v/>
      </c>
      <c r="P73" s="167" t="str">
        <f t="shared" si="20"/>
        <v/>
      </c>
      <c r="Q73" s="188" t="str">
        <f t="shared" si="21"/>
        <v/>
      </c>
      <c r="R73" s="166" t="str">
        <f t="shared" si="22"/>
        <v/>
      </c>
      <c r="S73" s="166" t="str">
        <f t="shared" si="23"/>
        <v/>
      </c>
      <c r="T73" s="167" t="str">
        <f t="shared" si="24"/>
        <v/>
      </c>
      <c r="U73" s="167" t="str">
        <f t="shared" si="25"/>
        <v/>
      </c>
      <c r="V73" s="168" t="str">
        <f t="shared" si="26"/>
        <v/>
      </c>
      <c r="W73" s="168" t="str">
        <f t="shared" si="27"/>
        <v/>
      </c>
      <c r="X73" s="167" t="str">
        <f t="shared" si="28"/>
        <v/>
      </c>
      <c r="Y73" s="167" t="str">
        <f t="shared" si="29"/>
        <v/>
      </c>
      <c r="Z73" s="169" t="str">
        <f t="shared" si="30"/>
        <v/>
      </c>
      <c r="AA73" s="170" t="str">
        <f t="shared" si="31"/>
        <v/>
      </c>
      <c r="AB73" s="169" t="str">
        <f t="shared" si="32"/>
        <v/>
      </c>
      <c r="AC73" s="169" t="str">
        <f t="shared" si="33"/>
        <v/>
      </c>
      <c r="AD73" s="174"/>
      <c r="AE73" s="174" t="str">
        <f t="shared" si="34"/>
        <v/>
      </c>
      <c r="AF73" s="174"/>
      <c r="AG73" s="174"/>
      <c r="AI73" s="21"/>
      <c r="AJ73" s="21"/>
      <c r="AK73" s="21"/>
      <c r="AL73" s="21"/>
      <c r="AM73" s="21"/>
    </row>
    <row r="74" spans="1:39" s="158" customFormat="1" ht="16.8" x14ac:dyDescent="0.25">
      <c r="A74" s="154"/>
      <c r="B74" s="25">
        <v>20</v>
      </c>
      <c r="C74" s="25" t="str">
        <f t="shared" si="35"/>
        <v/>
      </c>
      <c r="D74" s="25" t="str">
        <f t="shared" si="36"/>
        <v/>
      </c>
      <c r="E74" s="25" t="str">
        <f t="shared" si="9"/>
        <v/>
      </c>
      <c r="F74" s="25" t="str">
        <f t="shared" si="10"/>
        <v/>
      </c>
      <c r="G74" s="45" t="str">
        <f t="shared" si="11"/>
        <v/>
      </c>
      <c r="H74" s="45" t="str">
        <f t="shared" si="12"/>
        <v/>
      </c>
      <c r="I74" s="45" t="str">
        <f t="shared" si="13"/>
        <v/>
      </c>
      <c r="J74" s="187" t="str">
        <f t="shared" si="14"/>
        <v/>
      </c>
      <c r="K74" s="25" t="str">
        <f t="shared" si="15"/>
        <v/>
      </c>
      <c r="L74" s="25" t="str">
        <f t="shared" si="16"/>
        <v/>
      </c>
      <c r="M74" s="45" t="str">
        <f t="shared" si="17"/>
        <v/>
      </c>
      <c r="N74" s="166" t="str">
        <f t="shared" si="18"/>
        <v/>
      </c>
      <c r="O74" s="166" t="str">
        <f t="shared" si="19"/>
        <v/>
      </c>
      <c r="P74" s="167" t="str">
        <f t="shared" si="20"/>
        <v/>
      </c>
      <c r="Q74" s="188" t="str">
        <f t="shared" si="21"/>
        <v/>
      </c>
      <c r="R74" s="166" t="str">
        <f t="shared" si="22"/>
        <v/>
      </c>
      <c r="S74" s="166" t="str">
        <f t="shared" si="23"/>
        <v/>
      </c>
      <c r="T74" s="167" t="str">
        <f t="shared" si="24"/>
        <v/>
      </c>
      <c r="U74" s="167" t="str">
        <f t="shared" si="25"/>
        <v/>
      </c>
      <c r="V74" s="168" t="str">
        <f t="shared" si="26"/>
        <v/>
      </c>
      <c r="W74" s="168" t="str">
        <f t="shared" si="27"/>
        <v/>
      </c>
      <c r="X74" s="167" t="str">
        <f t="shared" si="28"/>
        <v/>
      </c>
      <c r="Y74" s="167" t="str">
        <f t="shared" si="29"/>
        <v/>
      </c>
      <c r="Z74" s="169" t="str">
        <f t="shared" si="30"/>
        <v/>
      </c>
      <c r="AA74" s="170" t="str">
        <f t="shared" si="31"/>
        <v/>
      </c>
      <c r="AB74" s="169" t="str">
        <f t="shared" si="32"/>
        <v/>
      </c>
      <c r="AC74" s="169" t="str">
        <f t="shared" si="33"/>
        <v/>
      </c>
      <c r="AD74" s="174"/>
      <c r="AE74" s="174" t="str">
        <f t="shared" si="34"/>
        <v/>
      </c>
      <c r="AF74" s="174"/>
      <c r="AG74" s="174"/>
      <c r="AI74" s="21"/>
      <c r="AJ74" s="21"/>
      <c r="AK74" s="21"/>
      <c r="AL74" s="21"/>
      <c r="AM74" s="21"/>
    </row>
    <row r="75" spans="1:39" s="158" customFormat="1" ht="16.8" x14ac:dyDescent="0.25">
      <c r="A75" s="154"/>
      <c r="B75" s="25">
        <v>21</v>
      </c>
      <c r="C75" s="25" t="str">
        <f t="shared" si="35"/>
        <v/>
      </c>
      <c r="D75" s="25" t="str">
        <f t="shared" si="36"/>
        <v/>
      </c>
      <c r="E75" s="25" t="str">
        <f t="shared" si="9"/>
        <v/>
      </c>
      <c r="F75" s="25" t="str">
        <f t="shared" si="10"/>
        <v/>
      </c>
      <c r="G75" s="45" t="str">
        <f t="shared" si="11"/>
        <v/>
      </c>
      <c r="H75" s="45" t="str">
        <f t="shared" si="12"/>
        <v/>
      </c>
      <c r="I75" s="45" t="str">
        <f t="shared" si="13"/>
        <v/>
      </c>
      <c r="J75" s="187" t="str">
        <f t="shared" si="14"/>
        <v/>
      </c>
      <c r="K75" s="25" t="str">
        <f t="shared" si="15"/>
        <v/>
      </c>
      <c r="L75" s="25" t="str">
        <f t="shared" si="16"/>
        <v/>
      </c>
      <c r="M75" s="45" t="str">
        <f t="shared" si="17"/>
        <v/>
      </c>
      <c r="N75" s="166" t="str">
        <f t="shared" si="18"/>
        <v/>
      </c>
      <c r="O75" s="166" t="str">
        <f t="shared" si="19"/>
        <v/>
      </c>
      <c r="P75" s="167" t="str">
        <f t="shared" si="20"/>
        <v/>
      </c>
      <c r="Q75" s="188" t="str">
        <f t="shared" si="21"/>
        <v/>
      </c>
      <c r="R75" s="166" t="str">
        <f t="shared" si="22"/>
        <v/>
      </c>
      <c r="S75" s="166" t="str">
        <f t="shared" si="23"/>
        <v/>
      </c>
      <c r="T75" s="167" t="str">
        <f t="shared" si="24"/>
        <v/>
      </c>
      <c r="U75" s="167" t="str">
        <f t="shared" si="25"/>
        <v/>
      </c>
      <c r="V75" s="168" t="str">
        <f t="shared" si="26"/>
        <v/>
      </c>
      <c r="W75" s="168" t="str">
        <f t="shared" si="27"/>
        <v/>
      </c>
      <c r="X75" s="167" t="str">
        <f t="shared" si="28"/>
        <v/>
      </c>
      <c r="Y75" s="167" t="str">
        <f t="shared" si="29"/>
        <v/>
      </c>
      <c r="Z75" s="169" t="str">
        <f t="shared" si="30"/>
        <v/>
      </c>
      <c r="AA75" s="170" t="str">
        <f t="shared" si="31"/>
        <v/>
      </c>
      <c r="AB75" s="169" t="str">
        <f t="shared" si="32"/>
        <v/>
      </c>
      <c r="AC75" s="169" t="str">
        <f t="shared" si="33"/>
        <v/>
      </c>
      <c r="AD75" s="174"/>
      <c r="AE75" s="174" t="str">
        <f t="shared" si="34"/>
        <v/>
      </c>
      <c r="AF75" s="174"/>
      <c r="AG75" s="174"/>
      <c r="AI75" s="21"/>
      <c r="AJ75" s="21"/>
      <c r="AK75" s="21"/>
      <c r="AL75" s="21"/>
      <c r="AM75" s="21"/>
    </row>
    <row r="76" spans="1:39" s="158" customFormat="1" ht="16.8" x14ac:dyDescent="0.25">
      <c r="A76" s="154"/>
      <c r="B76" s="25">
        <v>22</v>
      </c>
      <c r="C76" s="25" t="str">
        <f t="shared" si="35"/>
        <v/>
      </c>
      <c r="D76" s="25" t="str">
        <f t="shared" si="36"/>
        <v/>
      </c>
      <c r="E76" s="25" t="str">
        <f t="shared" si="9"/>
        <v/>
      </c>
      <c r="F76" s="25" t="str">
        <f t="shared" si="10"/>
        <v/>
      </c>
      <c r="G76" s="45" t="str">
        <f t="shared" si="11"/>
        <v/>
      </c>
      <c r="H76" s="45" t="str">
        <f t="shared" si="12"/>
        <v/>
      </c>
      <c r="I76" s="45" t="str">
        <f t="shared" si="13"/>
        <v/>
      </c>
      <c r="J76" s="187" t="str">
        <f t="shared" si="14"/>
        <v/>
      </c>
      <c r="K76" s="25" t="str">
        <f t="shared" si="15"/>
        <v/>
      </c>
      <c r="L76" s="25" t="str">
        <f t="shared" si="16"/>
        <v/>
      </c>
      <c r="M76" s="45" t="str">
        <f t="shared" si="17"/>
        <v/>
      </c>
      <c r="N76" s="166" t="str">
        <f t="shared" si="18"/>
        <v/>
      </c>
      <c r="O76" s="166" t="str">
        <f t="shared" si="19"/>
        <v/>
      </c>
      <c r="P76" s="167" t="str">
        <f t="shared" si="20"/>
        <v/>
      </c>
      <c r="Q76" s="188" t="str">
        <f t="shared" si="21"/>
        <v/>
      </c>
      <c r="R76" s="166" t="str">
        <f t="shared" si="22"/>
        <v/>
      </c>
      <c r="S76" s="166" t="str">
        <f t="shared" si="23"/>
        <v/>
      </c>
      <c r="T76" s="167" t="str">
        <f t="shared" si="24"/>
        <v/>
      </c>
      <c r="U76" s="167" t="str">
        <f t="shared" si="25"/>
        <v/>
      </c>
      <c r="V76" s="168" t="str">
        <f t="shared" si="26"/>
        <v/>
      </c>
      <c r="W76" s="168" t="str">
        <f t="shared" si="27"/>
        <v/>
      </c>
      <c r="X76" s="167" t="str">
        <f t="shared" si="28"/>
        <v/>
      </c>
      <c r="Y76" s="167" t="str">
        <f t="shared" si="29"/>
        <v/>
      </c>
      <c r="Z76" s="169" t="str">
        <f t="shared" si="30"/>
        <v/>
      </c>
      <c r="AA76" s="170" t="str">
        <f t="shared" si="31"/>
        <v/>
      </c>
      <c r="AB76" s="169" t="str">
        <f t="shared" si="32"/>
        <v/>
      </c>
      <c r="AC76" s="169" t="str">
        <f t="shared" si="33"/>
        <v/>
      </c>
      <c r="AD76" s="174"/>
      <c r="AE76" s="174" t="str">
        <f t="shared" si="34"/>
        <v/>
      </c>
      <c r="AF76" s="174"/>
      <c r="AG76" s="174"/>
      <c r="AI76" s="21"/>
      <c r="AJ76" s="21"/>
      <c r="AK76" s="21"/>
      <c r="AL76" s="21"/>
      <c r="AM76" s="21"/>
    </row>
    <row r="77" spans="1:39" s="158" customFormat="1" ht="16.8" x14ac:dyDescent="0.25">
      <c r="A77" s="154"/>
      <c r="B77" s="25">
        <v>23</v>
      </c>
      <c r="C77" s="25" t="str">
        <f t="shared" si="35"/>
        <v/>
      </c>
      <c r="D77" s="25" t="str">
        <f t="shared" si="36"/>
        <v/>
      </c>
      <c r="E77" s="25" t="str">
        <f t="shared" si="9"/>
        <v/>
      </c>
      <c r="F77" s="25" t="str">
        <f t="shared" si="10"/>
        <v/>
      </c>
      <c r="G77" s="45" t="str">
        <f t="shared" si="11"/>
        <v/>
      </c>
      <c r="H77" s="45" t="str">
        <f t="shared" si="12"/>
        <v/>
      </c>
      <c r="I77" s="45" t="str">
        <f t="shared" si="13"/>
        <v/>
      </c>
      <c r="J77" s="187" t="str">
        <f t="shared" si="14"/>
        <v/>
      </c>
      <c r="K77" s="25" t="str">
        <f t="shared" si="15"/>
        <v/>
      </c>
      <c r="L77" s="25" t="str">
        <f t="shared" si="16"/>
        <v/>
      </c>
      <c r="M77" s="45" t="str">
        <f t="shared" si="17"/>
        <v/>
      </c>
      <c r="N77" s="166" t="str">
        <f t="shared" si="18"/>
        <v/>
      </c>
      <c r="O77" s="166" t="str">
        <f t="shared" si="19"/>
        <v/>
      </c>
      <c r="P77" s="167" t="str">
        <f t="shared" si="20"/>
        <v/>
      </c>
      <c r="Q77" s="188" t="str">
        <f t="shared" si="21"/>
        <v/>
      </c>
      <c r="R77" s="166" t="str">
        <f t="shared" si="22"/>
        <v/>
      </c>
      <c r="S77" s="166" t="str">
        <f t="shared" si="23"/>
        <v/>
      </c>
      <c r="T77" s="167" t="str">
        <f t="shared" si="24"/>
        <v/>
      </c>
      <c r="U77" s="167" t="str">
        <f t="shared" si="25"/>
        <v/>
      </c>
      <c r="V77" s="168" t="str">
        <f t="shared" si="26"/>
        <v/>
      </c>
      <c r="W77" s="168" t="str">
        <f t="shared" si="27"/>
        <v/>
      </c>
      <c r="X77" s="167" t="str">
        <f t="shared" si="28"/>
        <v/>
      </c>
      <c r="Y77" s="167" t="str">
        <f t="shared" si="29"/>
        <v/>
      </c>
      <c r="Z77" s="169" t="str">
        <f t="shared" si="30"/>
        <v/>
      </c>
      <c r="AA77" s="170" t="str">
        <f t="shared" si="31"/>
        <v/>
      </c>
      <c r="AB77" s="169" t="str">
        <f t="shared" si="32"/>
        <v/>
      </c>
      <c r="AC77" s="169" t="str">
        <f t="shared" si="33"/>
        <v/>
      </c>
      <c r="AD77" s="174"/>
      <c r="AE77" s="174" t="str">
        <f t="shared" si="34"/>
        <v/>
      </c>
      <c r="AF77" s="174"/>
      <c r="AG77" s="174"/>
      <c r="AI77" s="21"/>
      <c r="AJ77" s="21"/>
      <c r="AK77" s="21"/>
      <c r="AL77" s="21"/>
      <c r="AM77" s="21"/>
    </row>
    <row r="78" spans="1:39" s="158" customFormat="1" ht="16.8" x14ac:dyDescent="0.25">
      <c r="A78" s="154"/>
      <c r="B78" s="25">
        <v>24</v>
      </c>
      <c r="C78" s="25" t="str">
        <f t="shared" si="35"/>
        <v/>
      </c>
      <c r="D78" s="25" t="str">
        <f t="shared" si="36"/>
        <v/>
      </c>
      <c r="E78" s="25" t="str">
        <f t="shared" si="9"/>
        <v/>
      </c>
      <c r="F78" s="25" t="str">
        <f t="shared" si="10"/>
        <v/>
      </c>
      <c r="G78" s="45" t="str">
        <f t="shared" si="11"/>
        <v/>
      </c>
      <c r="H78" s="45" t="str">
        <f t="shared" si="12"/>
        <v/>
      </c>
      <c r="I78" s="45" t="str">
        <f t="shared" si="13"/>
        <v/>
      </c>
      <c r="J78" s="187" t="str">
        <f t="shared" si="14"/>
        <v/>
      </c>
      <c r="K78" s="25" t="str">
        <f t="shared" si="15"/>
        <v/>
      </c>
      <c r="L78" s="25" t="str">
        <f t="shared" si="16"/>
        <v/>
      </c>
      <c r="M78" s="45" t="str">
        <f t="shared" si="17"/>
        <v/>
      </c>
      <c r="N78" s="166" t="str">
        <f t="shared" si="18"/>
        <v/>
      </c>
      <c r="O78" s="166" t="str">
        <f t="shared" si="19"/>
        <v/>
      </c>
      <c r="P78" s="167" t="str">
        <f t="shared" si="20"/>
        <v/>
      </c>
      <c r="Q78" s="188" t="str">
        <f t="shared" si="21"/>
        <v/>
      </c>
      <c r="R78" s="166" t="str">
        <f t="shared" si="22"/>
        <v/>
      </c>
      <c r="S78" s="166" t="str">
        <f t="shared" si="23"/>
        <v/>
      </c>
      <c r="T78" s="167" t="str">
        <f t="shared" si="24"/>
        <v/>
      </c>
      <c r="U78" s="167" t="str">
        <f t="shared" si="25"/>
        <v/>
      </c>
      <c r="V78" s="168" t="str">
        <f t="shared" si="26"/>
        <v/>
      </c>
      <c r="W78" s="168" t="str">
        <f t="shared" si="27"/>
        <v/>
      </c>
      <c r="X78" s="167" t="str">
        <f t="shared" si="28"/>
        <v/>
      </c>
      <c r="Y78" s="167" t="str">
        <f t="shared" si="29"/>
        <v/>
      </c>
      <c r="Z78" s="169" t="str">
        <f t="shared" si="30"/>
        <v/>
      </c>
      <c r="AA78" s="170" t="str">
        <f t="shared" si="31"/>
        <v/>
      </c>
      <c r="AB78" s="169" t="str">
        <f t="shared" si="32"/>
        <v/>
      </c>
      <c r="AC78" s="169" t="str">
        <f t="shared" si="33"/>
        <v/>
      </c>
      <c r="AD78" s="174"/>
      <c r="AE78" s="174" t="str">
        <f t="shared" si="34"/>
        <v/>
      </c>
      <c r="AF78" s="174"/>
      <c r="AG78" s="174"/>
      <c r="AI78" s="21"/>
      <c r="AJ78" s="21"/>
      <c r="AK78" s="21"/>
      <c r="AL78" s="21"/>
      <c r="AM78" s="21"/>
    </row>
    <row r="79" spans="1:39" s="158" customFormat="1" ht="16.8" x14ac:dyDescent="0.25">
      <c r="A79" s="154"/>
      <c r="B79" s="25">
        <v>25</v>
      </c>
      <c r="C79" s="25" t="str">
        <f t="shared" si="35"/>
        <v/>
      </c>
      <c r="D79" s="25" t="str">
        <f t="shared" si="36"/>
        <v/>
      </c>
      <c r="E79" s="25" t="str">
        <f t="shared" si="9"/>
        <v/>
      </c>
      <c r="F79" s="25" t="str">
        <f t="shared" si="10"/>
        <v/>
      </c>
      <c r="G79" s="45" t="str">
        <f t="shared" si="11"/>
        <v/>
      </c>
      <c r="H79" s="45" t="str">
        <f t="shared" si="12"/>
        <v/>
      </c>
      <c r="I79" s="45" t="str">
        <f t="shared" si="13"/>
        <v/>
      </c>
      <c r="J79" s="187" t="str">
        <f t="shared" si="14"/>
        <v/>
      </c>
      <c r="K79" s="25" t="str">
        <f t="shared" si="15"/>
        <v/>
      </c>
      <c r="L79" s="25" t="str">
        <f t="shared" si="16"/>
        <v/>
      </c>
      <c r="M79" s="45" t="str">
        <f t="shared" si="17"/>
        <v/>
      </c>
      <c r="N79" s="166" t="str">
        <f t="shared" si="18"/>
        <v/>
      </c>
      <c r="O79" s="166" t="str">
        <f t="shared" si="19"/>
        <v/>
      </c>
      <c r="P79" s="167" t="str">
        <f t="shared" si="20"/>
        <v/>
      </c>
      <c r="Q79" s="188" t="str">
        <f t="shared" si="21"/>
        <v/>
      </c>
      <c r="R79" s="166" t="str">
        <f t="shared" si="22"/>
        <v/>
      </c>
      <c r="S79" s="166" t="str">
        <f t="shared" si="23"/>
        <v/>
      </c>
      <c r="T79" s="167" t="str">
        <f t="shared" si="24"/>
        <v/>
      </c>
      <c r="U79" s="167" t="str">
        <f t="shared" si="25"/>
        <v/>
      </c>
      <c r="V79" s="168" t="str">
        <f t="shared" si="26"/>
        <v/>
      </c>
      <c r="W79" s="168" t="str">
        <f t="shared" si="27"/>
        <v/>
      </c>
      <c r="X79" s="167" t="str">
        <f t="shared" si="28"/>
        <v/>
      </c>
      <c r="Y79" s="167" t="str">
        <f t="shared" si="29"/>
        <v/>
      </c>
      <c r="Z79" s="169" t="str">
        <f t="shared" si="30"/>
        <v/>
      </c>
      <c r="AA79" s="170" t="str">
        <f t="shared" si="31"/>
        <v/>
      </c>
      <c r="AB79" s="169" t="str">
        <f t="shared" si="32"/>
        <v/>
      </c>
      <c r="AC79" s="169" t="str">
        <f t="shared" si="33"/>
        <v/>
      </c>
      <c r="AD79" s="174"/>
      <c r="AE79" s="174" t="str">
        <f t="shared" si="34"/>
        <v/>
      </c>
      <c r="AF79" s="174"/>
      <c r="AG79" s="174"/>
      <c r="AI79" s="21"/>
      <c r="AJ79" s="21"/>
      <c r="AK79" s="21"/>
      <c r="AL79" s="21"/>
      <c r="AM79" s="21"/>
    </row>
    <row r="80" spans="1:39" s="158" customFormat="1" ht="16.8" x14ac:dyDescent="0.25">
      <c r="A80" s="154"/>
      <c r="B80" s="25">
        <v>26</v>
      </c>
      <c r="C80" s="25" t="str">
        <f t="shared" si="35"/>
        <v/>
      </c>
      <c r="D80" s="25" t="str">
        <f t="shared" si="36"/>
        <v/>
      </c>
      <c r="E80" s="25" t="str">
        <f t="shared" si="9"/>
        <v/>
      </c>
      <c r="F80" s="25" t="str">
        <f t="shared" si="10"/>
        <v/>
      </c>
      <c r="G80" s="45" t="str">
        <f t="shared" si="11"/>
        <v/>
      </c>
      <c r="H80" s="45" t="str">
        <f t="shared" si="12"/>
        <v/>
      </c>
      <c r="I80" s="45" t="str">
        <f t="shared" si="13"/>
        <v/>
      </c>
      <c r="J80" s="187" t="str">
        <f t="shared" si="14"/>
        <v/>
      </c>
      <c r="K80" s="25" t="str">
        <f t="shared" si="15"/>
        <v/>
      </c>
      <c r="L80" s="25" t="str">
        <f t="shared" si="16"/>
        <v/>
      </c>
      <c r="M80" s="45" t="str">
        <f t="shared" si="17"/>
        <v/>
      </c>
      <c r="N80" s="166" t="str">
        <f t="shared" si="18"/>
        <v/>
      </c>
      <c r="O80" s="166" t="str">
        <f t="shared" si="19"/>
        <v/>
      </c>
      <c r="P80" s="167" t="str">
        <f t="shared" si="20"/>
        <v/>
      </c>
      <c r="Q80" s="188" t="str">
        <f t="shared" si="21"/>
        <v/>
      </c>
      <c r="R80" s="166" t="str">
        <f t="shared" si="22"/>
        <v/>
      </c>
      <c r="S80" s="166" t="str">
        <f t="shared" si="23"/>
        <v/>
      </c>
      <c r="T80" s="167" t="str">
        <f t="shared" si="24"/>
        <v/>
      </c>
      <c r="U80" s="167" t="str">
        <f t="shared" si="25"/>
        <v/>
      </c>
      <c r="V80" s="168" t="str">
        <f t="shared" si="26"/>
        <v/>
      </c>
      <c r="W80" s="168" t="str">
        <f t="shared" si="27"/>
        <v/>
      </c>
      <c r="X80" s="167" t="str">
        <f t="shared" si="28"/>
        <v/>
      </c>
      <c r="Y80" s="167" t="str">
        <f t="shared" si="29"/>
        <v/>
      </c>
      <c r="Z80" s="169" t="str">
        <f t="shared" si="30"/>
        <v/>
      </c>
      <c r="AA80" s="170" t="str">
        <f t="shared" si="31"/>
        <v/>
      </c>
      <c r="AB80" s="169" t="str">
        <f t="shared" si="32"/>
        <v/>
      </c>
      <c r="AC80" s="169" t="str">
        <f t="shared" si="33"/>
        <v/>
      </c>
      <c r="AD80" s="174"/>
      <c r="AE80" s="174" t="str">
        <f t="shared" si="34"/>
        <v/>
      </c>
      <c r="AF80" s="174"/>
      <c r="AG80" s="174"/>
      <c r="AI80" s="21"/>
      <c r="AJ80" s="21"/>
      <c r="AK80" s="21"/>
      <c r="AL80" s="21"/>
      <c r="AM80" s="21"/>
    </row>
    <row r="81" spans="1:39" s="158" customFormat="1" ht="16.8" x14ac:dyDescent="0.25">
      <c r="A81" s="154"/>
      <c r="B81" s="25">
        <v>27</v>
      </c>
      <c r="C81" s="25" t="str">
        <f t="shared" si="35"/>
        <v/>
      </c>
      <c r="D81" s="25" t="str">
        <f t="shared" si="36"/>
        <v/>
      </c>
      <c r="E81" s="25" t="str">
        <f t="shared" si="9"/>
        <v/>
      </c>
      <c r="F81" s="25" t="str">
        <f t="shared" si="10"/>
        <v/>
      </c>
      <c r="G81" s="45" t="str">
        <f t="shared" si="11"/>
        <v/>
      </c>
      <c r="H81" s="45" t="str">
        <f t="shared" si="12"/>
        <v/>
      </c>
      <c r="I81" s="45" t="str">
        <f t="shared" si="13"/>
        <v/>
      </c>
      <c r="J81" s="187" t="str">
        <f t="shared" si="14"/>
        <v/>
      </c>
      <c r="K81" s="25" t="str">
        <f t="shared" si="15"/>
        <v/>
      </c>
      <c r="L81" s="25" t="str">
        <f t="shared" si="16"/>
        <v/>
      </c>
      <c r="M81" s="45" t="str">
        <f t="shared" si="17"/>
        <v/>
      </c>
      <c r="N81" s="166" t="str">
        <f t="shared" si="18"/>
        <v/>
      </c>
      <c r="O81" s="166" t="str">
        <f t="shared" si="19"/>
        <v/>
      </c>
      <c r="P81" s="167" t="str">
        <f t="shared" si="20"/>
        <v/>
      </c>
      <c r="Q81" s="188" t="str">
        <f t="shared" si="21"/>
        <v/>
      </c>
      <c r="R81" s="166" t="str">
        <f t="shared" si="22"/>
        <v/>
      </c>
      <c r="S81" s="166" t="str">
        <f t="shared" si="23"/>
        <v/>
      </c>
      <c r="T81" s="167" t="str">
        <f t="shared" si="24"/>
        <v/>
      </c>
      <c r="U81" s="167" t="str">
        <f t="shared" si="25"/>
        <v/>
      </c>
      <c r="V81" s="168" t="str">
        <f t="shared" si="26"/>
        <v/>
      </c>
      <c r="W81" s="168" t="str">
        <f t="shared" si="27"/>
        <v/>
      </c>
      <c r="X81" s="167" t="str">
        <f t="shared" si="28"/>
        <v/>
      </c>
      <c r="Y81" s="167" t="str">
        <f t="shared" si="29"/>
        <v/>
      </c>
      <c r="Z81" s="169" t="str">
        <f t="shared" si="30"/>
        <v/>
      </c>
      <c r="AA81" s="170" t="str">
        <f t="shared" si="31"/>
        <v/>
      </c>
      <c r="AB81" s="169" t="str">
        <f t="shared" si="32"/>
        <v/>
      </c>
      <c r="AC81" s="169" t="str">
        <f t="shared" si="33"/>
        <v/>
      </c>
      <c r="AD81" s="174"/>
      <c r="AE81" s="174" t="str">
        <f t="shared" si="34"/>
        <v/>
      </c>
      <c r="AF81" s="174"/>
      <c r="AG81" s="174"/>
      <c r="AI81" s="21"/>
      <c r="AJ81" s="21"/>
      <c r="AK81" s="21"/>
      <c r="AL81" s="21"/>
      <c r="AM81" s="21"/>
    </row>
    <row r="82" spans="1:39" s="158" customFormat="1" ht="16.8" x14ac:dyDescent="0.25">
      <c r="A82" s="154"/>
      <c r="B82" s="25">
        <v>28</v>
      </c>
      <c r="C82" s="25" t="str">
        <f t="shared" si="35"/>
        <v/>
      </c>
      <c r="D82" s="25" t="str">
        <f t="shared" si="36"/>
        <v/>
      </c>
      <c r="E82" s="25" t="str">
        <f t="shared" si="9"/>
        <v/>
      </c>
      <c r="F82" s="25" t="str">
        <f t="shared" si="10"/>
        <v/>
      </c>
      <c r="G82" s="45" t="str">
        <f t="shared" si="11"/>
        <v/>
      </c>
      <c r="H82" s="45" t="str">
        <f t="shared" si="12"/>
        <v/>
      </c>
      <c r="I82" s="45" t="str">
        <f t="shared" si="13"/>
        <v/>
      </c>
      <c r="J82" s="187" t="str">
        <f t="shared" si="14"/>
        <v/>
      </c>
      <c r="K82" s="25" t="str">
        <f t="shared" si="15"/>
        <v/>
      </c>
      <c r="L82" s="25" t="str">
        <f t="shared" si="16"/>
        <v/>
      </c>
      <c r="M82" s="45" t="str">
        <f t="shared" si="17"/>
        <v/>
      </c>
      <c r="N82" s="166" t="str">
        <f t="shared" si="18"/>
        <v/>
      </c>
      <c r="O82" s="166" t="str">
        <f t="shared" si="19"/>
        <v/>
      </c>
      <c r="P82" s="167" t="str">
        <f t="shared" si="20"/>
        <v/>
      </c>
      <c r="Q82" s="188" t="str">
        <f t="shared" si="21"/>
        <v/>
      </c>
      <c r="R82" s="166" t="str">
        <f t="shared" si="22"/>
        <v/>
      </c>
      <c r="S82" s="166" t="str">
        <f t="shared" si="23"/>
        <v/>
      </c>
      <c r="T82" s="167" t="str">
        <f t="shared" si="24"/>
        <v/>
      </c>
      <c r="U82" s="167" t="str">
        <f t="shared" si="25"/>
        <v/>
      </c>
      <c r="V82" s="168" t="str">
        <f t="shared" si="26"/>
        <v/>
      </c>
      <c r="W82" s="168" t="str">
        <f t="shared" si="27"/>
        <v/>
      </c>
      <c r="X82" s="167" t="str">
        <f t="shared" si="28"/>
        <v/>
      </c>
      <c r="Y82" s="167" t="str">
        <f t="shared" si="29"/>
        <v/>
      </c>
      <c r="Z82" s="169" t="str">
        <f t="shared" si="30"/>
        <v/>
      </c>
      <c r="AA82" s="170" t="str">
        <f t="shared" si="31"/>
        <v/>
      </c>
      <c r="AB82" s="169" t="str">
        <f t="shared" si="32"/>
        <v/>
      </c>
      <c r="AC82" s="169" t="str">
        <f t="shared" si="33"/>
        <v/>
      </c>
      <c r="AD82" s="174"/>
      <c r="AE82" s="174" t="str">
        <f t="shared" si="34"/>
        <v/>
      </c>
      <c r="AF82" s="174"/>
      <c r="AG82" s="174"/>
      <c r="AI82" s="21"/>
      <c r="AJ82" s="21"/>
      <c r="AK82" s="21"/>
      <c r="AL82" s="21"/>
      <c r="AM82" s="21"/>
    </row>
    <row r="83" spans="1:39" s="158" customFormat="1" ht="16.8" x14ac:dyDescent="0.25">
      <c r="A83" s="154"/>
      <c r="B83" s="25">
        <v>29</v>
      </c>
      <c r="C83" s="25" t="str">
        <f t="shared" si="35"/>
        <v/>
      </c>
      <c r="D83" s="25" t="str">
        <f t="shared" si="36"/>
        <v/>
      </c>
      <c r="E83" s="25" t="str">
        <f t="shared" si="9"/>
        <v/>
      </c>
      <c r="F83" s="25" t="str">
        <f t="shared" si="10"/>
        <v/>
      </c>
      <c r="G83" s="45" t="str">
        <f t="shared" si="11"/>
        <v/>
      </c>
      <c r="H83" s="45" t="str">
        <f t="shared" si="12"/>
        <v/>
      </c>
      <c r="I83" s="45" t="str">
        <f t="shared" si="13"/>
        <v/>
      </c>
      <c r="J83" s="187" t="str">
        <f t="shared" si="14"/>
        <v/>
      </c>
      <c r="K83" s="25" t="str">
        <f t="shared" si="15"/>
        <v/>
      </c>
      <c r="L83" s="25" t="str">
        <f t="shared" si="16"/>
        <v/>
      </c>
      <c r="M83" s="45" t="str">
        <f t="shared" si="17"/>
        <v/>
      </c>
      <c r="N83" s="166" t="str">
        <f t="shared" si="18"/>
        <v/>
      </c>
      <c r="O83" s="166" t="str">
        <f t="shared" si="19"/>
        <v/>
      </c>
      <c r="P83" s="167" t="str">
        <f t="shared" si="20"/>
        <v/>
      </c>
      <c r="Q83" s="188" t="str">
        <f t="shared" si="21"/>
        <v/>
      </c>
      <c r="R83" s="166" t="str">
        <f t="shared" si="22"/>
        <v/>
      </c>
      <c r="S83" s="166" t="str">
        <f t="shared" si="23"/>
        <v/>
      </c>
      <c r="T83" s="167" t="str">
        <f t="shared" si="24"/>
        <v/>
      </c>
      <c r="U83" s="167" t="str">
        <f t="shared" si="25"/>
        <v/>
      </c>
      <c r="V83" s="168" t="str">
        <f t="shared" si="26"/>
        <v/>
      </c>
      <c r="W83" s="168" t="str">
        <f t="shared" si="27"/>
        <v/>
      </c>
      <c r="X83" s="167" t="str">
        <f t="shared" si="28"/>
        <v/>
      </c>
      <c r="Y83" s="167" t="str">
        <f t="shared" si="29"/>
        <v/>
      </c>
      <c r="Z83" s="169" t="str">
        <f t="shared" si="30"/>
        <v/>
      </c>
      <c r="AA83" s="170" t="str">
        <f t="shared" si="31"/>
        <v/>
      </c>
      <c r="AB83" s="169" t="str">
        <f t="shared" si="32"/>
        <v/>
      </c>
      <c r="AC83" s="169" t="str">
        <f t="shared" si="33"/>
        <v/>
      </c>
      <c r="AD83" s="174"/>
      <c r="AE83" s="174" t="str">
        <f t="shared" si="34"/>
        <v/>
      </c>
      <c r="AF83" s="174"/>
      <c r="AG83" s="174"/>
      <c r="AI83" s="21"/>
      <c r="AJ83" s="21"/>
      <c r="AK83" s="21"/>
      <c r="AL83" s="21"/>
      <c r="AM83" s="21"/>
    </row>
    <row r="84" spans="1:39" s="158" customFormat="1" ht="16.8" x14ac:dyDescent="0.25">
      <c r="A84" s="154"/>
      <c r="B84" s="25">
        <v>30</v>
      </c>
      <c r="C84" s="25" t="str">
        <f t="shared" si="35"/>
        <v/>
      </c>
      <c r="D84" s="25" t="str">
        <f t="shared" si="36"/>
        <v/>
      </c>
      <c r="E84" s="25" t="str">
        <f t="shared" si="9"/>
        <v/>
      </c>
      <c r="F84" s="25" t="str">
        <f t="shared" si="10"/>
        <v/>
      </c>
      <c r="G84" s="45" t="str">
        <f t="shared" si="11"/>
        <v/>
      </c>
      <c r="H84" s="45" t="str">
        <f t="shared" si="12"/>
        <v/>
      </c>
      <c r="I84" s="45" t="str">
        <f t="shared" si="13"/>
        <v/>
      </c>
      <c r="J84" s="187" t="str">
        <f t="shared" si="14"/>
        <v/>
      </c>
      <c r="K84" s="25" t="str">
        <f t="shared" si="15"/>
        <v/>
      </c>
      <c r="L84" s="25" t="str">
        <f t="shared" si="16"/>
        <v/>
      </c>
      <c r="M84" s="45" t="str">
        <f t="shared" si="17"/>
        <v/>
      </c>
      <c r="N84" s="166" t="str">
        <f t="shared" si="18"/>
        <v/>
      </c>
      <c r="O84" s="166" t="str">
        <f t="shared" si="19"/>
        <v/>
      </c>
      <c r="P84" s="167" t="str">
        <f t="shared" si="20"/>
        <v/>
      </c>
      <c r="Q84" s="188" t="str">
        <f t="shared" si="21"/>
        <v/>
      </c>
      <c r="R84" s="166" t="str">
        <f t="shared" si="22"/>
        <v/>
      </c>
      <c r="S84" s="166" t="str">
        <f t="shared" si="23"/>
        <v/>
      </c>
      <c r="T84" s="167" t="str">
        <f t="shared" si="24"/>
        <v/>
      </c>
      <c r="U84" s="167" t="str">
        <f t="shared" si="25"/>
        <v/>
      </c>
      <c r="V84" s="168" t="str">
        <f t="shared" si="26"/>
        <v/>
      </c>
      <c r="W84" s="168" t="str">
        <f t="shared" si="27"/>
        <v/>
      </c>
      <c r="X84" s="167" t="str">
        <f t="shared" si="28"/>
        <v/>
      </c>
      <c r="Y84" s="167" t="str">
        <f t="shared" si="29"/>
        <v/>
      </c>
      <c r="Z84" s="169" t="str">
        <f t="shared" si="30"/>
        <v/>
      </c>
      <c r="AA84" s="170" t="str">
        <f t="shared" si="31"/>
        <v/>
      </c>
      <c r="AB84" s="169" t="str">
        <f t="shared" si="32"/>
        <v/>
      </c>
      <c r="AC84" s="169" t="str">
        <f t="shared" si="33"/>
        <v/>
      </c>
      <c r="AD84" s="174"/>
      <c r="AE84" s="174" t="str">
        <f t="shared" si="34"/>
        <v/>
      </c>
      <c r="AF84" s="174"/>
      <c r="AG84" s="174"/>
      <c r="AI84" s="21"/>
      <c r="AJ84" s="21"/>
      <c r="AK84" s="21"/>
      <c r="AL84" s="21"/>
      <c r="AM84" s="21"/>
    </row>
    <row r="85" spans="1:39" s="158" customFormat="1" ht="16.8" x14ac:dyDescent="0.25">
      <c r="A85" s="154"/>
      <c r="B85" s="25">
        <v>31</v>
      </c>
      <c r="C85" s="25" t="str">
        <f t="shared" si="35"/>
        <v/>
      </c>
      <c r="D85" s="25" t="str">
        <f t="shared" si="36"/>
        <v/>
      </c>
      <c r="E85" s="25" t="str">
        <f t="shared" si="9"/>
        <v/>
      </c>
      <c r="F85" s="25" t="str">
        <f t="shared" si="10"/>
        <v/>
      </c>
      <c r="G85" s="45" t="str">
        <f t="shared" si="11"/>
        <v/>
      </c>
      <c r="H85" s="45" t="str">
        <f t="shared" si="12"/>
        <v/>
      </c>
      <c r="I85" s="45" t="str">
        <f t="shared" si="13"/>
        <v/>
      </c>
      <c r="J85" s="187" t="str">
        <f t="shared" si="14"/>
        <v/>
      </c>
      <c r="K85" s="25" t="str">
        <f t="shared" si="15"/>
        <v/>
      </c>
      <c r="L85" s="25" t="str">
        <f t="shared" si="16"/>
        <v/>
      </c>
      <c r="M85" s="45" t="str">
        <f t="shared" si="17"/>
        <v/>
      </c>
      <c r="N85" s="166" t="str">
        <f t="shared" si="18"/>
        <v/>
      </c>
      <c r="O85" s="166" t="str">
        <f t="shared" si="19"/>
        <v/>
      </c>
      <c r="P85" s="167" t="str">
        <f t="shared" si="20"/>
        <v/>
      </c>
      <c r="Q85" s="188" t="str">
        <f t="shared" si="21"/>
        <v/>
      </c>
      <c r="R85" s="166" t="str">
        <f t="shared" si="22"/>
        <v/>
      </c>
      <c r="S85" s="166" t="str">
        <f t="shared" si="23"/>
        <v/>
      </c>
      <c r="T85" s="167" t="str">
        <f t="shared" si="24"/>
        <v/>
      </c>
      <c r="U85" s="167" t="str">
        <f t="shared" si="25"/>
        <v/>
      </c>
      <c r="V85" s="168" t="str">
        <f t="shared" si="26"/>
        <v/>
      </c>
      <c r="W85" s="168" t="str">
        <f t="shared" si="27"/>
        <v/>
      </c>
      <c r="X85" s="167" t="str">
        <f t="shared" si="28"/>
        <v/>
      </c>
      <c r="Y85" s="167" t="str">
        <f t="shared" si="29"/>
        <v/>
      </c>
      <c r="Z85" s="169" t="str">
        <f t="shared" si="30"/>
        <v/>
      </c>
      <c r="AA85" s="170" t="str">
        <f t="shared" si="31"/>
        <v/>
      </c>
      <c r="AB85" s="169" t="str">
        <f t="shared" si="32"/>
        <v/>
      </c>
      <c r="AC85" s="169" t="str">
        <f t="shared" si="33"/>
        <v/>
      </c>
      <c r="AD85" s="174"/>
      <c r="AE85" s="174" t="str">
        <f t="shared" si="34"/>
        <v/>
      </c>
      <c r="AF85" s="174"/>
      <c r="AG85" s="174"/>
      <c r="AI85" s="21"/>
      <c r="AJ85" s="21"/>
      <c r="AK85" s="21"/>
      <c r="AL85" s="21"/>
      <c r="AM85" s="21"/>
    </row>
    <row r="86" spans="1:39" s="158" customFormat="1" ht="16.8" x14ac:dyDescent="0.25">
      <c r="A86" s="154"/>
      <c r="B86" s="25">
        <v>32</v>
      </c>
      <c r="C86" s="25" t="str">
        <f t="shared" si="35"/>
        <v/>
      </c>
      <c r="D86" s="25" t="str">
        <f t="shared" si="36"/>
        <v/>
      </c>
      <c r="E86" s="25" t="str">
        <f t="shared" si="9"/>
        <v/>
      </c>
      <c r="F86" s="25" t="str">
        <f t="shared" si="10"/>
        <v/>
      </c>
      <c r="G86" s="45" t="str">
        <f t="shared" si="11"/>
        <v/>
      </c>
      <c r="H86" s="45" t="str">
        <f t="shared" si="12"/>
        <v/>
      </c>
      <c r="I86" s="45" t="str">
        <f t="shared" si="13"/>
        <v/>
      </c>
      <c r="J86" s="187" t="str">
        <f t="shared" si="14"/>
        <v/>
      </c>
      <c r="K86" s="25" t="str">
        <f t="shared" si="15"/>
        <v/>
      </c>
      <c r="L86" s="25" t="str">
        <f t="shared" si="16"/>
        <v/>
      </c>
      <c r="M86" s="45" t="str">
        <f t="shared" si="17"/>
        <v/>
      </c>
      <c r="N86" s="166" t="str">
        <f t="shared" si="18"/>
        <v/>
      </c>
      <c r="O86" s="166" t="str">
        <f t="shared" si="19"/>
        <v/>
      </c>
      <c r="P86" s="167" t="str">
        <f t="shared" si="20"/>
        <v/>
      </c>
      <c r="Q86" s="188" t="str">
        <f t="shared" si="21"/>
        <v/>
      </c>
      <c r="R86" s="166" t="str">
        <f t="shared" si="22"/>
        <v/>
      </c>
      <c r="S86" s="166" t="str">
        <f t="shared" si="23"/>
        <v/>
      </c>
      <c r="T86" s="167" t="str">
        <f t="shared" si="24"/>
        <v/>
      </c>
      <c r="U86" s="167" t="str">
        <f t="shared" si="25"/>
        <v/>
      </c>
      <c r="V86" s="168" t="str">
        <f t="shared" si="26"/>
        <v/>
      </c>
      <c r="W86" s="168" t="str">
        <f t="shared" si="27"/>
        <v/>
      </c>
      <c r="X86" s="167" t="str">
        <f t="shared" si="28"/>
        <v/>
      </c>
      <c r="Y86" s="167" t="str">
        <f t="shared" si="29"/>
        <v/>
      </c>
      <c r="Z86" s="169" t="str">
        <f t="shared" si="30"/>
        <v/>
      </c>
      <c r="AA86" s="170" t="str">
        <f t="shared" si="31"/>
        <v/>
      </c>
      <c r="AB86" s="169" t="str">
        <f t="shared" si="32"/>
        <v/>
      </c>
      <c r="AC86" s="169" t="str">
        <f t="shared" si="33"/>
        <v/>
      </c>
      <c r="AD86" s="174"/>
      <c r="AE86" s="174" t="str">
        <f t="shared" si="34"/>
        <v/>
      </c>
      <c r="AF86" s="174"/>
      <c r="AG86" s="174"/>
      <c r="AI86" s="21"/>
      <c r="AJ86" s="21"/>
      <c r="AK86" s="21"/>
      <c r="AL86" s="21"/>
      <c r="AM86" s="21"/>
    </row>
    <row r="87" spans="1:39" s="158" customFormat="1" ht="16.8" x14ac:dyDescent="0.25">
      <c r="A87" s="154"/>
      <c r="B87" s="25">
        <v>33</v>
      </c>
      <c r="C87" s="25" t="str">
        <f t="shared" si="35"/>
        <v/>
      </c>
      <c r="D87" s="25" t="str">
        <f t="shared" si="36"/>
        <v/>
      </c>
      <c r="E87" s="25" t="str">
        <f t="shared" si="9"/>
        <v/>
      </c>
      <c r="F87" s="25" t="str">
        <f t="shared" si="10"/>
        <v/>
      </c>
      <c r="G87" s="45" t="str">
        <f t="shared" si="11"/>
        <v/>
      </c>
      <c r="H87" s="45" t="str">
        <f t="shared" si="12"/>
        <v/>
      </c>
      <c r="I87" s="45" t="str">
        <f t="shared" si="13"/>
        <v/>
      </c>
      <c r="J87" s="187" t="str">
        <f t="shared" si="14"/>
        <v/>
      </c>
      <c r="K87" s="25" t="str">
        <f t="shared" si="15"/>
        <v/>
      </c>
      <c r="L87" s="25" t="str">
        <f t="shared" si="16"/>
        <v/>
      </c>
      <c r="M87" s="45" t="str">
        <f t="shared" si="17"/>
        <v/>
      </c>
      <c r="N87" s="166" t="str">
        <f t="shared" si="18"/>
        <v/>
      </c>
      <c r="O87" s="166" t="str">
        <f t="shared" si="19"/>
        <v/>
      </c>
      <c r="P87" s="167" t="str">
        <f t="shared" si="20"/>
        <v/>
      </c>
      <c r="Q87" s="188" t="str">
        <f t="shared" si="21"/>
        <v/>
      </c>
      <c r="R87" s="166" t="str">
        <f t="shared" si="22"/>
        <v/>
      </c>
      <c r="S87" s="166" t="str">
        <f t="shared" si="23"/>
        <v/>
      </c>
      <c r="T87" s="167" t="str">
        <f t="shared" si="24"/>
        <v/>
      </c>
      <c r="U87" s="167" t="str">
        <f t="shared" si="25"/>
        <v/>
      </c>
      <c r="V87" s="168" t="str">
        <f t="shared" si="26"/>
        <v/>
      </c>
      <c r="W87" s="168" t="str">
        <f t="shared" si="27"/>
        <v/>
      </c>
      <c r="X87" s="167" t="str">
        <f t="shared" si="28"/>
        <v/>
      </c>
      <c r="Y87" s="167" t="str">
        <f t="shared" si="29"/>
        <v/>
      </c>
      <c r="Z87" s="169" t="str">
        <f t="shared" si="30"/>
        <v/>
      </c>
      <c r="AA87" s="170" t="str">
        <f t="shared" si="31"/>
        <v/>
      </c>
      <c r="AB87" s="169" t="str">
        <f t="shared" si="32"/>
        <v/>
      </c>
      <c r="AC87" s="169" t="str">
        <f t="shared" si="33"/>
        <v/>
      </c>
      <c r="AD87" s="174"/>
      <c r="AE87" s="174" t="str">
        <f t="shared" si="34"/>
        <v/>
      </c>
      <c r="AF87" s="174"/>
      <c r="AG87" s="174"/>
      <c r="AI87" s="21"/>
      <c r="AJ87" s="21"/>
      <c r="AK87" s="21"/>
      <c r="AL87" s="21"/>
      <c r="AM87" s="21"/>
    </row>
    <row r="88" spans="1:39" s="158" customFormat="1" ht="16.8" x14ac:dyDescent="0.25">
      <c r="A88" s="154"/>
      <c r="B88" s="25">
        <v>34</v>
      </c>
      <c r="C88" s="25" t="str">
        <f t="shared" si="35"/>
        <v/>
      </c>
      <c r="D88" s="25" t="str">
        <f t="shared" si="36"/>
        <v/>
      </c>
      <c r="E88" s="25" t="str">
        <f t="shared" si="9"/>
        <v/>
      </c>
      <c r="F88" s="25" t="str">
        <f t="shared" si="10"/>
        <v/>
      </c>
      <c r="G88" s="45" t="str">
        <f t="shared" si="11"/>
        <v/>
      </c>
      <c r="H88" s="45" t="str">
        <f t="shared" si="12"/>
        <v/>
      </c>
      <c r="I88" s="45" t="str">
        <f t="shared" si="13"/>
        <v/>
      </c>
      <c r="J88" s="187" t="str">
        <f t="shared" si="14"/>
        <v/>
      </c>
      <c r="K88" s="25" t="str">
        <f t="shared" si="15"/>
        <v/>
      </c>
      <c r="L88" s="25" t="str">
        <f t="shared" si="16"/>
        <v/>
      </c>
      <c r="M88" s="45" t="str">
        <f t="shared" si="17"/>
        <v/>
      </c>
      <c r="N88" s="166" t="str">
        <f t="shared" si="18"/>
        <v/>
      </c>
      <c r="O88" s="166" t="str">
        <f t="shared" si="19"/>
        <v/>
      </c>
      <c r="P88" s="167" t="str">
        <f t="shared" si="20"/>
        <v/>
      </c>
      <c r="Q88" s="188" t="str">
        <f t="shared" si="21"/>
        <v/>
      </c>
      <c r="R88" s="166" t="str">
        <f t="shared" si="22"/>
        <v/>
      </c>
      <c r="S88" s="166" t="str">
        <f t="shared" si="23"/>
        <v/>
      </c>
      <c r="T88" s="167" t="str">
        <f t="shared" si="24"/>
        <v/>
      </c>
      <c r="U88" s="167" t="str">
        <f t="shared" si="25"/>
        <v/>
      </c>
      <c r="V88" s="168" t="str">
        <f t="shared" si="26"/>
        <v/>
      </c>
      <c r="W88" s="168" t="str">
        <f t="shared" si="27"/>
        <v/>
      </c>
      <c r="X88" s="167" t="str">
        <f t="shared" si="28"/>
        <v/>
      </c>
      <c r="Y88" s="167" t="str">
        <f t="shared" si="29"/>
        <v/>
      </c>
      <c r="Z88" s="169" t="str">
        <f t="shared" si="30"/>
        <v/>
      </c>
      <c r="AA88" s="170" t="str">
        <f t="shared" si="31"/>
        <v/>
      </c>
      <c r="AB88" s="169" t="str">
        <f t="shared" si="32"/>
        <v/>
      </c>
      <c r="AC88" s="169" t="str">
        <f t="shared" si="33"/>
        <v/>
      </c>
      <c r="AD88" s="174"/>
      <c r="AE88" s="174" t="str">
        <f t="shared" si="34"/>
        <v/>
      </c>
      <c r="AF88" s="174"/>
      <c r="AG88" s="174"/>
      <c r="AI88" s="21"/>
      <c r="AJ88" s="21"/>
      <c r="AK88" s="21"/>
      <c r="AL88" s="21"/>
      <c r="AM88" s="21"/>
    </row>
    <row r="89" spans="1:39" s="158" customFormat="1" ht="16.8" x14ac:dyDescent="0.25">
      <c r="A89" s="154"/>
      <c r="B89" s="25">
        <v>35</v>
      </c>
      <c r="C89" s="25" t="str">
        <f t="shared" si="35"/>
        <v/>
      </c>
      <c r="D89" s="25" t="str">
        <f t="shared" si="36"/>
        <v/>
      </c>
      <c r="E89" s="25" t="str">
        <f t="shared" si="9"/>
        <v/>
      </c>
      <c r="F89" s="25" t="str">
        <f t="shared" si="10"/>
        <v/>
      </c>
      <c r="G89" s="45" t="str">
        <f t="shared" si="11"/>
        <v/>
      </c>
      <c r="H89" s="45" t="str">
        <f t="shared" si="12"/>
        <v/>
      </c>
      <c r="I89" s="45" t="str">
        <f t="shared" si="13"/>
        <v/>
      </c>
      <c r="J89" s="187" t="str">
        <f t="shared" si="14"/>
        <v/>
      </c>
      <c r="K89" s="25" t="str">
        <f t="shared" si="15"/>
        <v/>
      </c>
      <c r="L89" s="25" t="str">
        <f t="shared" si="16"/>
        <v/>
      </c>
      <c r="M89" s="45" t="str">
        <f t="shared" si="17"/>
        <v/>
      </c>
      <c r="N89" s="166" t="str">
        <f t="shared" si="18"/>
        <v/>
      </c>
      <c r="O89" s="166" t="str">
        <f t="shared" si="19"/>
        <v/>
      </c>
      <c r="P89" s="167" t="str">
        <f t="shared" si="20"/>
        <v/>
      </c>
      <c r="Q89" s="188" t="str">
        <f t="shared" si="21"/>
        <v/>
      </c>
      <c r="R89" s="166" t="str">
        <f t="shared" si="22"/>
        <v/>
      </c>
      <c r="S89" s="166" t="str">
        <f t="shared" si="23"/>
        <v/>
      </c>
      <c r="T89" s="167" t="str">
        <f t="shared" si="24"/>
        <v/>
      </c>
      <c r="U89" s="167" t="str">
        <f t="shared" si="25"/>
        <v/>
      </c>
      <c r="V89" s="168" t="str">
        <f t="shared" si="26"/>
        <v/>
      </c>
      <c r="W89" s="168" t="str">
        <f t="shared" si="27"/>
        <v/>
      </c>
      <c r="X89" s="167" t="str">
        <f t="shared" si="28"/>
        <v/>
      </c>
      <c r="Y89" s="167" t="str">
        <f t="shared" si="29"/>
        <v/>
      </c>
      <c r="Z89" s="169" t="str">
        <f t="shared" si="30"/>
        <v/>
      </c>
      <c r="AA89" s="170" t="str">
        <f t="shared" si="31"/>
        <v/>
      </c>
      <c r="AB89" s="169" t="str">
        <f t="shared" si="32"/>
        <v/>
      </c>
      <c r="AC89" s="169" t="str">
        <f t="shared" si="33"/>
        <v/>
      </c>
      <c r="AD89" s="174"/>
      <c r="AE89" s="174" t="str">
        <f t="shared" si="34"/>
        <v/>
      </c>
      <c r="AF89" s="174"/>
      <c r="AG89" s="174"/>
      <c r="AI89" s="21"/>
      <c r="AJ89" s="21"/>
      <c r="AK89" s="21"/>
      <c r="AL89" s="21"/>
      <c r="AM89" s="21"/>
    </row>
    <row r="90" spans="1:39" s="158" customFormat="1" ht="16.8" x14ac:dyDescent="0.25">
      <c r="A90" s="154"/>
      <c r="B90" s="25">
        <v>36</v>
      </c>
      <c r="C90" s="25" t="str">
        <f t="shared" si="35"/>
        <v/>
      </c>
      <c r="D90" s="25" t="str">
        <f t="shared" si="36"/>
        <v/>
      </c>
      <c r="E90" s="25" t="str">
        <f t="shared" si="9"/>
        <v/>
      </c>
      <c r="F90" s="25" t="str">
        <f t="shared" si="10"/>
        <v/>
      </c>
      <c r="G90" s="45" t="str">
        <f t="shared" si="11"/>
        <v/>
      </c>
      <c r="H90" s="45" t="str">
        <f t="shared" si="12"/>
        <v/>
      </c>
      <c r="I90" s="45" t="str">
        <f t="shared" si="13"/>
        <v/>
      </c>
      <c r="J90" s="187" t="str">
        <f t="shared" si="14"/>
        <v/>
      </c>
      <c r="K90" s="25" t="str">
        <f t="shared" si="15"/>
        <v/>
      </c>
      <c r="L90" s="25" t="str">
        <f t="shared" si="16"/>
        <v/>
      </c>
      <c r="M90" s="45" t="str">
        <f t="shared" si="17"/>
        <v/>
      </c>
      <c r="N90" s="166" t="str">
        <f t="shared" si="18"/>
        <v/>
      </c>
      <c r="O90" s="166" t="str">
        <f t="shared" si="19"/>
        <v/>
      </c>
      <c r="P90" s="167" t="str">
        <f t="shared" si="20"/>
        <v/>
      </c>
      <c r="Q90" s="188" t="str">
        <f t="shared" si="21"/>
        <v/>
      </c>
      <c r="R90" s="166" t="str">
        <f t="shared" si="22"/>
        <v/>
      </c>
      <c r="S90" s="166" t="str">
        <f t="shared" si="23"/>
        <v/>
      </c>
      <c r="T90" s="167" t="str">
        <f t="shared" si="24"/>
        <v/>
      </c>
      <c r="U90" s="167" t="str">
        <f t="shared" si="25"/>
        <v/>
      </c>
      <c r="V90" s="168" t="str">
        <f t="shared" si="26"/>
        <v/>
      </c>
      <c r="W90" s="168" t="str">
        <f t="shared" si="27"/>
        <v/>
      </c>
      <c r="X90" s="167" t="str">
        <f t="shared" si="28"/>
        <v/>
      </c>
      <c r="Y90" s="167" t="str">
        <f t="shared" si="29"/>
        <v/>
      </c>
      <c r="Z90" s="169" t="str">
        <f t="shared" si="30"/>
        <v/>
      </c>
      <c r="AA90" s="170" t="str">
        <f t="shared" si="31"/>
        <v/>
      </c>
      <c r="AB90" s="169" t="str">
        <f t="shared" si="32"/>
        <v/>
      </c>
      <c r="AC90" s="169" t="str">
        <f t="shared" si="33"/>
        <v/>
      </c>
      <c r="AD90" s="174"/>
      <c r="AE90" s="174" t="str">
        <f t="shared" si="34"/>
        <v/>
      </c>
      <c r="AF90" s="174"/>
      <c r="AG90" s="174"/>
      <c r="AI90" s="21"/>
      <c r="AJ90" s="21"/>
      <c r="AK90" s="21"/>
      <c r="AL90" s="21"/>
      <c r="AM90" s="21"/>
    </row>
    <row r="91" spans="1:39" s="158" customFormat="1" ht="16.8" x14ac:dyDescent="0.25">
      <c r="A91" s="154"/>
      <c r="B91" s="25">
        <v>37</v>
      </c>
      <c r="C91" s="25" t="str">
        <f t="shared" si="35"/>
        <v/>
      </c>
      <c r="D91" s="25" t="str">
        <f t="shared" si="36"/>
        <v/>
      </c>
      <c r="E91" s="25" t="str">
        <f t="shared" si="9"/>
        <v/>
      </c>
      <c r="F91" s="25" t="str">
        <f t="shared" si="10"/>
        <v/>
      </c>
      <c r="G91" s="45" t="str">
        <f t="shared" si="11"/>
        <v/>
      </c>
      <c r="H91" s="45" t="str">
        <f t="shared" si="12"/>
        <v/>
      </c>
      <c r="I91" s="45" t="str">
        <f t="shared" si="13"/>
        <v/>
      </c>
      <c r="J91" s="187" t="str">
        <f t="shared" si="14"/>
        <v/>
      </c>
      <c r="K91" s="25" t="str">
        <f t="shared" si="15"/>
        <v/>
      </c>
      <c r="L91" s="25" t="str">
        <f t="shared" si="16"/>
        <v/>
      </c>
      <c r="M91" s="45" t="str">
        <f t="shared" si="17"/>
        <v/>
      </c>
      <c r="N91" s="166" t="str">
        <f t="shared" si="18"/>
        <v/>
      </c>
      <c r="O91" s="166" t="str">
        <f t="shared" si="19"/>
        <v/>
      </c>
      <c r="P91" s="167" t="str">
        <f t="shared" si="20"/>
        <v/>
      </c>
      <c r="Q91" s="188" t="str">
        <f t="shared" si="21"/>
        <v/>
      </c>
      <c r="R91" s="166" t="str">
        <f t="shared" si="22"/>
        <v/>
      </c>
      <c r="S91" s="166" t="str">
        <f t="shared" si="23"/>
        <v/>
      </c>
      <c r="T91" s="167" t="str">
        <f t="shared" si="24"/>
        <v/>
      </c>
      <c r="U91" s="167" t="str">
        <f t="shared" si="25"/>
        <v/>
      </c>
      <c r="V91" s="168" t="str">
        <f t="shared" si="26"/>
        <v/>
      </c>
      <c r="W91" s="168" t="str">
        <f t="shared" si="27"/>
        <v/>
      </c>
      <c r="X91" s="167" t="str">
        <f t="shared" si="28"/>
        <v/>
      </c>
      <c r="Y91" s="167" t="str">
        <f t="shared" si="29"/>
        <v/>
      </c>
      <c r="Z91" s="169" t="str">
        <f t="shared" si="30"/>
        <v/>
      </c>
      <c r="AA91" s="170" t="str">
        <f t="shared" si="31"/>
        <v/>
      </c>
      <c r="AB91" s="169" t="str">
        <f t="shared" si="32"/>
        <v/>
      </c>
      <c r="AC91" s="169" t="str">
        <f t="shared" si="33"/>
        <v/>
      </c>
      <c r="AD91" s="174"/>
      <c r="AE91" s="174" t="str">
        <f t="shared" si="34"/>
        <v/>
      </c>
      <c r="AF91" s="174"/>
      <c r="AG91" s="174"/>
      <c r="AI91" s="21"/>
      <c r="AJ91" s="21"/>
      <c r="AK91" s="21"/>
      <c r="AL91" s="21"/>
      <c r="AM91" s="21"/>
    </row>
    <row r="92" spans="1:39" s="158" customFormat="1" ht="16.8" x14ac:dyDescent="0.25">
      <c r="A92" s="154"/>
      <c r="B92" s="25">
        <v>38</v>
      </c>
      <c r="C92" s="25" t="str">
        <f t="shared" si="35"/>
        <v/>
      </c>
      <c r="D92" s="25" t="str">
        <f t="shared" si="36"/>
        <v/>
      </c>
      <c r="E92" s="25" t="str">
        <f t="shared" si="9"/>
        <v/>
      </c>
      <c r="F92" s="25" t="str">
        <f t="shared" si="10"/>
        <v/>
      </c>
      <c r="G92" s="45" t="str">
        <f t="shared" si="11"/>
        <v/>
      </c>
      <c r="H92" s="45" t="str">
        <f t="shared" si="12"/>
        <v/>
      </c>
      <c r="I92" s="45" t="str">
        <f t="shared" si="13"/>
        <v/>
      </c>
      <c r="J92" s="187" t="str">
        <f t="shared" si="14"/>
        <v/>
      </c>
      <c r="K92" s="25" t="str">
        <f t="shared" si="15"/>
        <v/>
      </c>
      <c r="L92" s="25" t="str">
        <f t="shared" si="16"/>
        <v/>
      </c>
      <c r="M92" s="45" t="str">
        <f t="shared" si="17"/>
        <v/>
      </c>
      <c r="N92" s="166" t="str">
        <f t="shared" si="18"/>
        <v/>
      </c>
      <c r="O92" s="166" t="str">
        <f t="shared" si="19"/>
        <v/>
      </c>
      <c r="P92" s="167" t="str">
        <f t="shared" si="20"/>
        <v/>
      </c>
      <c r="Q92" s="188" t="str">
        <f t="shared" si="21"/>
        <v/>
      </c>
      <c r="R92" s="166" t="str">
        <f t="shared" si="22"/>
        <v/>
      </c>
      <c r="S92" s="166" t="str">
        <f t="shared" si="23"/>
        <v/>
      </c>
      <c r="T92" s="167" t="str">
        <f t="shared" si="24"/>
        <v/>
      </c>
      <c r="U92" s="167" t="str">
        <f t="shared" si="25"/>
        <v/>
      </c>
      <c r="V92" s="168" t="str">
        <f t="shared" si="26"/>
        <v/>
      </c>
      <c r="W92" s="168" t="str">
        <f t="shared" si="27"/>
        <v/>
      </c>
      <c r="X92" s="167" t="str">
        <f t="shared" si="28"/>
        <v/>
      </c>
      <c r="Y92" s="167" t="str">
        <f t="shared" si="29"/>
        <v/>
      </c>
      <c r="Z92" s="169" t="str">
        <f t="shared" si="30"/>
        <v/>
      </c>
      <c r="AA92" s="170" t="str">
        <f t="shared" si="31"/>
        <v/>
      </c>
      <c r="AB92" s="169" t="str">
        <f t="shared" si="32"/>
        <v/>
      </c>
      <c r="AC92" s="169" t="str">
        <f t="shared" si="33"/>
        <v/>
      </c>
      <c r="AD92" s="174"/>
      <c r="AE92" s="174" t="str">
        <f t="shared" si="34"/>
        <v/>
      </c>
      <c r="AF92" s="174"/>
      <c r="AG92" s="174"/>
      <c r="AI92" s="21"/>
      <c r="AJ92" s="21"/>
      <c r="AK92" s="21"/>
      <c r="AL92" s="21"/>
      <c r="AM92" s="21"/>
    </row>
    <row r="93" spans="1:39" s="158" customFormat="1" ht="16.8" x14ac:dyDescent="0.25">
      <c r="A93" s="154"/>
      <c r="B93" s="25">
        <v>39</v>
      </c>
      <c r="C93" s="25" t="str">
        <f t="shared" si="35"/>
        <v/>
      </c>
      <c r="D93" s="25" t="str">
        <f t="shared" si="36"/>
        <v/>
      </c>
      <c r="E93" s="25" t="str">
        <f t="shared" si="9"/>
        <v/>
      </c>
      <c r="F93" s="25" t="str">
        <f t="shared" si="10"/>
        <v/>
      </c>
      <c r="G93" s="45" t="str">
        <f t="shared" si="11"/>
        <v/>
      </c>
      <c r="H93" s="45" t="str">
        <f t="shared" si="12"/>
        <v/>
      </c>
      <c r="I93" s="45" t="str">
        <f t="shared" si="13"/>
        <v/>
      </c>
      <c r="J93" s="187" t="str">
        <f t="shared" si="14"/>
        <v/>
      </c>
      <c r="K93" s="25" t="str">
        <f t="shared" si="15"/>
        <v/>
      </c>
      <c r="L93" s="25" t="str">
        <f t="shared" si="16"/>
        <v/>
      </c>
      <c r="M93" s="45" t="str">
        <f t="shared" si="17"/>
        <v/>
      </c>
      <c r="N93" s="166" t="str">
        <f t="shared" si="18"/>
        <v/>
      </c>
      <c r="O93" s="166" t="str">
        <f t="shared" si="19"/>
        <v/>
      </c>
      <c r="P93" s="167" t="str">
        <f t="shared" si="20"/>
        <v/>
      </c>
      <c r="Q93" s="188" t="str">
        <f t="shared" si="21"/>
        <v/>
      </c>
      <c r="R93" s="166" t="str">
        <f t="shared" si="22"/>
        <v/>
      </c>
      <c r="S93" s="166" t="str">
        <f t="shared" si="23"/>
        <v/>
      </c>
      <c r="T93" s="167" t="str">
        <f t="shared" si="24"/>
        <v/>
      </c>
      <c r="U93" s="167" t="str">
        <f t="shared" si="25"/>
        <v/>
      </c>
      <c r="V93" s="168" t="str">
        <f t="shared" si="26"/>
        <v/>
      </c>
      <c r="W93" s="168" t="str">
        <f t="shared" si="27"/>
        <v/>
      </c>
      <c r="X93" s="167" t="str">
        <f t="shared" si="28"/>
        <v/>
      </c>
      <c r="Y93" s="167" t="str">
        <f t="shared" si="29"/>
        <v/>
      </c>
      <c r="Z93" s="169" t="str">
        <f t="shared" si="30"/>
        <v/>
      </c>
      <c r="AA93" s="170" t="str">
        <f t="shared" si="31"/>
        <v/>
      </c>
      <c r="AB93" s="169" t="str">
        <f t="shared" si="32"/>
        <v/>
      </c>
      <c r="AC93" s="169" t="str">
        <f t="shared" si="33"/>
        <v/>
      </c>
      <c r="AD93" s="174"/>
      <c r="AE93" s="174" t="str">
        <f t="shared" si="34"/>
        <v/>
      </c>
      <c r="AF93" s="174"/>
      <c r="AG93" s="174"/>
      <c r="AI93" s="21"/>
      <c r="AJ93" s="21"/>
      <c r="AK93" s="21"/>
      <c r="AL93" s="21"/>
      <c r="AM93" s="21"/>
    </row>
    <row r="94" spans="1:39" s="158" customFormat="1" ht="16.8" x14ac:dyDescent="0.25">
      <c r="A94" s="154"/>
      <c r="B94" s="25">
        <v>40</v>
      </c>
      <c r="C94" s="25" t="str">
        <f t="shared" si="35"/>
        <v/>
      </c>
      <c r="D94" s="25"/>
      <c r="E94" s="25"/>
      <c r="F94" s="25"/>
      <c r="G94" s="45"/>
      <c r="H94" s="45"/>
      <c r="I94" s="45"/>
      <c r="J94" s="187"/>
      <c r="K94" s="25"/>
      <c r="L94" s="25"/>
      <c r="M94" s="45"/>
      <c r="N94" s="166" t="str">
        <f t="shared" si="18"/>
        <v/>
      </c>
      <c r="O94" s="166" t="str">
        <f t="shared" si="19"/>
        <v/>
      </c>
      <c r="P94" s="167" t="str">
        <f t="shared" si="20"/>
        <v/>
      </c>
      <c r="Q94" s="188" t="str">
        <f t="shared" si="21"/>
        <v/>
      </c>
      <c r="R94" s="166" t="str">
        <f t="shared" si="22"/>
        <v/>
      </c>
      <c r="S94" s="166" t="str">
        <f t="shared" si="23"/>
        <v/>
      </c>
      <c r="T94" s="167" t="str">
        <f t="shared" si="24"/>
        <v/>
      </c>
      <c r="U94" s="167" t="str">
        <f t="shared" si="25"/>
        <v/>
      </c>
      <c r="V94" s="168" t="str">
        <f t="shared" si="26"/>
        <v/>
      </c>
      <c r="W94" s="168" t="str">
        <f t="shared" si="27"/>
        <v/>
      </c>
      <c r="X94" s="167" t="str">
        <f t="shared" si="28"/>
        <v/>
      </c>
      <c r="Y94" s="167" t="str">
        <f t="shared" si="29"/>
        <v/>
      </c>
      <c r="Z94" s="169" t="str">
        <f t="shared" si="30"/>
        <v/>
      </c>
      <c r="AA94" s="170" t="str">
        <f t="shared" si="31"/>
        <v/>
      </c>
      <c r="AB94" s="169" t="str">
        <f t="shared" si="32"/>
        <v/>
      </c>
      <c r="AC94" s="169" t="str">
        <f t="shared" si="33"/>
        <v/>
      </c>
      <c r="AD94" s="174"/>
      <c r="AE94" s="174" t="str">
        <f t="shared" si="34"/>
        <v/>
      </c>
      <c r="AF94" s="174"/>
      <c r="AG94" s="174"/>
      <c r="AI94" s="21"/>
      <c r="AJ94" s="21"/>
      <c r="AK94" s="21"/>
      <c r="AL94" s="21"/>
      <c r="AM94" s="21"/>
    </row>
    <row r="95" spans="1:39" s="194" customFormat="1" ht="17.25" customHeight="1" x14ac:dyDescent="0.25">
      <c r="A95" s="154"/>
      <c r="B95" s="154"/>
      <c r="C95" s="154"/>
      <c r="D95" s="154"/>
      <c r="E95" s="154"/>
      <c r="F95" s="154"/>
      <c r="G95" s="154"/>
      <c r="H95" s="154"/>
      <c r="I95" s="154"/>
      <c r="J95" s="154"/>
      <c r="K95" s="154"/>
      <c r="L95" s="154"/>
      <c r="M95" s="154"/>
      <c r="N95" s="154"/>
      <c r="O95" s="154"/>
      <c r="P95" s="200"/>
      <c r="Q95" s="200"/>
      <c r="R95" s="200"/>
      <c r="S95" s="200"/>
      <c r="T95" s="200"/>
      <c r="U95" s="200"/>
      <c r="V95" s="155"/>
      <c r="W95" s="155"/>
      <c r="X95" s="200"/>
      <c r="Y95" s="200"/>
      <c r="Z95" s="200"/>
      <c r="AA95" s="201"/>
      <c r="AB95" s="154"/>
      <c r="AC95" s="157"/>
      <c r="AD95" s="157"/>
      <c r="AE95" s="157"/>
      <c r="AF95" s="157"/>
      <c r="AG95" s="157"/>
      <c r="AH95" s="158"/>
    </row>
    <row r="96" spans="1:39" ht="3.75" hidden="1" customHeight="1" x14ac:dyDescent="0.25">
      <c r="A96" s="49"/>
      <c r="B96" s="49"/>
      <c r="C96" s="49"/>
      <c r="D96" s="49"/>
      <c r="E96" s="49"/>
      <c r="F96" s="49"/>
      <c r="G96" s="49"/>
      <c r="H96" s="49"/>
      <c r="I96" s="110"/>
      <c r="J96" s="110"/>
      <c r="K96" s="110"/>
      <c r="L96" s="110"/>
      <c r="M96" s="110"/>
      <c r="N96" s="49"/>
      <c r="O96" s="49"/>
      <c r="P96" s="110"/>
      <c r="Q96" s="110"/>
      <c r="R96" s="110"/>
      <c r="S96" s="110"/>
      <c r="T96" s="110"/>
      <c r="U96" s="110"/>
      <c r="V96" s="202"/>
      <c r="W96" s="202"/>
      <c r="X96" s="110"/>
      <c r="Y96" s="110"/>
      <c r="Z96" s="110"/>
      <c r="AA96" s="203"/>
      <c r="AB96" s="49"/>
      <c r="AC96" s="204"/>
      <c r="AD96" s="204"/>
      <c r="AE96" s="204"/>
      <c r="AF96" s="204"/>
      <c r="AG96" s="204"/>
    </row>
    <row r="97" spans="9:38" ht="13.8" hidden="1" x14ac:dyDescent="0.25">
      <c r="I97" s="205"/>
      <c r="J97" s="205"/>
      <c r="K97" s="205"/>
      <c r="L97" s="205"/>
      <c r="M97" s="205"/>
    </row>
    <row r="98" spans="9:38" ht="13.8" hidden="1" x14ac:dyDescent="0.25"/>
    <row r="99" spans="9:38" ht="13.8" hidden="1" x14ac:dyDescent="0.25"/>
    <row r="100" spans="9:38" ht="13.8" hidden="1" x14ac:dyDescent="0.25"/>
    <row r="101" spans="9:38" ht="13.8" hidden="1" x14ac:dyDescent="0.25"/>
    <row r="102" spans="9:38" ht="13.8" hidden="1" x14ac:dyDescent="0.25"/>
    <row r="103" spans="9:38" ht="13.8" hidden="1" x14ac:dyDescent="0.25"/>
    <row r="104" spans="9:38" ht="13.8" hidden="1" x14ac:dyDescent="0.25"/>
    <row r="105" spans="9:38" ht="13.8" hidden="1" x14ac:dyDescent="0.25"/>
    <row r="106" spans="9:38" ht="13.8" hidden="1" x14ac:dyDescent="0.25"/>
    <row r="107" spans="9:38" ht="13.8" hidden="1" x14ac:dyDescent="0.25"/>
    <row r="108" spans="9:38" ht="13.8" hidden="1" x14ac:dyDescent="0.25"/>
    <row r="109" spans="9:38" ht="13.8" hidden="1" x14ac:dyDescent="0.25"/>
    <row r="110" spans="9:38" ht="13.8" hidden="1" x14ac:dyDescent="0.25"/>
    <row r="111" spans="9:38" s="59" customFormat="1" ht="13.8" hidden="1" x14ac:dyDescent="0.25">
      <c r="V111" s="206"/>
      <c r="W111" s="206"/>
      <c r="AA111" s="207"/>
      <c r="AC111" s="208"/>
      <c r="AD111" s="208"/>
      <c r="AE111" s="208"/>
      <c r="AF111" s="208"/>
      <c r="AG111" s="208"/>
      <c r="AH111" s="158"/>
      <c r="AI111" s="21"/>
      <c r="AJ111" s="21"/>
      <c r="AK111" s="21"/>
      <c r="AL111" s="21"/>
    </row>
    <row r="112" spans="9:38" s="59" customFormat="1" ht="13.8" hidden="1" x14ac:dyDescent="0.25">
      <c r="V112" s="206"/>
      <c r="W112" s="206"/>
      <c r="AA112" s="207"/>
      <c r="AC112" s="208"/>
      <c r="AD112" s="208"/>
      <c r="AE112" s="208"/>
      <c r="AF112" s="208"/>
      <c r="AG112" s="208"/>
      <c r="AH112" s="158"/>
      <c r="AI112" s="21"/>
      <c r="AJ112" s="21"/>
      <c r="AK112" s="21"/>
      <c r="AL112" s="21"/>
    </row>
    <row r="113" spans="22:38" s="59" customFormat="1" ht="13.8" hidden="1" x14ac:dyDescent="0.25">
      <c r="V113" s="206"/>
      <c r="W113" s="206"/>
      <c r="AA113" s="207"/>
      <c r="AC113" s="208"/>
      <c r="AD113" s="208"/>
      <c r="AE113" s="208"/>
      <c r="AF113" s="208"/>
      <c r="AG113" s="208"/>
      <c r="AH113" s="158"/>
      <c r="AI113" s="21"/>
      <c r="AJ113" s="21"/>
      <c r="AK113" s="21"/>
      <c r="AL113" s="21"/>
    </row>
  </sheetData>
  <sheetProtection algorithmName="SHA-512" hashValue="NfkWUm/YWrttYx7MHiwpozKbw8yNTq9pTcBvBkc61x0y0N8D1lsWc0WcpNLnpkzS9ukM9XRxmuP94IWMV7HVCw==" saltValue="Ld6GGmzvhoI9/o+26Wbvwg==" spinCount="100000" sheet="1" objects="1" scenarios="1" selectLockedCells="1"/>
  <mergeCells count="34">
    <mergeCell ref="AG2:AG5"/>
    <mergeCell ref="AF2:AF5"/>
    <mergeCell ref="AE2:AE5"/>
    <mergeCell ref="X2:Y2"/>
    <mergeCell ref="Z2:Z5"/>
    <mergeCell ref="AA2:AA5"/>
    <mergeCell ref="AB2:AB5"/>
    <mergeCell ref="AC2:AC5"/>
    <mergeCell ref="R2:S2"/>
    <mergeCell ref="R3:S3"/>
    <mergeCell ref="B5:M5"/>
    <mergeCell ref="AD2:AD5"/>
    <mergeCell ref="V2:W2"/>
    <mergeCell ref="T3:U3"/>
    <mergeCell ref="B2:M2"/>
    <mergeCell ref="N2:O2"/>
    <mergeCell ref="P3:Q3"/>
    <mergeCell ref="P2:Q2"/>
    <mergeCell ref="T2:U2"/>
    <mergeCell ref="B53:F53"/>
    <mergeCell ref="H53:L53"/>
    <mergeCell ref="N53:AC53"/>
    <mergeCell ref="V3:W3"/>
    <mergeCell ref="X3:Y3"/>
    <mergeCell ref="B4:M4"/>
    <mergeCell ref="N4:O4"/>
    <mergeCell ref="P4:Q4"/>
    <mergeCell ref="R4:S4"/>
    <mergeCell ref="T4:U4"/>
    <mergeCell ref="V4:W4"/>
    <mergeCell ref="X4:Y4"/>
    <mergeCell ref="N3:O3"/>
    <mergeCell ref="B3:G3"/>
    <mergeCell ref="K3:M3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2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FFC000"/>
    <pageSetUpPr fitToPage="1"/>
  </sheetPr>
  <dimension ref="A1:AM145"/>
  <sheetViews>
    <sheetView workbookViewId="0">
      <selection activeCell="G53" sqref="G53"/>
    </sheetView>
  </sheetViews>
  <sheetFormatPr defaultColWidth="0" defaultRowHeight="0" customHeight="1" zeroHeight="1" x14ac:dyDescent="0.25"/>
  <cols>
    <col min="1" max="1" width="4.33203125" style="59" customWidth="1"/>
    <col min="2" max="2" width="6" style="59" customWidth="1"/>
    <col min="3" max="4" width="7.33203125" style="59" hidden="1" customWidth="1"/>
    <col min="5" max="6" width="11.6640625" style="59" customWidth="1"/>
    <col min="7" max="7" width="39.6640625" style="59" customWidth="1"/>
    <col min="8" max="8" width="37.109375" style="59" customWidth="1"/>
    <col min="9" max="9" width="26.109375" style="59" hidden="1" customWidth="1"/>
    <col min="10" max="10" width="6" style="59" hidden="1" customWidth="1"/>
    <col min="11" max="11" width="7.88671875" style="59" customWidth="1"/>
    <col min="12" max="12" width="10.5546875" style="59" bestFit="1" customWidth="1"/>
    <col min="13" max="13" width="28" style="59" customWidth="1"/>
    <col min="14" max="14" width="10" style="59" customWidth="1"/>
    <col min="15" max="15" width="8.88671875" style="59" customWidth="1"/>
    <col min="16" max="17" width="10.88671875" style="59" customWidth="1"/>
    <col min="18" max="19" width="8.88671875" style="59" customWidth="1"/>
    <col min="20" max="21" width="11.33203125" style="59" customWidth="1"/>
    <col min="22" max="23" width="8.88671875" style="206" customWidth="1"/>
    <col min="24" max="25" width="9.44140625" style="59" customWidth="1"/>
    <col min="26" max="26" width="12.109375" style="59" customWidth="1"/>
    <col min="27" max="27" width="11" style="207" customWidth="1"/>
    <col min="28" max="28" width="11.88671875" style="59" customWidth="1"/>
    <col min="29" max="29" width="10.5546875" style="208" customWidth="1"/>
    <col min="30" max="30" width="10.33203125" style="208" hidden="1" customWidth="1"/>
    <col min="31" max="31" width="9.88671875" style="208" hidden="1" customWidth="1"/>
    <col min="32" max="32" width="8.6640625" style="208" hidden="1" customWidth="1"/>
    <col min="33" max="33" width="7.109375" style="208" hidden="1" customWidth="1"/>
    <col min="34" max="34" width="3.5546875" style="158" customWidth="1"/>
    <col min="35" max="39" width="0" style="21" hidden="1" customWidth="1"/>
    <col min="40" max="16384" width="9.109375" style="21" hidden="1"/>
  </cols>
  <sheetData>
    <row r="1" spans="1:33" ht="18" customHeight="1" x14ac:dyDescent="0.25">
      <c r="A1" s="153" t="s">
        <v>20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5"/>
      <c r="W1" s="155"/>
      <c r="X1" s="154"/>
      <c r="Y1" s="154"/>
      <c r="Z1" s="154"/>
      <c r="AA1" s="156"/>
      <c r="AB1" s="154"/>
      <c r="AC1" s="157"/>
      <c r="AD1" s="157"/>
      <c r="AE1" s="157"/>
      <c r="AF1" s="157"/>
      <c r="AG1" s="157"/>
    </row>
    <row r="2" spans="1:33" ht="54" customHeight="1" x14ac:dyDescent="0.25">
      <c r="A2" s="154"/>
      <c r="B2" s="1476" t="str">
        <f>DASHBOARD!B2&amp;DASHBOARD!B3</f>
        <v xml:space="preserve">SWAMI VIVEKANAND GOVT. MODEL SCHOOL,  AMET, BLOCK-AMET, RAJSAMAND                                                                </v>
      </c>
      <c r="C2" s="1476"/>
      <c r="D2" s="1476"/>
      <c r="E2" s="1476"/>
      <c r="F2" s="1476"/>
      <c r="G2" s="1476"/>
      <c r="H2" s="1476"/>
      <c r="I2" s="1476"/>
      <c r="J2" s="1476"/>
      <c r="K2" s="1476"/>
      <c r="L2" s="1476"/>
      <c r="M2" s="1477"/>
      <c r="N2" s="1470" t="str">
        <f>IF('GREEN SHEET'!L2="","",'GREEN SHEET'!L2)</f>
        <v>ENGLISH</v>
      </c>
      <c r="O2" s="1470"/>
      <c r="P2" s="1466" t="str">
        <f>IF('GREEN SHEET'!AD2="","",'GREEN SHEET'!AD2)</f>
        <v>MATHS</v>
      </c>
      <c r="Q2" s="1466"/>
      <c r="R2" s="1470" t="str">
        <f>IF('GREEN SHEET'!AX2="","",'GREEN SHEET'!AX2)</f>
        <v xml:space="preserve">PHYSICS </v>
      </c>
      <c r="S2" s="1470"/>
      <c r="T2" s="1466" t="str">
        <f>IF('GREEN SHEET'!BQ2="","",'GREEN SHEET'!BQ2)</f>
        <v>CHEMISTRY</v>
      </c>
      <c r="U2" s="1466"/>
      <c r="V2" s="1464" t="str">
        <f>IF('GREEN SHEET'!CJ2="","",'GREEN SHEET'!CJ2)</f>
        <v xml:space="preserve">BIOLOGY </v>
      </c>
      <c r="W2" s="1465"/>
      <c r="X2" s="1466" t="str">
        <f>IF('GREEN SHEET'!DC2="","",'GREEN SHEET'!DC2)</f>
        <v xml:space="preserve">PHYSICAL EDUCATION </v>
      </c>
      <c r="Y2" s="1466"/>
      <c r="Z2" s="1478" t="s">
        <v>216</v>
      </c>
      <c r="AA2" s="1479" t="s">
        <v>217</v>
      </c>
      <c r="AB2" s="1478" t="s">
        <v>218</v>
      </c>
      <c r="AC2" s="1478" t="s">
        <v>73</v>
      </c>
      <c r="AD2" s="159"/>
      <c r="AE2" s="159"/>
      <c r="AF2" s="159"/>
      <c r="AG2" s="160"/>
    </row>
    <row r="3" spans="1:33" ht="57.75" customHeight="1" thickBot="1" x14ac:dyDescent="0.3">
      <c r="A3" s="154"/>
      <c r="B3" s="1471" t="str">
        <f>IF(DASHBOARD!B4="","",DASHBOARD!B4)</f>
        <v>SESSION    -  2025-26</v>
      </c>
      <c r="C3" s="1471"/>
      <c r="D3" s="1471"/>
      <c r="E3" s="1471"/>
      <c r="F3" s="1471"/>
      <c r="G3" s="1471"/>
      <c r="H3" s="570" t="str">
        <f>IF(DASHBOARD!B7="","",DASHBOARD!B7)</f>
        <v>CLASS</v>
      </c>
      <c r="I3" s="571"/>
      <c r="J3" s="571"/>
      <c r="K3" s="1472" t="str">
        <f>IF(DASHBOARD!B7="","",DASHBOARD!B8&amp;DASHBOARD!C8)</f>
        <v>XI A</v>
      </c>
      <c r="L3" s="1472"/>
      <c r="M3" s="1473"/>
      <c r="N3" s="1470" t="str">
        <f>IF('GREEN SHEET'!L3="","",'GREEN SHEET'!L3)</f>
        <v>SUREKHA</v>
      </c>
      <c r="O3" s="1470"/>
      <c r="P3" s="1466" t="str">
        <f>IF('GREEN SHEET'!AD3="","",'GREEN SHEET'!AD3)</f>
        <v>NILESH KUMAR KHATIK</v>
      </c>
      <c r="Q3" s="1466"/>
      <c r="R3" s="1470" t="str">
        <f>IF('GREEN SHEET'!AX3="","",'GREEN SHEET'!AX3)</f>
        <v>KAMLESH KUMAR</v>
      </c>
      <c r="S3" s="1470"/>
      <c r="T3" s="1466" t="str">
        <f>IF('GREEN SHEET'!BQ3="","",'GREEN SHEET'!BQ3)</f>
        <v>KAMLESH KUMAR</v>
      </c>
      <c r="U3" s="1466"/>
      <c r="V3" s="1464" t="str">
        <f>IF('GREEN SHEET'!CJ3="","",'GREEN SHEET'!CJ3)</f>
        <v>BIOLOGY</v>
      </c>
      <c r="W3" s="1465"/>
      <c r="X3" s="1466" t="str">
        <f>IF('GREEN SHEET'!DC3="","",'GREEN SHEET'!DC3)</f>
        <v>SUREKHA</v>
      </c>
      <c r="Y3" s="1466"/>
      <c r="Z3" s="1478"/>
      <c r="AA3" s="1479"/>
      <c r="AB3" s="1478"/>
      <c r="AC3" s="1478"/>
      <c r="AD3" s="161"/>
      <c r="AE3" s="161"/>
      <c r="AF3" s="161"/>
      <c r="AG3" s="162"/>
    </row>
    <row r="4" spans="1:33" ht="36.75" customHeight="1" thickBot="1" x14ac:dyDescent="0.3">
      <c r="A4" s="154"/>
      <c r="B4" s="1467" t="s">
        <v>219</v>
      </c>
      <c r="C4" s="1468"/>
      <c r="D4" s="1468"/>
      <c r="E4" s="1468"/>
      <c r="F4" s="1468"/>
      <c r="G4" s="1468"/>
      <c r="H4" s="1468"/>
      <c r="I4" s="1468"/>
      <c r="J4" s="1468"/>
      <c r="K4" s="1468"/>
      <c r="L4" s="1468"/>
      <c r="M4" s="1469"/>
      <c r="N4" s="1465" t="s">
        <v>220</v>
      </c>
      <c r="O4" s="1470"/>
      <c r="P4" s="1466" t="s">
        <v>220</v>
      </c>
      <c r="Q4" s="1466"/>
      <c r="R4" s="1470" t="s">
        <v>220</v>
      </c>
      <c r="S4" s="1470"/>
      <c r="T4" s="1466" t="s">
        <v>220</v>
      </c>
      <c r="U4" s="1466"/>
      <c r="V4" s="1470" t="s">
        <v>220</v>
      </c>
      <c r="W4" s="1470"/>
      <c r="X4" s="1466" t="s">
        <v>220</v>
      </c>
      <c r="Y4" s="1466"/>
      <c r="Z4" s="1478"/>
      <c r="AA4" s="1479"/>
      <c r="AB4" s="1478"/>
      <c r="AC4" s="1478"/>
      <c r="AD4" s="1486" t="s">
        <v>221</v>
      </c>
      <c r="AE4" s="1488" t="s">
        <v>222</v>
      </c>
      <c r="AF4" s="1488" t="s">
        <v>223</v>
      </c>
      <c r="AG4" s="1488" t="s">
        <v>224</v>
      </c>
    </row>
    <row r="5" spans="1:33" ht="47.25" customHeight="1" thickBot="1" x14ac:dyDescent="0.3">
      <c r="A5" s="154"/>
      <c r="B5" s="1474" t="s">
        <v>225</v>
      </c>
      <c r="C5" s="1474"/>
      <c r="D5" s="1474"/>
      <c r="E5" s="1474"/>
      <c r="F5" s="1474"/>
      <c r="G5" s="1474"/>
      <c r="H5" s="1474"/>
      <c r="I5" s="1474"/>
      <c r="J5" s="1474"/>
      <c r="K5" s="1474"/>
      <c r="L5" s="1474"/>
      <c r="M5" s="1474"/>
      <c r="N5" s="163" t="s">
        <v>41</v>
      </c>
      <c r="O5" s="163" t="s">
        <v>159</v>
      </c>
      <c r="P5" s="164" t="s">
        <v>41</v>
      </c>
      <c r="Q5" s="164" t="s">
        <v>159</v>
      </c>
      <c r="R5" s="163" t="s">
        <v>41</v>
      </c>
      <c r="S5" s="163" t="s">
        <v>159</v>
      </c>
      <c r="T5" s="164" t="s">
        <v>41</v>
      </c>
      <c r="U5" s="164" t="s">
        <v>159</v>
      </c>
      <c r="V5" s="163" t="s">
        <v>41</v>
      </c>
      <c r="W5" s="163" t="s">
        <v>159</v>
      </c>
      <c r="X5" s="164" t="s">
        <v>41</v>
      </c>
      <c r="Y5" s="164" t="s">
        <v>159</v>
      </c>
      <c r="Z5" s="1478"/>
      <c r="AA5" s="1479"/>
      <c r="AB5" s="1478"/>
      <c r="AC5" s="1478"/>
      <c r="AD5" s="1487"/>
      <c r="AE5" s="1489"/>
      <c r="AF5" s="1489"/>
      <c r="AG5" s="1489"/>
    </row>
    <row r="6" spans="1:33" ht="17.399999999999999" hidden="1" thickBot="1" x14ac:dyDescent="0.3">
      <c r="A6" s="154"/>
      <c r="B6" s="165" t="s">
        <v>2</v>
      </c>
      <c r="C6" s="165" t="s">
        <v>221</v>
      </c>
      <c r="D6" s="165" t="s">
        <v>221</v>
      </c>
      <c r="E6" s="165" t="s">
        <v>3</v>
      </c>
      <c r="F6" s="165" t="s">
        <v>4</v>
      </c>
      <c r="G6" s="165" t="s">
        <v>5</v>
      </c>
      <c r="H6" s="69" t="s">
        <v>6</v>
      </c>
      <c r="I6" s="69" t="s">
        <v>7</v>
      </c>
      <c r="J6" s="69" t="s">
        <v>8</v>
      </c>
      <c r="K6" s="69" t="s">
        <v>9</v>
      </c>
      <c r="L6" s="69" t="s">
        <v>10</v>
      </c>
      <c r="M6" s="69" t="s">
        <v>11</v>
      </c>
      <c r="N6" s="166">
        <f>IF(F6="","",IF('GREEN SHEET'!AB6="",'GREEN SHEET'!Y6,'GREEN SHEET'!AB6))</f>
        <v>100</v>
      </c>
      <c r="O6" s="166" t="str">
        <f>IF(F6="","",IF('GREEN SHEET'!AC6="",'GREEN SHEET'!Z6,'GREEN SHEET'!AC6))</f>
        <v>A1</v>
      </c>
      <c r="P6" s="167">
        <f>IF(F6="","",IF('GREEN SHEET'!AV6="",'GREEN SHEET'!AS6,'GREEN SHEET'!AV6))</f>
        <v>100</v>
      </c>
      <c r="Q6" s="167" t="str">
        <f>IF(F6="","",IF('GREEN SHEET'!AW6="",'GREEN SHEET'!AT6,'GREEN SHEET'!AW6))</f>
        <v>A1</v>
      </c>
      <c r="R6" s="166">
        <f>IF(F6="","",IF('GREEN SHEET'!BO6="",'GREEN SHEET'!BL6,'GREEN SHEET'!BO6))</f>
        <v>100</v>
      </c>
      <c r="S6" s="166" t="str">
        <f>IF(F6="","",IF('GREEN SHEET'!BP6="",'GREEN SHEET'!BM6,'GREEN SHEET'!BP6))</f>
        <v>A1</v>
      </c>
      <c r="T6" s="167">
        <f>IF(F6="","",IF('GREEN SHEET'!CH6="",'GREEN SHEET'!CE6,'GREEN SHEET'!CH6))</f>
        <v>100</v>
      </c>
      <c r="U6" s="167" t="str">
        <f>IF(F6="","",IF('GREEN SHEET'!CI6="",'GREEN SHEET'!CF6,'GREEN SHEET'!CI6))</f>
        <v>A1</v>
      </c>
      <c r="V6" s="168">
        <f>IF(F6="","",IF('GREEN SHEET'!DA6="",'GREEN SHEET'!CX6,'GREEN SHEET'!DA6))</f>
        <v>100</v>
      </c>
      <c r="W6" s="168" t="str">
        <f>IF(F6="","",IF('GREEN SHEET'!DB6="",'GREEN SHEET'!CY6,'GREEN SHEET'!DB6))</f>
        <v>A1</v>
      </c>
      <c r="X6" s="167">
        <f>IF(F6="","",IF('GREEN SHEET'!DT6="",'GREEN SHEET'!DQ6,'GREEN SHEET'!DT6))</f>
        <v>100</v>
      </c>
      <c r="Y6" s="167" t="str">
        <f>IF(F6="","",IF('GREEN SHEET'!DU6="",'GREEN SHEET'!DR6,'GREEN SHEET'!DU6))</f>
        <v>A1</v>
      </c>
      <c r="Z6" s="169">
        <f>IF(F6="","",IF('GREEN SHEET'!FH6="",'GREEN SHEET'!EH6,'GREEN SHEET'!FH6))</f>
        <v>500</v>
      </c>
      <c r="AA6" s="170">
        <f>IF(F6="","",ROUND(IF(Z6="","0",Z6*100/$Z$6),2))</f>
        <v>100</v>
      </c>
      <c r="AB6" s="171" t="str">
        <f>IF(AA6="","",IF(AA6&lt;33,"E",IF(AND(AA6&gt;=33,AA6&lt;41),"D",IF(AND(AA6&gt;=41,AA6&lt;51),"C2",IF(AND(AA6&gt;=51,AA6&lt;61),"C1",IF(AND(AA6&gt;=61,AA6&lt;71),"B2",IF(AND(AA6&gt;=71,AA6&lt;81),"B1",IF(AND(AA6&gt;=81,AA6&lt;91),"A2",IF(AND(AA6&gt;=91,AA6&lt;=100),"A1")))))))))</f>
        <v>A1</v>
      </c>
      <c r="AC6" s="171"/>
      <c r="AD6" s="172"/>
      <c r="AE6" s="172"/>
      <c r="AF6" s="172">
        <v>50</v>
      </c>
      <c r="AG6" s="172">
        <v>1</v>
      </c>
    </row>
    <row r="7" spans="1:33" ht="28.2" hidden="1" thickBot="1" x14ac:dyDescent="0.3">
      <c r="A7" s="154"/>
      <c r="B7" s="25">
        <v>1</v>
      </c>
      <c r="C7" s="173">
        <f>IF(AE7="","",ROUND(AE7,0))</f>
        <v>1</v>
      </c>
      <c r="D7" s="173" t="str">
        <f t="shared" ref="D7" si="0">IF(AC7="","",ROUND(AC7,0))</f>
        <v/>
      </c>
      <c r="E7" s="25">
        <f>IF('GREEN SHEET'!C7="","",'GREEN SHEET'!C7)</f>
        <v>1101</v>
      </c>
      <c r="F7" s="25">
        <f>IF('GREEN SHEET'!D7="","",'GREEN SHEET'!D7)</f>
        <v>1168</v>
      </c>
      <c r="G7" s="25" t="str">
        <f>IF('GREEN SHEET'!E7="","",'GREEN SHEET'!E7)</f>
        <v>Devendra Sharma</v>
      </c>
      <c r="H7" s="25" t="str">
        <f>IF('GREEN SHEET'!F7="","",'GREEN SHEET'!F7)</f>
        <v>Suresh Sharma</v>
      </c>
      <c r="I7" s="25" t="str">
        <f>IF('GREEN SHEET'!G7="","",'GREEN SHEET'!G7)</f>
        <v>Devkanya Sharma</v>
      </c>
      <c r="J7" s="25">
        <f>IF('GREEN SHEET'!H7="","",'GREEN SHEET'!H7)</f>
        <v>39287</v>
      </c>
      <c r="K7" s="25" t="str">
        <f>IF('GREEN SHEET'!I7="","",'GREEN SHEET'!I7)</f>
        <v>BOY</v>
      </c>
      <c r="L7" s="25" t="str">
        <f>IF('GREEN SHEET'!J7="","",'GREEN SHEET'!J7)</f>
        <v>GEN</v>
      </c>
      <c r="M7" s="25" t="str">
        <f>IF('GREEN SHEET'!K7="","",'GREEN SHEET'!K7)</f>
        <v>BSNL OFFICE ,AMET,,313332</v>
      </c>
      <c r="N7" s="166">
        <f>IF(F7="","",IF('GREEN SHEET'!AB7="",'GREEN SHEET'!Y7,'GREEN SHEET'!AB7))</f>
        <v>52</v>
      </c>
      <c r="O7" s="166" t="str">
        <f>IF(F7="","",IF('GREEN SHEET'!AC7="",'GREEN SHEET'!Z7,'GREEN SHEET'!AC7))</f>
        <v>*</v>
      </c>
      <c r="P7" s="167" t="str">
        <f>IF(F7="","",IF('GREEN SHEET'!AV7="",'GREEN SHEET'!AS7,'GREEN SHEET'!AV7))</f>
        <v/>
      </c>
      <c r="Q7" s="167" t="str">
        <f>IF(F7="","",IF('GREEN SHEET'!AW7="",'GREEN SHEET'!AT7,'GREEN SHEET'!AW7))</f>
        <v/>
      </c>
      <c r="R7" s="166">
        <f>IF(F7="","",IF('GREEN SHEET'!BO7="",'GREEN SHEET'!BL7,'GREEN SHEET'!BO7))</f>
        <v>80</v>
      </c>
      <c r="S7" s="166" t="str">
        <f>IF(F7="","",IF('GREEN SHEET'!BP7="",'GREEN SHEET'!BM7,'GREEN SHEET'!BP7))</f>
        <v>B1</v>
      </c>
      <c r="T7" s="167">
        <f>IF(F7="","",IF('GREEN SHEET'!CH7="",'GREEN SHEET'!CE7,'GREEN SHEET'!CH7))</f>
        <v>79</v>
      </c>
      <c r="U7" s="167" t="str">
        <f>IF(F7="","",IF('GREEN SHEET'!CI7="",'GREEN SHEET'!CF7,'GREEN SHEET'!CI7))</f>
        <v>B1</v>
      </c>
      <c r="V7" s="168">
        <f>IF(F7="","",IF('GREEN SHEET'!DA7="",'GREEN SHEET'!CX7,'GREEN SHEET'!DA7))</f>
        <v>59</v>
      </c>
      <c r="W7" s="168" t="str">
        <f>IF(F7="","",IF('GREEN SHEET'!DB7="",'GREEN SHEET'!CY7,'GREEN SHEET'!DB7))</f>
        <v>*</v>
      </c>
      <c r="X7" s="167">
        <f>IF(F7="","",IF('GREEN SHEET'!DT7="",'GREEN SHEET'!DQ7,'GREEN SHEET'!DT7))</f>
        <v>85</v>
      </c>
      <c r="Y7" s="167" t="str">
        <f>IF(F7="","",IF('GREEN SHEET'!DU7="",'GREEN SHEET'!DR7,'GREEN SHEET'!DU7))</f>
        <v>A2</v>
      </c>
      <c r="Z7" s="169" t="str">
        <f>IF(F7="","",IF('GREEN SHEET'!FH7="",'GREEN SHEET'!EH7,'GREEN SHEET'!FH7))</f>
        <v/>
      </c>
      <c r="AA7" s="170">
        <f t="shared" ref="AA7:AA51" si="1">IF(F7="","",ROUND(IF(Z7="","0",Z7*100/$Z$6),2))</f>
        <v>0</v>
      </c>
      <c r="AB7" s="171" t="str">
        <f>IF(AA7="","",IF(AA7&lt;33,"E",IF(AND(AA7&gt;=33,AA7&lt;41),"D",IF(AND(AA7&gt;=41,AA7&lt;51),"C2",IF(AND(AA7&gt;=51,AA7&lt;61),"C1",IF(AND(AA7&gt;=61,AA7&lt;71),"B2",IF(AND(AA7&gt;=71,AA7&lt;81),"B1",IF(AND(AA7&gt;=81,AA7&lt;91),"A2",IF(AND(AA7&gt;=91,AA7&lt;=100),"A1")))))))))</f>
        <v>E</v>
      </c>
      <c r="AC7" s="171" t="str">
        <f>IF(F7="","",IF('GREEN SHEET'!EN7="","",'GREEN SHEET'!EN7))</f>
        <v/>
      </c>
      <c r="AD7" s="174">
        <f>IF(AA7="","",RANK(AA7,AA$7:$AA$51,0)+COUNTIF($AA$7:AA7,AA7)-1)</f>
        <v>3</v>
      </c>
      <c r="AE7" s="174">
        <f t="shared" ref="AE7:AE51" si="2">IF(AD7="","",SMALL($AD$7:$AD$51,B7))</f>
        <v>1</v>
      </c>
      <c r="AF7" s="174" t="str">
        <f t="shared" ref="AF7:AF51" si="3">IF(ISNUMBER(SEARCH($G$53,$AB$7:$AB$51)),AE7,"")</f>
        <v/>
      </c>
      <c r="AG7" s="174" t="str">
        <f t="shared" ref="AG7:AG51" si="4">IFERROR(SMALL($AF$7:$AF$51,AE7),"")</f>
        <v/>
      </c>
    </row>
    <row r="8" spans="1:33" ht="28.2" hidden="1" thickBot="1" x14ac:dyDescent="0.3">
      <c r="A8" s="154"/>
      <c r="B8" s="25">
        <v>2</v>
      </c>
      <c r="C8" s="173">
        <f t="shared" ref="C8:C51" si="5">IF(AE8="","",ROUND(AE8,0))</f>
        <v>2</v>
      </c>
      <c r="D8" s="173">
        <f t="shared" ref="D8:D51" si="6">IF(AC8="","",ROUND(AC8,0))</f>
        <v>2</v>
      </c>
      <c r="E8" s="25">
        <f>IF('GREEN SHEET'!C8="","",'GREEN SHEET'!C8)</f>
        <v>1102</v>
      </c>
      <c r="F8" s="25">
        <f>IF('GREEN SHEET'!D8="","",'GREEN SHEET'!D8)</f>
        <v>714</v>
      </c>
      <c r="G8" s="25" t="str">
        <f>IF('GREEN SHEET'!E8="","",'GREEN SHEET'!E8)</f>
        <v>DHARA SALVI</v>
      </c>
      <c r="H8" s="25" t="str">
        <f>IF('GREEN SHEET'!F8="","",'GREEN SHEET'!F8)</f>
        <v>HITESH LAL</v>
      </c>
      <c r="I8" s="25" t="str">
        <f>IF('GREEN SHEET'!G8="","",'GREEN SHEET'!G8)</f>
        <v>MEENA DEVI</v>
      </c>
      <c r="J8" s="25">
        <f>IF('GREEN SHEET'!H8="","",'GREEN SHEET'!H8)</f>
        <v>39482</v>
      </c>
      <c r="K8" s="25" t="str">
        <f>IF('GREEN SHEET'!I8="","",'GREEN SHEET'!I8)</f>
        <v>GIRL</v>
      </c>
      <c r="L8" s="25" t="str">
        <f>IF('GREEN SHEET'!J8="","",'GREEN SHEET'!J8)</f>
        <v>SC</v>
      </c>
      <c r="M8" s="25" t="str">
        <f>IF('GREEN SHEET'!K8="","",'GREEN SHEET'!K8)</f>
        <v>NADI DARWAJA,AMET,,313332</v>
      </c>
      <c r="N8" s="166">
        <f>IF(F8="","",IF('GREEN SHEET'!AB8="",'GREEN SHEET'!Y8,'GREEN SHEET'!AB8))</f>
        <v>41</v>
      </c>
      <c r="O8" s="166" t="str">
        <f>IF(F8="","",IF('GREEN SHEET'!AC8="",'GREEN SHEET'!Z8,'GREEN SHEET'!AC8))</f>
        <v>C2</v>
      </c>
      <c r="P8" s="167" t="str">
        <f>IF(F8="","",IF('GREEN SHEET'!AV8="",'GREEN SHEET'!AS8,'GREEN SHEET'!AV8))</f>
        <v/>
      </c>
      <c r="Q8" s="167" t="str">
        <f>IF(F8="","",IF('GREEN SHEET'!AW8="",'GREEN SHEET'!AT8,'GREEN SHEET'!AW8))</f>
        <v/>
      </c>
      <c r="R8" s="166">
        <f>IF(F8="","",IF('GREEN SHEET'!BO8="",'GREEN SHEET'!BL8,'GREEN SHEET'!BO8))</f>
        <v>74</v>
      </c>
      <c r="S8" s="166" t="str">
        <f>IF(F8="","",IF('GREEN SHEET'!BP8="",'GREEN SHEET'!BM8,'GREEN SHEET'!BP8))</f>
        <v>B1</v>
      </c>
      <c r="T8" s="167">
        <f>IF(F8="","",IF('GREEN SHEET'!CH8="",'GREEN SHEET'!CE8,'GREEN SHEET'!CH8))</f>
        <v>65</v>
      </c>
      <c r="U8" s="167" t="str">
        <f>IF(F8="","",IF('GREEN SHEET'!CI8="",'GREEN SHEET'!CF8,'GREEN SHEET'!CI8))</f>
        <v>B2</v>
      </c>
      <c r="V8" s="168" t="str">
        <f>IF(F8="","",IF('GREEN SHEET'!DA8="",'GREEN SHEET'!CX8,'GREEN SHEET'!DA8))</f>
        <v/>
      </c>
      <c r="W8" s="168" t="str">
        <f>IF(F8="","",IF('GREEN SHEET'!DB8="",'GREEN SHEET'!CY8,'GREEN SHEET'!DB8))</f>
        <v/>
      </c>
      <c r="X8" s="167">
        <f>IF(F8="","",IF('GREEN SHEET'!DT8="",'GREEN SHEET'!DQ8,'GREEN SHEET'!DT8))</f>
        <v>60</v>
      </c>
      <c r="Y8" s="167" t="str">
        <f>IF(F8="","",IF('GREEN SHEET'!DU8="",'GREEN SHEET'!DR8,'GREEN SHEET'!DU8))</f>
        <v>C1</v>
      </c>
      <c r="Z8" s="169">
        <f>IF(F8="","",IF('GREEN SHEET'!FH8="",'GREEN SHEET'!EH8,'GREEN SHEET'!FH8))</f>
        <v>240</v>
      </c>
      <c r="AA8" s="170">
        <f t="shared" si="1"/>
        <v>48</v>
      </c>
      <c r="AB8" s="171" t="str">
        <f t="shared" ref="AB8:AB51" si="7">IF(AA8="","",IF(AA8&lt;33,"E",IF(AND(AA8&gt;=33,AA8&lt;41),"D",IF(AND(AA8&gt;=41,AA8&lt;51),"C2",IF(AND(AA8&gt;=51,AA8&lt;61),"C1",IF(AND(AA8&gt;=61,AA8&lt;71),"B2",IF(AND(AA8&gt;=71,AA8&lt;81),"B1",IF(AND(AA8&gt;=81,AA8&lt;91),"A2",IF(AND(AA8&gt;=91,AA8&lt;=100),"A1")))))))))</f>
        <v>C2</v>
      </c>
      <c r="AC8" s="171">
        <f>IF(F8="","",IF('GREEN SHEET'!EN8="","",'GREEN SHEET'!EN8))</f>
        <v>2.0000000000000018</v>
      </c>
      <c r="AD8" s="174">
        <f>IF(AA8="","",RANK(AA8,AA$7:$AA$51,0)+COUNTIF($AA$7:AA8,AA8)-1)</f>
        <v>2</v>
      </c>
      <c r="AE8" s="174">
        <f t="shared" si="2"/>
        <v>2</v>
      </c>
      <c r="AF8" s="174" t="str">
        <f t="shared" si="3"/>
        <v/>
      </c>
      <c r="AG8" s="174" t="str">
        <f t="shared" si="4"/>
        <v/>
      </c>
    </row>
    <row r="9" spans="1:33" ht="28.2" hidden="1" thickBot="1" x14ac:dyDescent="0.3">
      <c r="A9" s="154"/>
      <c r="B9" s="25">
        <v>3</v>
      </c>
      <c r="C9" s="173">
        <f t="shared" si="5"/>
        <v>3</v>
      </c>
      <c r="D9" s="173">
        <f t="shared" si="6"/>
        <v>1</v>
      </c>
      <c r="E9" s="25">
        <f>IF('GREEN SHEET'!C9="","",'GREEN SHEET'!C9)</f>
        <v>1103</v>
      </c>
      <c r="F9" s="25">
        <f>IF('GREEN SHEET'!D9="","",'GREEN SHEET'!D9)</f>
        <v>710</v>
      </c>
      <c r="G9" s="25" t="str">
        <f>IF('GREEN SHEET'!E9="","",'GREEN SHEET'!E9)</f>
        <v>HARSHIKA RAO</v>
      </c>
      <c r="H9" s="25" t="str">
        <f>IF('GREEN SHEET'!F9="","",'GREEN SHEET'!F9)</f>
        <v>DEVI SINGH RAO</v>
      </c>
      <c r="I9" s="25" t="str">
        <f>IF('GREEN SHEET'!G9="","",'GREEN SHEET'!G9)</f>
        <v>NIRMALA RAO</v>
      </c>
      <c r="J9" s="25">
        <f>IF('GREEN SHEET'!H9="","",'GREEN SHEET'!H9)</f>
        <v>39223</v>
      </c>
      <c r="K9" s="25" t="str">
        <f>IF('GREEN SHEET'!I9="","",'GREEN SHEET'!I9)</f>
        <v>GIRL</v>
      </c>
      <c r="L9" s="25" t="str">
        <f>IF('GREEN SHEET'!J9="","",'GREEN SHEET'!J9)</f>
        <v>OBC</v>
      </c>
      <c r="M9" s="25" t="str">
        <f>IF('GREEN SHEET'!K9="","",'GREEN SHEET'!K9)</f>
        <v>GUGLI, AIDANA,AMET,,313332</v>
      </c>
      <c r="N9" s="166">
        <f>IF(F9="","",IF('GREEN SHEET'!AB9="",'GREEN SHEET'!Y9,'GREEN SHEET'!AB9))</f>
        <v>82</v>
      </c>
      <c r="O9" s="166" t="str">
        <f>IF(F9="","",IF('GREEN SHEET'!AC9="",'GREEN SHEET'!Z9,'GREEN SHEET'!AC9))</f>
        <v>A2</v>
      </c>
      <c r="P9" s="167" t="str">
        <f>IF(F9="","",IF('GREEN SHEET'!AV9="",'GREEN SHEET'!AS9,'GREEN SHEET'!AV9))</f>
        <v/>
      </c>
      <c r="Q9" s="167" t="str">
        <f>IF(F9="","",IF('GREEN SHEET'!AW9="",'GREEN SHEET'!AT9,'GREEN SHEET'!AW9))</f>
        <v/>
      </c>
      <c r="R9" s="166">
        <f>IF(F9="","",IF('GREEN SHEET'!BO9="",'GREEN SHEET'!BL9,'GREEN SHEET'!BO9))</f>
        <v>74</v>
      </c>
      <c r="S9" s="166" t="str">
        <f>IF(F9="","",IF('GREEN SHEET'!BP9="",'GREEN SHEET'!BM9,'GREEN SHEET'!BP9))</f>
        <v>B1</v>
      </c>
      <c r="T9" s="167">
        <f>IF(F9="","",IF('GREEN SHEET'!CH9="",'GREEN SHEET'!CE9,'GREEN SHEET'!CH9))</f>
        <v>77</v>
      </c>
      <c r="U9" s="167" t="str">
        <f>IF(F9="","",IF('GREEN SHEET'!CI9="",'GREEN SHEET'!CF9,'GREEN SHEET'!CI9))</f>
        <v>B1</v>
      </c>
      <c r="V9" s="168" t="str">
        <f>IF(F9="","",IF('GREEN SHEET'!DA9="",'GREEN SHEET'!CX9,'GREEN SHEET'!DA9))</f>
        <v/>
      </c>
      <c r="W9" s="168" t="str">
        <f>IF(F9="","",IF('GREEN SHEET'!DB9="",'GREEN SHEET'!CY9,'GREEN SHEET'!DB9))</f>
        <v/>
      </c>
      <c r="X9" s="167">
        <f>IF(F9="","",IF('GREEN SHEET'!DT9="",'GREEN SHEET'!DQ9,'GREEN SHEET'!DT9))</f>
        <v>93</v>
      </c>
      <c r="Y9" s="167" t="str">
        <f>IF(F9="","",IF('GREEN SHEET'!DU9="",'GREEN SHEET'!DR9,'GREEN SHEET'!DU9))</f>
        <v>A1</v>
      </c>
      <c r="Z9" s="169">
        <f>IF(F9="","",IF('GREEN SHEET'!FH9="",'GREEN SHEET'!EH9,'GREEN SHEET'!FH9))</f>
        <v>326</v>
      </c>
      <c r="AA9" s="170">
        <f t="shared" si="1"/>
        <v>65.2</v>
      </c>
      <c r="AB9" s="171" t="str">
        <f t="shared" si="7"/>
        <v>B2</v>
      </c>
      <c r="AC9" s="171">
        <f>IF(F9="","",IF('GREEN SHEET'!EN9="","",'GREEN SHEET'!EN9))</f>
        <v>1.0000000000000007</v>
      </c>
      <c r="AD9" s="174">
        <f>IF(AA9="","",RANK(AA9,AA$7:$AA$51,0)+COUNTIF($AA$7:AA9,AA9)-1)</f>
        <v>1</v>
      </c>
      <c r="AE9" s="174">
        <f t="shared" si="2"/>
        <v>3</v>
      </c>
      <c r="AF9" s="174" t="str">
        <f t="shared" si="3"/>
        <v/>
      </c>
      <c r="AG9" s="174" t="str">
        <f t="shared" si="4"/>
        <v/>
      </c>
    </row>
    <row r="10" spans="1:33" ht="17.399999999999999" hidden="1" thickBot="1" x14ac:dyDescent="0.3">
      <c r="A10" s="154"/>
      <c r="B10" s="25">
        <v>4</v>
      </c>
      <c r="C10" s="173" t="str">
        <f t="shared" si="5"/>
        <v/>
      </c>
      <c r="D10" s="173" t="str">
        <f t="shared" si="6"/>
        <v/>
      </c>
      <c r="E10" s="25" t="str">
        <f>IF('GREEN SHEET'!C10="","",'GREEN SHEET'!C10)</f>
        <v/>
      </c>
      <c r="F10" s="25" t="str">
        <f>IF('GREEN SHEET'!D10="","",'GREEN SHEET'!D10)</f>
        <v/>
      </c>
      <c r="G10" s="25" t="str">
        <f>IF('GREEN SHEET'!E10="","",'GREEN SHEET'!E10)</f>
        <v/>
      </c>
      <c r="H10" s="25" t="str">
        <f>IF('GREEN SHEET'!F10="","",'GREEN SHEET'!F10)</f>
        <v/>
      </c>
      <c r="I10" s="25" t="str">
        <f>IF('GREEN SHEET'!G10="","",'GREEN SHEET'!G10)</f>
        <v/>
      </c>
      <c r="J10" s="25" t="str">
        <f>IF('GREEN SHEET'!H10="","",'GREEN SHEET'!H10)</f>
        <v/>
      </c>
      <c r="K10" s="25" t="str">
        <f>IF('GREEN SHEET'!I10="","",'GREEN SHEET'!I10)</f>
        <v/>
      </c>
      <c r="L10" s="25" t="str">
        <f>IF('GREEN SHEET'!J10="","",'GREEN SHEET'!J10)</f>
        <v/>
      </c>
      <c r="M10" s="25" t="str">
        <f>IF('GREEN SHEET'!K10="","",'GREEN SHEET'!K10)</f>
        <v/>
      </c>
      <c r="N10" s="166" t="str">
        <f>IF(F10="","",IF('GREEN SHEET'!AB10="",'GREEN SHEET'!Y10,'GREEN SHEET'!AB10))</f>
        <v/>
      </c>
      <c r="O10" s="166" t="str">
        <f>IF(F10="","",IF('GREEN SHEET'!AC10="",'GREEN SHEET'!Z10,'GREEN SHEET'!AC10))</f>
        <v/>
      </c>
      <c r="P10" s="167" t="str">
        <f>IF(F10="","",IF('GREEN SHEET'!AV10="",'GREEN SHEET'!AS10,'GREEN SHEET'!AV10))</f>
        <v/>
      </c>
      <c r="Q10" s="167" t="str">
        <f>IF(F10="","",IF('GREEN SHEET'!AW10="",'GREEN SHEET'!AT10,'GREEN SHEET'!AW10))</f>
        <v/>
      </c>
      <c r="R10" s="166" t="str">
        <f>IF(F10="","",IF('GREEN SHEET'!BO10="",'GREEN SHEET'!BL10,'GREEN SHEET'!BO10))</f>
        <v/>
      </c>
      <c r="S10" s="166" t="str">
        <f>IF(F10="","",IF('GREEN SHEET'!BP10="",'GREEN SHEET'!BM10,'GREEN SHEET'!BP10))</f>
        <v/>
      </c>
      <c r="T10" s="167" t="str">
        <f>IF(F10="","",IF('GREEN SHEET'!CH10="",'GREEN SHEET'!CE10,'GREEN SHEET'!CH10))</f>
        <v/>
      </c>
      <c r="U10" s="167" t="str">
        <f>IF(F10="","",IF('GREEN SHEET'!CI10="",'GREEN SHEET'!CF10,'GREEN SHEET'!CI10))</f>
        <v/>
      </c>
      <c r="V10" s="168" t="str">
        <f>IF(F10="","",IF('GREEN SHEET'!DA10="",'GREEN SHEET'!CX10,'GREEN SHEET'!DA10))</f>
        <v/>
      </c>
      <c r="W10" s="168" t="str">
        <f>IF(F10="","",IF('GREEN SHEET'!DB10="",'GREEN SHEET'!CY10,'GREEN SHEET'!DB10))</f>
        <v/>
      </c>
      <c r="X10" s="167" t="str">
        <f>IF(F10="","",IF('GREEN SHEET'!DT10="",'GREEN SHEET'!DQ10,'GREEN SHEET'!DT10))</f>
        <v/>
      </c>
      <c r="Y10" s="167" t="str">
        <f>IF(F10="","",IF('GREEN SHEET'!DU10="",'GREEN SHEET'!DR10,'GREEN SHEET'!DU10))</f>
        <v/>
      </c>
      <c r="Z10" s="169" t="str">
        <f>IF(F10="","",IF('GREEN SHEET'!FH10="",'GREEN SHEET'!EH10,'GREEN SHEET'!FH10))</f>
        <v/>
      </c>
      <c r="AA10" s="170" t="str">
        <f t="shared" si="1"/>
        <v/>
      </c>
      <c r="AB10" s="171" t="str">
        <f t="shared" si="7"/>
        <v/>
      </c>
      <c r="AC10" s="171" t="str">
        <f>IF(F10="","",IF('GREEN SHEET'!EN10="","",'GREEN SHEET'!EN10))</f>
        <v/>
      </c>
      <c r="AD10" s="174" t="str">
        <f>IF(AA10="","",RANK(AA10,AA$7:$AA$51,0)+COUNTIF($AA$7:AA10,AA10)-1)</f>
        <v/>
      </c>
      <c r="AE10" s="174" t="str">
        <f t="shared" si="2"/>
        <v/>
      </c>
      <c r="AF10" s="174" t="str">
        <f t="shared" si="3"/>
        <v/>
      </c>
      <c r="AG10" s="174" t="str">
        <f t="shared" si="4"/>
        <v/>
      </c>
    </row>
    <row r="11" spans="1:33" ht="17.399999999999999" hidden="1" thickBot="1" x14ac:dyDescent="0.3">
      <c r="A11" s="154"/>
      <c r="B11" s="25">
        <v>5</v>
      </c>
      <c r="C11" s="173" t="str">
        <f t="shared" si="5"/>
        <v/>
      </c>
      <c r="D11" s="173" t="str">
        <f t="shared" si="6"/>
        <v/>
      </c>
      <c r="E11" s="25" t="str">
        <f>IF('GREEN SHEET'!C11="","",'GREEN SHEET'!C11)</f>
        <v/>
      </c>
      <c r="F11" s="25" t="str">
        <f>IF('GREEN SHEET'!D11="","",'GREEN SHEET'!D11)</f>
        <v/>
      </c>
      <c r="G11" s="25" t="str">
        <f>IF('GREEN SHEET'!E11="","",'GREEN SHEET'!E11)</f>
        <v/>
      </c>
      <c r="H11" s="25" t="str">
        <f>IF('GREEN SHEET'!F11="","",'GREEN SHEET'!F11)</f>
        <v/>
      </c>
      <c r="I11" s="25" t="str">
        <f>IF('GREEN SHEET'!G11="","",'GREEN SHEET'!G11)</f>
        <v/>
      </c>
      <c r="J11" s="25" t="str">
        <f>IF('GREEN SHEET'!H11="","",'GREEN SHEET'!H11)</f>
        <v/>
      </c>
      <c r="K11" s="25" t="str">
        <f>IF('GREEN SHEET'!I11="","",'GREEN SHEET'!I11)</f>
        <v/>
      </c>
      <c r="L11" s="25" t="str">
        <f>IF('GREEN SHEET'!J11="","",'GREEN SHEET'!J11)</f>
        <v/>
      </c>
      <c r="M11" s="25" t="str">
        <f>IF('GREEN SHEET'!K11="","",'GREEN SHEET'!K11)</f>
        <v/>
      </c>
      <c r="N11" s="166" t="str">
        <f>IF(F11="","",IF('GREEN SHEET'!AB11="",'GREEN SHEET'!Y11,'GREEN SHEET'!AB11))</f>
        <v/>
      </c>
      <c r="O11" s="166" t="str">
        <f>IF(F11="","",IF('GREEN SHEET'!AC11="",'GREEN SHEET'!Z11,'GREEN SHEET'!AC11))</f>
        <v/>
      </c>
      <c r="P11" s="167" t="str">
        <f>IF(F11="","",IF('GREEN SHEET'!AV11="",'GREEN SHEET'!AS11,'GREEN SHEET'!AV11))</f>
        <v/>
      </c>
      <c r="Q11" s="167" t="str">
        <f>IF(F11="","",IF('GREEN SHEET'!AW11="",'GREEN SHEET'!AT11,'GREEN SHEET'!AW11))</f>
        <v/>
      </c>
      <c r="R11" s="166" t="str">
        <f>IF(F11="","",IF('GREEN SHEET'!BO11="",'GREEN SHEET'!BL11,'GREEN SHEET'!BO11))</f>
        <v/>
      </c>
      <c r="S11" s="166" t="str">
        <f>IF(F11="","",IF('GREEN SHEET'!BP11="",'GREEN SHEET'!BM11,'GREEN SHEET'!BP11))</f>
        <v/>
      </c>
      <c r="T11" s="167" t="str">
        <f>IF(F11="","",IF('GREEN SHEET'!CH11="",'GREEN SHEET'!CE11,'GREEN SHEET'!CH11))</f>
        <v/>
      </c>
      <c r="U11" s="167" t="str">
        <f>IF(F11="","",IF('GREEN SHEET'!CI11="",'GREEN SHEET'!CF11,'GREEN SHEET'!CI11))</f>
        <v/>
      </c>
      <c r="V11" s="168" t="str">
        <f>IF(F11="","",IF('GREEN SHEET'!DA11="",'GREEN SHEET'!CX11,'GREEN SHEET'!DA11))</f>
        <v/>
      </c>
      <c r="W11" s="168" t="str">
        <f>IF(F11="","",IF('GREEN SHEET'!DB11="",'GREEN SHEET'!CY11,'GREEN SHEET'!DB11))</f>
        <v/>
      </c>
      <c r="X11" s="167" t="str">
        <f>IF(F11="","",IF('GREEN SHEET'!DT11="",'GREEN SHEET'!DQ11,'GREEN SHEET'!DT11))</f>
        <v/>
      </c>
      <c r="Y11" s="167" t="str">
        <f>IF(F11="","",IF('GREEN SHEET'!DU11="",'GREEN SHEET'!DR11,'GREEN SHEET'!DU11))</f>
        <v/>
      </c>
      <c r="Z11" s="169" t="str">
        <f>IF(F11="","",IF('GREEN SHEET'!FH11="",'GREEN SHEET'!EH11,'GREEN SHEET'!FH11))</f>
        <v/>
      </c>
      <c r="AA11" s="170" t="str">
        <f t="shared" si="1"/>
        <v/>
      </c>
      <c r="AB11" s="171" t="str">
        <f t="shared" si="7"/>
        <v/>
      </c>
      <c r="AC11" s="171" t="str">
        <f>IF(F11="","",IF('GREEN SHEET'!EN11="","",'GREEN SHEET'!EN11))</f>
        <v/>
      </c>
      <c r="AD11" s="174" t="str">
        <f>IF(AA11="","",RANK(AA11,AA$7:$AA$51,0)+COUNTIF($AA$7:AA11,AA11)-1)</f>
        <v/>
      </c>
      <c r="AE11" s="174" t="str">
        <f t="shared" si="2"/>
        <v/>
      </c>
      <c r="AF11" s="174" t="str">
        <f t="shared" si="3"/>
        <v/>
      </c>
      <c r="AG11" s="174" t="str">
        <f t="shared" si="4"/>
        <v/>
      </c>
    </row>
    <row r="12" spans="1:33" ht="17.399999999999999" hidden="1" thickBot="1" x14ac:dyDescent="0.3">
      <c r="A12" s="154"/>
      <c r="B12" s="25">
        <v>6</v>
      </c>
      <c r="C12" s="173" t="str">
        <f t="shared" si="5"/>
        <v/>
      </c>
      <c r="D12" s="173" t="str">
        <f t="shared" si="6"/>
        <v/>
      </c>
      <c r="E12" s="25" t="str">
        <f>IF('GREEN SHEET'!C12="","",'GREEN SHEET'!C12)</f>
        <v/>
      </c>
      <c r="F12" s="25" t="str">
        <f>IF('GREEN SHEET'!D12="","",'GREEN SHEET'!D12)</f>
        <v/>
      </c>
      <c r="G12" s="25" t="str">
        <f>IF('GREEN SHEET'!E12="","",'GREEN SHEET'!E12)</f>
        <v/>
      </c>
      <c r="H12" s="25" t="str">
        <f>IF('GREEN SHEET'!F12="","",'GREEN SHEET'!F12)</f>
        <v/>
      </c>
      <c r="I12" s="25" t="str">
        <f>IF('GREEN SHEET'!G12="","",'GREEN SHEET'!G12)</f>
        <v/>
      </c>
      <c r="J12" s="25" t="str">
        <f>IF('GREEN SHEET'!H12="","",'GREEN SHEET'!H12)</f>
        <v/>
      </c>
      <c r="K12" s="25" t="str">
        <f>IF('GREEN SHEET'!I12="","",'GREEN SHEET'!I12)</f>
        <v/>
      </c>
      <c r="L12" s="25" t="str">
        <f>IF('GREEN SHEET'!J12="","",'GREEN SHEET'!J12)</f>
        <v/>
      </c>
      <c r="M12" s="25" t="str">
        <f>IF('GREEN SHEET'!K12="","",'GREEN SHEET'!K12)</f>
        <v/>
      </c>
      <c r="N12" s="166" t="str">
        <f>IF(F12="","",IF('GREEN SHEET'!AB12="",'GREEN SHEET'!Y12,'GREEN SHEET'!AB12))</f>
        <v/>
      </c>
      <c r="O12" s="166" t="str">
        <f>IF(F12="","",IF('GREEN SHEET'!AC12="",'GREEN SHEET'!Z12,'GREEN SHEET'!AC12))</f>
        <v/>
      </c>
      <c r="P12" s="167" t="str">
        <f>IF(F12="","",IF('GREEN SHEET'!AV12="",'GREEN SHEET'!AS12,'GREEN SHEET'!AV12))</f>
        <v/>
      </c>
      <c r="Q12" s="167" t="str">
        <f>IF(F12="","",IF('GREEN SHEET'!AW12="",'GREEN SHEET'!AT12,'GREEN SHEET'!AW12))</f>
        <v/>
      </c>
      <c r="R12" s="166" t="str">
        <f>IF(F12="","",IF('GREEN SHEET'!BO12="",'GREEN SHEET'!BL12,'GREEN SHEET'!BO12))</f>
        <v/>
      </c>
      <c r="S12" s="166" t="str">
        <f>IF(F12="","",IF('GREEN SHEET'!BP12="",'GREEN SHEET'!BM12,'GREEN SHEET'!BP12))</f>
        <v/>
      </c>
      <c r="T12" s="167" t="str">
        <f>IF(F12="","",IF('GREEN SHEET'!CH12="",'GREEN SHEET'!CE12,'GREEN SHEET'!CH12))</f>
        <v/>
      </c>
      <c r="U12" s="167" t="str">
        <f>IF(F12="","",IF('GREEN SHEET'!CI12="",'GREEN SHEET'!CF12,'GREEN SHEET'!CI12))</f>
        <v/>
      </c>
      <c r="V12" s="168" t="str">
        <f>IF(F12="","",IF('GREEN SHEET'!DA12="",'GREEN SHEET'!CX12,'GREEN SHEET'!DA12))</f>
        <v/>
      </c>
      <c r="W12" s="168" t="str">
        <f>IF(F12="","",IF('GREEN SHEET'!DB12="",'GREEN SHEET'!CY12,'GREEN SHEET'!DB12))</f>
        <v/>
      </c>
      <c r="X12" s="167" t="str">
        <f>IF(F12="","",IF('GREEN SHEET'!DT12="",'GREEN SHEET'!DQ12,'GREEN SHEET'!DT12))</f>
        <v/>
      </c>
      <c r="Y12" s="167" t="str">
        <f>IF(F12="","",IF('GREEN SHEET'!DU12="",'GREEN SHEET'!DR12,'GREEN SHEET'!DU12))</f>
        <v/>
      </c>
      <c r="Z12" s="169" t="str">
        <f>IF(F12="","",IF('GREEN SHEET'!FH12="",'GREEN SHEET'!EH12,'GREEN SHEET'!FH12))</f>
        <v/>
      </c>
      <c r="AA12" s="170" t="str">
        <f t="shared" si="1"/>
        <v/>
      </c>
      <c r="AB12" s="171" t="str">
        <f t="shared" si="7"/>
        <v/>
      </c>
      <c r="AC12" s="171" t="str">
        <f>IF(F12="","",IF('GREEN SHEET'!EN12="","",'GREEN SHEET'!EN12))</f>
        <v/>
      </c>
      <c r="AD12" s="174" t="str">
        <f>IF(AA12="","",RANK(AA12,AA$7:$AA$51,0)+COUNTIF($AA$7:AA12,AA12)-1)</f>
        <v/>
      </c>
      <c r="AE12" s="174" t="str">
        <f t="shared" si="2"/>
        <v/>
      </c>
      <c r="AF12" s="174" t="str">
        <f t="shared" si="3"/>
        <v/>
      </c>
      <c r="AG12" s="174" t="str">
        <f t="shared" si="4"/>
        <v/>
      </c>
    </row>
    <row r="13" spans="1:33" ht="17.399999999999999" hidden="1" thickBot="1" x14ac:dyDescent="0.3">
      <c r="A13" s="154"/>
      <c r="B13" s="25">
        <v>7</v>
      </c>
      <c r="C13" s="173" t="str">
        <f t="shared" si="5"/>
        <v/>
      </c>
      <c r="D13" s="173" t="str">
        <f t="shared" si="6"/>
        <v/>
      </c>
      <c r="E13" s="25" t="str">
        <f>IF('GREEN SHEET'!C13="","",'GREEN SHEET'!C13)</f>
        <v/>
      </c>
      <c r="F13" s="25" t="str">
        <f>IF('GREEN SHEET'!D13="","",'GREEN SHEET'!D13)</f>
        <v/>
      </c>
      <c r="G13" s="25" t="str">
        <f>IF('GREEN SHEET'!E13="","",'GREEN SHEET'!E13)</f>
        <v/>
      </c>
      <c r="H13" s="25" t="str">
        <f>IF('GREEN SHEET'!F13="","",'GREEN SHEET'!F13)</f>
        <v/>
      </c>
      <c r="I13" s="25" t="str">
        <f>IF('GREEN SHEET'!G13="","",'GREEN SHEET'!G13)</f>
        <v/>
      </c>
      <c r="J13" s="25" t="str">
        <f>IF('GREEN SHEET'!H13="","",'GREEN SHEET'!H13)</f>
        <v/>
      </c>
      <c r="K13" s="25" t="str">
        <f>IF('GREEN SHEET'!I13="","",'GREEN SHEET'!I13)</f>
        <v/>
      </c>
      <c r="L13" s="25" t="str">
        <f>IF('GREEN SHEET'!J13="","",'GREEN SHEET'!J13)</f>
        <v/>
      </c>
      <c r="M13" s="25" t="str">
        <f>IF('GREEN SHEET'!K13="","",'GREEN SHEET'!K13)</f>
        <v/>
      </c>
      <c r="N13" s="166" t="str">
        <f>IF(F13="","",IF('GREEN SHEET'!AB13="",'GREEN SHEET'!Y13,'GREEN SHEET'!AB13))</f>
        <v/>
      </c>
      <c r="O13" s="166" t="str">
        <f>IF(F13="","",IF('GREEN SHEET'!AC13="",'GREEN SHEET'!Z13,'GREEN SHEET'!AC13))</f>
        <v/>
      </c>
      <c r="P13" s="167" t="str">
        <f>IF(F13="","",IF('GREEN SHEET'!AV13="",'GREEN SHEET'!AS13,'GREEN SHEET'!AV13))</f>
        <v/>
      </c>
      <c r="Q13" s="167" t="str">
        <f>IF(F13="","",IF('GREEN SHEET'!AW13="",'GREEN SHEET'!AT13,'GREEN SHEET'!AW13))</f>
        <v/>
      </c>
      <c r="R13" s="166" t="str">
        <f>IF(F13="","",IF('GREEN SHEET'!BO13="",'GREEN SHEET'!BL13,'GREEN SHEET'!BO13))</f>
        <v/>
      </c>
      <c r="S13" s="166" t="str">
        <f>IF(F13="","",IF('GREEN SHEET'!BP13="",'GREEN SHEET'!BM13,'GREEN SHEET'!BP13))</f>
        <v/>
      </c>
      <c r="T13" s="167" t="str">
        <f>IF(F13="","",IF('GREEN SHEET'!CH13="",'GREEN SHEET'!CE13,'GREEN SHEET'!CH13))</f>
        <v/>
      </c>
      <c r="U13" s="167" t="str">
        <f>IF(F13="","",IF('GREEN SHEET'!CI13="",'GREEN SHEET'!CF13,'GREEN SHEET'!CI13))</f>
        <v/>
      </c>
      <c r="V13" s="168" t="str">
        <f>IF(F13="","",IF('GREEN SHEET'!DA13="",'GREEN SHEET'!CX13,'GREEN SHEET'!DA13))</f>
        <v/>
      </c>
      <c r="W13" s="168" t="str">
        <f>IF(F13="","",IF('GREEN SHEET'!DB13="",'GREEN SHEET'!CY13,'GREEN SHEET'!DB13))</f>
        <v/>
      </c>
      <c r="X13" s="167" t="str">
        <f>IF(F13="","",IF('GREEN SHEET'!DT13="",'GREEN SHEET'!DQ13,'GREEN SHEET'!DT13))</f>
        <v/>
      </c>
      <c r="Y13" s="167" t="str">
        <f>IF(F13="","",IF('GREEN SHEET'!DU13="",'GREEN SHEET'!DR13,'GREEN SHEET'!DU13))</f>
        <v/>
      </c>
      <c r="Z13" s="169" t="str">
        <f>IF(F13="","",IF('GREEN SHEET'!FH13="",'GREEN SHEET'!EH13,'GREEN SHEET'!FH13))</f>
        <v/>
      </c>
      <c r="AA13" s="170" t="str">
        <f t="shared" si="1"/>
        <v/>
      </c>
      <c r="AB13" s="171" t="str">
        <f t="shared" si="7"/>
        <v/>
      </c>
      <c r="AC13" s="171" t="str">
        <f>IF(F13="","",IF('GREEN SHEET'!EN13="","",'GREEN SHEET'!EN13))</f>
        <v/>
      </c>
      <c r="AD13" s="174" t="str">
        <f>IF(AA13="","",RANK(AA13,AA$7:$AA$51,0)+COUNTIF($AA$7:AA13,AA13)-1)</f>
        <v/>
      </c>
      <c r="AE13" s="174" t="str">
        <f t="shared" si="2"/>
        <v/>
      </c>
      <c r="AF13" s="174" t="str">
        <f t="shared" si="3"/>
        <v/>
      </c>
      <c r="AG13" s="174" t="str">
        <f t="shared" si="4"/>
        <v/>
      </c>
    </row>
    <row r="14" spans="1:33" ht="17.399999999999999" hidden="1" thickBot="1" x14ac:dyDescent="0.3">
      <c r="A14" s="154"/>
      <c r="B14" s="25">
        <v>8</v>
      </c>
      <c r="C14" s="173" t="str">
        <f t="shared" si="5"/>
        <v/>
      </c>
      <c r="D14" s="173" t="str">
        <f t="shared" si="6"/>
        <v/>
      </c>
      <c r="E14" s="25" t="str">
        <f>IF('GREEN SHEET'!C14="","",'GREEN SHEET'!C14)</f>
        <v/>
      </c>
      <c r="F14" s="25" t="str">
        <f>IF('GREEN SHEET'!D14="","",'GREEN SHEET'!D14)</f>
        <v/>
      </c>
      <c r="G14" s="25" t="str">
        <f>IF('GREEN SHEET'!E14="","",'GREEN SHEET'!E14)</f>
        <v/>
      </c>
      <c r="H14" s="25" t="str">
        <f>IF('GREEN SHEET'!F14="","",'GREEN SHEET'!F14)</f>
        <v/>
      </c>
      <c r="I14" s="25" t="str">
        <f>IF('GREEN SHEET'!G14="","",'GREEN SHEET'!G14)</f>
        <v/>
      </c>
      <c r="J14" s="25" t="str">
        <f>IF('GREEN SHEET'!H14="","",'GREEN SHEET'!H14)</f>
        <v/>
      </c>
      <c r="K14" s="25" t="str">
        <f>IF('GREEN SHEET'!I14="","",'GREEN SHEET'!I14)</f>
        <v/>
      </c>
      <c r="L14" s="25" t="str">
        <f>IF('GREEN SHEET'!J14="","",'GREEN SHEET'!J14)</f>
        <v/>
      </c>
      <c r="M14" s="25" t="str">
        <f>IF('GREEN SHEET'!K14="","",'GREEN SHEET'!K14)</f>
        <v/>
      </c>
      <c r="N14" s="166" t="str">
        <f>IF(F14="","",IF('GREEN SHEET'!AB14="",'GREEN SHEET'!Y14,'GREEN SHEET'!AB14))</f>
        <v/>
      </c>
      <c r="O14" s="166" t="str">
        <f>IF(F14="","",IF('GREEN SHEET'!AC14="",'GREEN SHEET'!Z14,'GREEN SHEET'!AC14))</f>
        <v/>
      </c>
      <c r="P14" s="167" t="str">
        <f>IF(F14="","",IF('GREEN SHEET'!AV14="",'GREEN SHEET'!AS14,'GREEN SHEET'!AV14))</f>
        <v/>
      </c>
      <c r="Q14" s="167" t="str">
        <f>IF(F14="","",IF('GREEN SHEET'!AW14="",'GREEN SHEET'!AT14,'GREEN SHEET'!AW14))</f>
        <v/>
      </c>
      <c r="R14" s="166" t="str">
        <f>IF(F14="","",IF('GREEN SHEET'!BO14="",'GREEN SHEET'!BL14,'GREEN SHEET'!BO14))</f>
        <v/>
      </c>
      <c r="S14" s="166" t="str">
        <f>IF(F14="","",IF('GREEN SHEET'!BP14="",'GREEN SHEET'!BM14,'GREEN SHEET'!BP14))</f>
        <v/>
      </c>
      <c r="T14" s="167" t="str">
        <f>IF(F14="","",IF('GREEN SHEET'!CH14="",'GREEN SHEET'!CE14,'GREEN SHEET'!CH14))</f>
        <v/>
      </c>
      <c r="U14" s="167" t="str">
        <f>IF(F14="","",IF('GREEN SHEET'!CI14="",'GREEN SHEET'!CF14,'GREEN SHEET'!CI14))</f>
        <v/>
      </c>
      <c r="V14" s="168" t="str">
        <f>IF(F14="","",IF('GREEN SHEET'!DA14="",'GREEN SHEET'!CX14,'GREEN SHEET'!DA14))</f>
        <v/>
      </c>
      <c r="W14" s="168" t="str">
        <f>IF(F14="","",IF('GREEN SHEET'!DB14="",'GREEN SHEET'!CY14,'GREEN SHEET'!DB14))</f>
        <v/>
      </c>
      <c r="X14" s="167" t="str">
        <f>IF(F14="","",IF('GREEN SHEET'!DT14="",'GREEN SHEET'!DQ14,'GREEN SHEET'!DT14))</f>
        <v/>
      </c>
      <c r="Y14" s="167" t="str">
        <f>IF(F14="","",IF('GREEN SHEET'!DU14="",'GREEN SHEET'!DR14,'GREEN SHEET'!DU14))</f>
        <v/>
      </c>
      <c r="Z14" s="169" t="str">
        <f>IF(F14="","",IF('GREEN SHEET'!FH14="",'GREEN SHEET'!EH14,'GREEN SHEET'!FH14))</f>
        <v/>
      </c>
      <c r="AA14" s="170" t="str">
        <f t="shared" si="1"/>
        <v/>
      </c>
      <c r="AB14" s="171" t="str">
        <f t="shared" si="7"/>
        <v/>
      </c>
      <c r="AC14" s="171" t="str">
        <f>IF(F14="","",IF('GREEN SHEET'!EN14="","",'GREEN SHEET'!EN14))</f>
        <v/>
      </c>
      <c r="AD14" s="174" t="str">
        <f>IF(AA14="","",RANK(AA14,AA$7:$AA$51,0)+COUNTIF($AA$7:AA14,AA14)-1)</f>
        <v/>
      </c>
      <c r="AE14" s="174" t="str">
        <f t="shared" si="2"/>
        <v/>
      </c>
      <c r="AF14" s="174" t="str">
        <f t="shared" si="3"/>
        <v/>
      </c>
      <c r="AG14" s="174" t="str">
        <f t="shared" si="4"/>
        <v/>
      </c>
    </row>
    <row r="15" spans="1:33" ht="17.399999999999999" hidden="1" thickBot="1" x14ac:dyDescent="0.3">
      <c r="A15" s="154"/>
      <c r="B15" s="25">
        <v>9</v>
      </c>
      <c r="C15" s="173" t="str">
        <f t="shared" si="5"/>
        <v/>
      </c>
      <c r="D15" s="173" t="str">
        <f t="shared" si="6"/>
        <v/>
      </c>
      <c r="E15" s="25" t="str">
        <f>IF('GREEN SHEET'!C15="","",'GREEN SHEET'!C15)</f>
        <v/>
      </c>
      <c r="F15" s="25" t="str">
        <f>IF('GREEN SHEET'!D15="","",'GREEN SHEET'!D15)</f>
        <v/>
      </c>
      <c r="G15" s="25" t="str">
        <f>IF('GREEN SHEET'!E15="","",'GREEN SHEET'!E15)</f>
        <v/>
      </c>
      <c r="H15" s="25" t="str">
        <f>IF('GREEN SHEET'!F15="","",'GREEN SHEET'!F15)</f>
        <v/>
      </c>
      <c r="I15" s="25" t="str">
        <f>IF('GREEN SHEET'!G15="","",'GREEN SHEET'!G15)</f>
        <v/>
      </c>
      <c r="J15" s="25" t="str">
        <f>IF('GREEN SHEET'!H15="","",'GREEN SHEET'!H15)</f>
        <v/>
      </c>
      <c r="K15" s="25" t="str">
        <f>IF('GREEN SHEET'!I15="","",'GREEN SHEET'!I15)</f>
        <v/>
      </c>
      <c r="L15" s="25" t="str">
        <f>IF('GREEN SHEET'!J15="","",'GREEN SHEET'!J15)</f>
        <v/>
      </c>
      <c r="M15" s="25" t="str">
        <f>IF('GREEN SHEET'!K15="","",'GREEN SHEET'!K15)</f>
        <v/>
      </c>
      <c r="N15" s="166" t="str">
        <f>IF(F15="","",IF('GREEN SHEET'!AB15="",'GREEN SHEET'!Y15,'GREEN SHEET'!AB15))</f>
        <v/>
      </c>
      <c r="O15" s="166" t="str">
        <f>IF(F15="","",IF('GREEN SHEET'!AC15="",'GREEN SHEET'!Z15,'GREEN SHEET'!AC15))</f>
        <v/>
      </c>
      <c r="P15" s="167" t="str">
        <f>IF(F15="","",IF('GREEN SHEET'!AV15="",'GREEN SHEET'!AS15,'GREEN SHEET'!AV15))</f>
        <v/>
      </c>
      <c r="Q15" s="167" t="str">
        <f>IF(F15="","",IF('GREEN SHEET'!AW15="",'GREEN SHEET'!AT15,'GREEN SHEET'!AW15))</f>
        <v/>
      </c>
      <c r="R15" s="166" t="str">
        <f>IF(F15="","",IF('GREEN SHEET'!BO15="",'GREEN SHEET'!BL15,'GREEN SHEET'!BO15))</f>
        <v/>
      </c>
      <c r="S15" s="166" t="str">
        <f>IF(F15="","",IF('GREEN SHEET'!BP15="",'GREEN SHEET'!BM15,'GREEN SHEET'!BP15))</f>
        <v/>
      </c>
      <c r="T15" s="167" t="str">
        <f>IF(F15="","",IF('GREEN SHEET'!CH15="",'GREEN SHEET'!CE15,'GREEN SHEET'!CH15))</f>
        <v/>
      </c>
      <c r="U15" s="167" t="str">
        <f>IF(F15="","",IF('GREEN SHEET'!CI15="",'GREEN SHEET'!CF15,'GREEN SHEET'!CI15))</f>
        <v/>
      </c>
      <c r="V15" s="168" t="str">
        <f>IF(F15="","",IF('GREEN SHEET'!DA15="",'GREEN SHEET'!CX15,'GREEN SHEET'!DA15))</f>
        <v/>
      </c>
      <c r="W15" s="168" t="str">
        <f>IF(F15="","",IF('GREEN SHEET'!DB15="",'GREEN SHEET'!CY15,'GREEN SHEET'!DB15))</f>
        <v/>
      </c>
      <c r="X15" s="167" t="str">
        <f>IF(F15="","",IF('GREEN SHEET'!DT15="",'GREEN SHEET'!DQ15,'GREEN SHEET'!DT15))</f>
        <v/>
      </c>
      <c r="Y15" s="167" t="str">
        <f>IF(F15="","",IF('GREEN SHEET'!DU15="",'GREEN SHEET'!DR15,'GREEN SHEET'!DU15))</f>
        <v/>
      </c>
      <c r="Z15" s="169" t="str">
        <f>IF(F15="","",IF('GREEN SHEET'!FH15="",'GREEN SHEET'!EH15,'GREEN SHEET'!FH15))</f>
        <v/>
      </c>
      <c r="AA15" s="170" t="str">
        <f t="shared" si="1"/>
        <v/>
      </c>
      <c r="AB15" s="171" t="str">
        <f t="shared" si="7"/>
        <v/>
      </c>
      <c r="AC15" s="171" t="str">
        <f>IF(F15="","",IF('GREEN SHEET'!EN15="","",'GREEN SHEET'!EN15))</f>
        <v/>
      </c>
      <c r="AD15" s="174" t="str">
        <f>IF(AA15="","",RANK(AA15,AA$7:$AA$51,0)+COUNTIF($AA$7:AA15,AA15)-1)</f>
        <v/>
      </c>
      <c r="AE15" s="174" t="str">
        <f t="shared" si="2"/>
        <v/>
      </c>
      <c r="AF15" s="174" t="str">
        <f t="shared" si="3"/>
        <v/>
      </c>
      <c r="AG15" s="174" t="str">
        <f t="shared" si="4"/>
        <v/>
      </c>
    </row>
    <row r="16" spans="1:33" ht="17.399999999999999" hidden="1" thickBot="1" x14ac:dyDescent="0.3">
      <c r="A16" s="154"/>
      <c r="B16" s="25">
        <v>10</v>
      </c>
      <c r="C16" s="173" t="str">
        <f t="shared" si="5"/>
        <v/>
      </c>
      <c r="D16" s="173" t="str">
        <f t="shared" si="6"/>
        <v/>
      </c>
      <c r="E16" s="25" t="str">
        <f>IF('GREEN SHEET'!C16="","",'GREEN SHEET'!C16)</f>
        <v/>
      </c>
      <c r="F16" s="25" t="str">
        <f>IF('GREEN SHEET'!D16="","",'GREEN SHEET'!D16)</f>
        <v/>
      </c>
      <c r="G16" s="25" t="str">
        <f>IF('GREEN SHEET'!E16="","",'GREEN SHEET'!E16)</f>
        <v/>
      </c>
      <c r="H16" s="25" t="str">
        <f>IF('GREEN SHEET'!F16="","",'GREEN SHEET'!F16)</f>
        <v/>
      </c>
      <c r="I16" s="25" t="str">
        <f>IF('GREEN SHEET'!G16="","",'GREEN SHEET'!G16)</f>
        <v/>
      </c>
      <c r="J16" s="25" t="str">
        <f>IF('GREEN SHEET'!H16="","",'GREEN SHEET'!H16)</f>
        <v/>
      </c>
      <c r="K16" s="25" t="str">
        <f>IF('GREEN SHEET'!I16="","",'GREEN SHEET'!I16)</f>
        <v/>
      </c>
      <c r="L16" s="25" t="str">
        <f>IF('GREEN SHEET'!J16="","",'GREEN SHEET'!J16)</f>
        <v/>
      </c>
      <c r="M16" s="25" t="str">
        <f>IF('GREEN SHEET'!K16="","",'GREEN SHEET'!K16)</f>
        <v/>
      </c>
      <c r="N16" s="166" t="str">
        <f>IF(F16="","",IF('GREEN SHEET'!AB16="",'GREEN SHEET'!Y16,'GREEN SHEET'!AB16))</f>
        <v/>
      </c>
      <c r="O16" s="166" t="str">
        <f>IF(F16="","",IF('GREEN SHEET'!AC16="",'GREEN SHEET'!Z16,'GREEN SHEET'!AC16))</f>
        <v/>
      </c>
      <c r="P16" s="167" t="str">
        <f>IF(F16="","",IF('GREEN SHEET'!AV16="",'GREEN SHEET'!AS16,'GREEN SHEET'!AV16))</f>
        <v/>
      </c>
      <c r="Q16" s="167" t="str">
        <f>IF(F16="","",IF('GREEN SHEET'!AW16="",'GREEN SHEET'!AT16,'GREEN SHEET'!AW16))</f>
        <v/>
      </c>
      <c r="R16" s="166" t="str">
        <f>IF(F16="","",IF('GREEN SHEET'!BO16="",'GREEN SHEET'!BL16,'GREEN SHEET'!BO16))</f>
        <v/>
      </c>
      <c r="S16" s="166" t="str">
        <f>IF(F16="","",IF('GREEN SHEET'!BP16="",'GREEN SHEET'!BM16,'GREEN SHEET'!BP16))</f>
        <v/>
      </c>
      <c r="T16" s="167" t="str">
        <f>IF(F16="","",IF('GREEN SHEET'!CH16="",'GREEN SHEET'!CE16,'GREEN SHEET'!CH16))</f>
        <v/>
      </c>
      <c r="U16" s="167" t="str">
        <f>IF(F16="","",IF('GREEN SHEET'!CI16="",'GREEN SHEET'!CF16,'GREEN SHEET'!CI16))</f>
        <v/>
      </c>
      <c r="V16" s="168" t="str">
        <f>IF(F16="","",IF('GREEN SHEET'!DA16="",'GREEN SHEET'!CX16,'GREEN SHEET'!DA16))</f>
        <v/>
      </c>
      <c r="W16" s="168" t="str">
        <f>IF(F16="","",IF('GREEN SHEET'!DB16="",'GREEN SHEET'!CY16,'GREEN SHEET'!DB16))</f>
        <v/>
      </c>
      <c r="X16" s="167" t="str">
        <f>IF(F16="","",IF('GREEN SHEET'!DT16="",'GREEN SHEET'!DQ16,'GREEN SHEET'!DT16))</f>
        <v/>
      </c>
      <c r="Y16" s="167" t="str">
        <f>IF(F16="","",IF('GREEN SHEET'!DU16="",'GREEN SHEET'!DR16,'GREEN SHEET'!DU16))</f>
        <v/>
      </c>
      <c r="Z16" s="169" t="str">
        <f>IF(F16="","",IF('GREEN SHEET'!FH16="",'GREEN SHEET'!EH16,'GREEN SHEET'!FH16))</f>
        <v/>
      </c>
      <c r="AA16" s="170" t="str">
        <f t="shared" si="1"/>
        <v/>
      </c>
      <c r="AB16" s="171" t="str">
        <f t="shared" si="7"/>
        <v/>
      </c>
      <c r="AC16" s="171" t="str">
        <f>IF(F16="","",IF('GREEN SHEET'!EN16="","",'GREEN SHEET'!EN16))</f>
        <v/>
      </c>
      <c r="AD16" s="174" t="str">
        <f>IF(AA16="","",RANK(AA16,AA$7:$AA$51,0)+COUNTIF($AA$7:AA16,AA16)-1)</f>
        <v/>
      </c>
      <c r="AE16" s="174" t="str">
        <f t="shared" si="2"/>
        <v/>
      </c>
      <c r="AF16" s="174" t="str">
        <f t="shared" si="3"/>
        <v/>
      </c>
      <c r="AG16" s="174" t="str">
        <f t="shared" si="4"/>
        <v/>
      </c>
    </row>
    <row r="17" spans="1:33" ht="17.399999999999999" hidden="1" thickBot="1" x14ac:dyDescent="0.3">
      <c r="A17" s="154"/>
      <c r="B17" s="25">
        <v>11</v>
      </c>
      <c r="C17" s="173" t="str">
        <f t="shared" si="5"/>
        <v/>
      </c>
      <c r="D17" s="173" t="str">
        <f t="shared" si="6"/>
        <v/>
      </c>
      <c r="E17" s="25" t="str">
        <f>IF('GREEN SHEET'!C17="","",'GREEN SHEET'!C17)</f>
        <v/>
      </c>
      <c r="F17" s="25" t="str">
        <f>IF('GREEN SHEET'!D17="","",'GREEN SHEET'!D17)</f>
        <v/>
      </c>
      <c r="G17" s="25" t="str">
        <f>IF('GREEN SHEET'!E17="","",'GREEN SHEET'!E17)</f>
        <v/>
      </c>
      <c r="H17" s="25" t="str">
        <f>IF('GREEN SHEET'!F17="","",'GREEN SHEET'!F17)</f>
        <v/>
      </c>
      <c r="I17" s="25" t="str">
        <f>IF('GREEN SHEET'!G17="","",'GREEN SHEET'!G17)</f>
        <v/>
      </c>
      <c r="J17" s="25" t="str">
        <f>IF('GREEN SHEET'!H17="","",'GREEN SHEET'!H17)</f>
        <v/>
      </c>
      <c r="K17" s="25" t="str">
        <f>IF('GREEN SHEET'!I17="","",'GREEN SHEET'!I17)</f>
        <v/>
      </c>
      <c r="L17" s="25" t="str">
        <f>IF('GREEN SHEET'!J17="","",'GREEN SHEET'!J17)</f>
        <v/>
      </c>
      <c r="M17" s="25" t="str">
        <f>IF('GREEN SHEET'!K17="","",'GREEN SHEET'!K17)</f>
        <v/>
      </c>
      <c r="N17" s="166" t="str">
        <f>IF(F17="","",IF('GREEN SHEET'!AB17="",'GREEN SHEET'!Y17,'GREEN SHEET'!AB17))</f>
        <v/>
      </c>
      <c r="O17" s="166" t="str">
        <f>IF(F17="","",IF('GREEN SHEET'!AC17="",'GREEN SHEET'!Z17,'GREEN SHEET'!AC17))</f>
        <v/>
      </c>
      <c r="P17" s="167" t="str">
        <f>IF(F17="","",IF('GREEN SHEET'!AV17="",'GREEN SHEET'!AS17,'GREEN SHEET'!AV17))</f>
        <v/>
      </c>
      <c r="Q17" s="167" t="str">
        <f>IF(F17="","",IF('GREEN SHEET'!AW17="",'GREEN SHEET'!AT17,'GREEN SHEET'!AW17))</f>
        <v/>
      </c>
      <c r="R17" s="166" t="str">
        <f>IF(F17="","",IF('GREEN SHEET'!BO17="",'GREEN SHEET'!BL17,'GREEN SHEET'!BO17))</f>
        <v/>
      </c>
      <c r="S17" s="166" t="str">
        <f>IF(F17="","",IF('GREEN SHEET'!BP17="",'GREEN SHEET'!BM17,'GREEN SHEET'!BP17))</f>
        <v/>
      </c>
      <c r="T17" s="167" t="str">
        <f>IF(F17="","",IF('GREEN SHEET'!CH17="",'GREEN SHEET'!CE17,'GREEN SHEET'!CH17))</f>
        <v/>
      </c>
      <c r="U17" s="167" t="str">
        <f>IF(F17="","",IF('GREEN SHEET'!CI17="",'GREEN SHEET'!CF17,'GREEN SHEET'!CI17))</f>
        <v/>
      </c>
      <c r="V17" s="168" t="str">
        <f>IF(F17="","",IF('GREEN SHEET'!DA17="",'GREEN SHEET'!CX17,'GREEN SHEET'!DA17))</f>
        <v/>
      </c>
      <c r="W17" s="168" t="str">
        <f>IF(F17="","",IF('GREEN SHEET'!DB17="",'GREEN SHEET'!CY17,'GREEN SHEET'!DB17))</f>
        <v/>
      </c>
      <c r="X17" s="167" t="str">
        <f>IF(F17="","",IF('GREEN SHEET'!DT17="",'GREEN SHEET'!DQ17,'GREEN SHEET'!DT17))</f>
        <v/>
      </c>
      <c r="Y17" s="167" t="str">
        <f>IF(F17="","",IF('GREEN SHEET'!DU17="",'GREEN SHEET'!DR17,'GREEN SHEET'!DU17))</f>
        <v/>
      </c>
      <c r="Z17" s="169" t="str">
        <f>IF(F17="","",IF('GREEN SHEET'!FH17="",'GREEN SHEET'!EH17,'GREEN SHEET'!FH17))</f>
        <v/>
      </c>
      <c r="AA17" s="170" t="str">
        <f t="shared" si="1"/>
        <v/>
      </c>
      <c r="AB17" s="171" t="str">
        <f t="shared" si="7"/>
        <v/>
      </c>
      <c r="AC17" s="171" t="str">
        <f>IF(F17="","",IF('GREEN SHEET'!EN17="","",'GREEN SHEET'!EN17))</f>
        <v/>
      </c>
      <c r="AD17" s="174" t="str">
        <f>IF(AA17="","",RANK(AA17,AA$7:$AA$51,0)+COUNTIF($AA$7:AA17,AA17)-1)</f>
        <v/>
      </c>
      <c r="AE17" s="174" t="str">
        <f t="shared" si="2"/>
        <v/>
      </c>
      <c r="AF17" s="174" t="str">
        <f t="shared" si="3"/>
        <v/>
      </c>
      <c r="AG17" s="174" t="str">
        <f t="shared" si="4"/>
        <v/>
      </c>
    </row>
    <row r="18" spans="1:33" ht="17.399999999999999" hidden="1" thickBot="1" x14ac:dyDescent="0.3">
      <c r="A18" s="154"/>
      <c r="B18" s="25">
        <v>12</v>
      </c>
      <c r="C18" s="173" t="str">
        <f t="shared" si="5"/>
        <v/>
      </c>
      <c r="D18" s="173" t="str">
        <f t="shared" si="6"/>
        <v/>
      </c>
      <c r="E18" s="25" t="str">
        <f>IF('GREEN SHEET'!C18="","",'GREEN SHEET'!C18)</f>
        <v/>
      </c>
      <c r="F18" s="25" t="str">
        <f>IF('GREEN SHEET'!D18="","",'GREEN SHEET'!D18)</f>
        <v/>
      </c>
      <c r="G18" s="25" t="str">
        <f>IF('GREEN SHEET'!E18="","",'GREEN SHEET'!E18)</f>
        <v/>
      </c>
      <c r="H18" s="25" t="str">
        <f>IF('GREEN SHEET'!F18="","",'GREEN SHEET'!F18)</f>
        <v/>
      </c>
      <c r="I18" s="25" t="str">
        <f>IF('GREEN SHEET'!G18="","",'GREEN SHEET'!G18)</f>
        <v/>
      </c>
      <c r="J18" s="25" t="str">
        <f>IF('GREEN SHEET'!H18="","",'GREEN SHEET'!H18)</f>
        <v/>
      </c>
      <c r="K18" s="25" t="str">
        <f>IF('GREEN SHEET'!I18="","",'GREEN SHEET'!I18)</f>
        <v/>
      </c>
      <c r="L18" s="25" t="str">
        <f>IF('GREEN SHEET'!J18="","",'GREEN SHEET'!J18)</f>
        <v/>
      </c>
      <c r="M18" s="25" t="str">
        <f>IF('GREEN SHEET'!K18="","",'GREEN SHEET'!K18)</f>
        <v/>
      </c>
      <c r="N18" s="166" t="str">
        <f>IF(F18="","",IF('GREEN SHEET'!AB18="",'GREEN SHEET'!Y18,'GREEN SHEET'!AB18))</f>
        <v/>
      </c>
      <c r="O18" s="166" t="str">
        <f>IF(F18="","",IF('GREEN SHEET'!AC18="",'GREEN SHEET'!Z18,'GREEN SHEET'!AC18))</f>
        <v/>
      </c>
      <c r="P18" s="167" t="str">
        <f>IF(F18="","",IF('GREEN SHEET'!AV18="",'GREEN SHEET'!AS18,'GREEN SHEET'!AV18))</f>
        <v/>
      </c>
      <c r="Q18" s="167" t="str">
        <f>IF(F18="","",IF('GREEN SHEET'!AW18="",'GREEN SHEET'!AT18,'GREEN SHEET'!AW18))</f>
        <v/>
      </c>
      <c r="R18" s="166" t="str">
        <f>IF(F18="","",IF('GREEN SHEET'!BO18="",'GREEN SHEET'!BL18,'GREEN SHEET'!BO18))</f>
        <v/>
      </c>
      <c r="S18" s="166" t="str">
        <f>IF(F18="","",IF('GREEN SHEET'!BP18="",'GREEN SHEET'!BM18,'GREEN SHEET'!BP18))</f>
        <v/>
      </c>
      <c r="T18" s="167" t="str">
        <f>IF(F18="","",IF('GREEN SHEET'!CH18="",'GREEN SHEET'!CE18,'GREEN SHEET'!CH18))</f>
        <v/>
      </c>
      <c r="U18" s="167" t="str">
        <f>IF(F18="","",IF('GREEN SHEET'!CI18="",'GREEN SHEET'!CF18,'GREEN SHEET'!CI18))</f>
        <v/>
      </c>
      <c r="V18" s="168" t="str">
        <f>IF(F18="","",IF('GREEN SHEET'!DA18="",'GREEN SHEET'!CX18,'GREEN SHEET'!DA18))</f>
        <v/>
      </c>
      <c r="W18" s="168" t="str">
        <f>IF(F18="","",IF('GREEN SHEET'!DB18="",'GREEN SHEET'!CY18,'GREEN SHEET'!DB18))</f>
        <v/>
      </c>
      <c r="X18" s="167" t="str">
        <f>IF(F18="","",IF('GREEN SHEET'!DT18="",'GREEN SHEET'!DQ18,'GREEN SHEET'!DT18))</f>
        <v/>
      </c>
      <c r="Y18" s="167" t="str">
        <f>IF(F18="","",IF('GREEN SHEET'!DU18="",'GREEN SHEET'!DR18,'GREEN SHEET'!DU18))</f>
        <v/>
      </c>
      <c r="Z18" s="169" t="str">
        <f>IF(F18="","",IF('GREEN SHEET'!FH18="",'GREEN SHEET'!EH18,'GREEN SHEET'!FH18))</f>
        <v/>
      </c>
      <c r="AA18" s="170" t="str">
        <f t="shared" si="1"/>
        <v/>
      </c>
      <c r="AB18" s="171" t="str">
        <f t="shared" si="7"/>
        <v/>
      </c>
      <c r="AC18" s="171" t="str">
        <f>IF(F18="","",IF('GREEN SHEET'!EN18="","",'GREEN SHEET'!EN18))</f>
        <v/>
      </c>
      <c r="AD18" s="174" t="str">
        <f>IF(AA18="","",RANK(AA18,AA$7:$AA$51,0)+COUNTIF($AA$7:AA18,AA18)-1)</f>
        <v/>
      </c>
      <c r="AE18" s="174" t="str">
        <f t="shared" si="2"/>
        <v/>
      </c>
      <c r="AF18" s="174" t="str">
        <f t="shared" si="3"/>
        <v/>
      </c>
      <c r="AG18" s="174" t="str">
        <f t="shared" si="4"/>
        <v/>
      </c>
    </row>
    <row r="19" spans="1:33" ht="17.399999999999999" hidden="1" thickBot="1" x14ac:dyDescent="0.3">
      <c r="A19" s="154"/>
      <c r="B19" s="25">
        <v>13</v>
      </c>
      <c r="C19" s="173" t="str">
        <f t="shared" si="5"/>
        <v/>
      </c>
      <c r="D19" s="173" t="str">
        <f t="shared" si="6"/>
        <v/>
      </c>
      <c r="E19" s="25" t="str">
        <f>IF('GREEN SHEET'!C19="","",'GREEN SHEET'!C19)</f>
        <v/>
      </c>
      <c r="F19" s="25" t="str">
        <f>IF('GREEN SHEET'!D19="","",'GREEN SHEET'!D19)</f>
        <v/>
      </c>
      <c r="G19" s="25" t="str">
        <f>IF('GREEN SHEET'!E19="","",'GREEN SHEET'!E19)</f>
        <v/>
      </c>
      <c r="H19" s="25" t="str">
        <f>IF('GREEN SHEET'!F19="","",'GREEN SHEET'!F19)</f>
        <v/>
      </c>
      <c r="I19" s="25" t="str">
        <f>IF('GREEN SHEET'!G19="","",'GREEN SHEET'!G19)</f>
        <v/>
      </c>
      <c r="J19" s="25" t="str">
        <f>IF('GREEN SHEET'!H19="","",'GREEN SHEET'!H19)</f>
        <v/>
      </c>
      <c r="K19" s="25" t="str">
        <f>IF('GREEN SHEET'!I19="","",'GREEN SHEET'!I19)</f>
        <v/>
      </c>
      <c r="L19" s="25" t="str">
        <f>IF('GREEN SHEET'!J19="","",'GREEN SHEET'!J19)</f>
        <v/>
      </c>
      <c r="M19" s="25" t="str">
        <f>IF('GREEN SHEET'!K19="","",'GREEN SHEET'!K19)</f>
        <v/>
      </c>
      <c r="N19" s="166" t="str">
        <f>IF(F19="","",IF('GREEN SHEET'!AB19="",'GREEN SHEET'!Y19,'GREEN SHEET'!AB19))</f>
        <v/>
      </c>
      <c r="O19" s="166" t="str">
        <f>IF(F19="","",IF('GREEN SHEET'!AC19="",'GREEN SHEET'!Z19,'GREEN SHEET'!AC19))</f>
        <v/>
      </c>
      <c r="P19" s="167" t="str">
        <f>IF(F19="","",IF('GREEN SHEET'!AV19="",'GREEN SHEET'!AS19,'GREEN SHEET'!AV19))</f>
        <v/>
      </c>
      <c r="Q19" s="167" t="str">
        <f>IF(F19="","",IF('GREEN SHEET'!AW19="",'GREEN SHEET'!AT19,'GREEN SHEET'!AW19))</f>
        <v/>
      </c>
      <c r="R19" s="166" t="str">
        <f>IF(F19="","",IF('GREEN SHEET'!BO19="",'GREEN SHEET'!BL19,'GREEN SHEET'!BO19))</f>
        <v/>
      </c>
      <c r="S19" s="166" t="str">
        <f>IF(F19="","",IF('GREEN SHEET'!BP19="",'GREEN SHEET'!BM19,'GREEN SHEET'!BP19))</f>
        <v/>
      </c>
      <c r="T19" s="167" t="str">
        <f>IF(F19="","",IF('GREEN SHEET'!CH19="",'GREEN SHEET'!CE19,'GREEN SHEET'!CH19))</f>
        <v/>
      </c>
      <c r="U19" s="167" t="str">
        <f>IF(F19="","",IF('GREEN SHEET'!CI19="",'GREEN SHEET'!CF19,'GREEN SHEET'!CI19))</f>
        <v/>
      </c>
      <c r="V19" s="168" t="str">
        <f>IF(F19="","",IF('GREEN SHEET'!DA19="",'GREEN SHEET'!CX19,'GREEN SHEET'!DA19))</f>
        <v/>
      </c>
      <c r="W19" s="168" t="str">
        <f>IF(F19="","",IF('GREEN SHEET'!DB19="",'GREEN SHEET'!CY19,'GREEN SHEET'!DB19))</f>
        <v/>
      </c>
      <c r="X19" s="167" t="str">
        <f>IF(F19="","",IF('GREEN SHEET'!DT19="",'GREEN SHEET'!DQ19,'GREEN SHEET'!DT19))</f>
        <v/>
      </c>
      <c r="Y19" s="167" t="str">
        <f>IF(F19="","",IF('GREEN SHEET'!DU19="",'GREEN SHEET'!DR19,'GREEN SHEET'!DU19))</f>
        <v/>
      </c>
      <c r="Z19" s="169" t="str">
        <f>IF(F19="","",IF('GREEN SHEET'!FH19="",'GREEN SHEET'!EH19,'GREEN SHEET'!FH19))</f>
        <v/>
      </c>
      <c r="AA19" s="170" t="str">
        <f t="shared" si="1"/>
        <v/>
      </c>
      <c r="AB19" s="171" t="str">
        <f t="shared" si="7"/>
        <v/>
      </c>
      <c r="AC19" s="171" t="str">
        <f>IF(F19="","",IF('GREEN SHEET'!EN19="","",'GREEN SHEET'!EN19))</f>
        <v/>
      </c>
      <c r="AD19" s="174" t="str">
        <f>IF(AA19="","",RANK(AA19,AA$7:$AA$51,0)+COUNTIF($AA$7:AA19,AA19)-1)</f>
        <v/>
      </c>
      <c r="AE19" s="174" t="str">
        <f t="shared" si="2"/>
        <v/>
      </c>
      <c r="AF19" s="174" t="str">
        <f t="shared" si="3"/>
        <v/>
      </c>
      <c r="AG19" s="174" t="str">
        <f t="shared" si="4"/>
        <v/>
      </c>
    </row>
    <row r="20" spans="1:33" ht="17.399999999999999" hidden="1" thickBot="1" x14ac:dyDescent="0.3">
      <c r="A20" s="154"/>
      <c r="B20" s="25">
        <v>14</v>
      </c>
      <c r="C20" s="173" t="str">
        <f t="shared" si="5"/>
        <v/>
      </c>
      <c r="D20" s="173" t="str">
        <f t="shared" si="6"/>
        <v/>
      </c>
      <c r="E20" s="25" t="str">
        <f>IF('GREEN SHEET'!C20="","",'GREEN SHEET'!C20)</f>
        <v/>
      </c>
      <c r="F20" s="25" t="str">
        <f>IF('GREEN SHEET'!D20="","",'GREEN SHEET'!D20)</f>
        <v/>
      </c>
      <c r="G20" s="25" t="str">
        <f>IF('GREEN SHEET'!E20="","",'GREEN SHEET'!E20)</f>
        <v/>
      </c>
      <c r="H20" s="25" t="str">
        <f>IF('GREEN SHEET'!F20="","",'GREEN SHEET'!F20)</f>
        <v/>
      </c>
      <c r="I20" s="25" t="str">
        <f>IF('GREEN SHEET'!G20="","",'GREEN SHEET'!G20)</f>
        <v/>
      </c>
      <c r="J20" s="25" t="str">
        <f>IF('GREEN SHEET'!H20="","",'GREEN SHEET'!H20)</f>
        <v/>
      </c>
      <c r="K20" s="25" t="str">
        <f>IF('GREEN SHEET'!I20="","",'GREEN SHEET'!I20)</f>
        <v/>
      </c>
      <c r="L20" s="25" t="str">
        <f>IF('GREEN SHEET'!J20="","",'GREEN SHEET'!J20)</f>
        <v/>
      </c>
      <c r="M20" s="25" t="str">
        <f>IF('GREEN SHEET'!K20="","",'GREEN SHEET'!K20)</f>
        <v/>
      </c>
      <c r="N20" s="166" t="str">
        <f>IF(F20="","",IF('GREEN SHEET'!AB20="",'GREEN SHEET'!Y20,'GREEN SHEET'!AB20))</f>
        <v/>
      </c>
      <c r="O20" s="166" t="str">
        <f>IF(F20="","",IF('GREEN SHEET'!AC20="",'GREEN SHEET'!Z20,'GREEN SHEET'!AC20))</f>
        <v/>
      </c>
      <c r="P20" s="167" t="str">
        <f>IF(F20="","",IF('GREEN SHEET'!AV20="",'GREEN SHEET'!AS20,'GREEN SHEET'!AV20))</f>
        <v/>
      </c>
      <c r="Q20" s="167" t="str">
        <f>IF(F20="","",IF('GREEN SHEET'!AW20="",'GREEN SHEET'!AT20,'GREEN SHEET'!AW20))</f>
        <v/>
      </c>
      <c r="R20" s="166" t="str">
        <f>IF(F20="","",IF('GREEN SHEET'!BO20="",'GREEN SHEET'!BL20,'GREEN SHEET'!BO20))</f>
        <v/>
      </c>
      <c r="S20" s="166" t="str">
        <f>IF(F20="","",IF('GREEN SHEET'!BP20="",'GREEN SHEET'!BM20,'GREEN SHEET'!BP20))</f>
        <v/>
      </c>
      <c r="T20" s="167" t="str">
        <f>IF(F20="","",IF('GREEN SHEET'!CH20="",'GREEN SHEET'!CE20,'GREEN SHEET'!CH20))</f>
        <v/>
      </c>
      <c r="U20" s="167" t="str">
        <f>IF(F20="","",IF('GREEN SHEET'!CI20="",'GREEN SHEET'!CF20,'GREEN SHEET'!CI20))</f>
        <v/>
      </c>
      <c r="V20" s="168" t="str">
        <f>IF(F20="","",IF('GREEN SHEET'!DA20="",'GREEN SHEET'!CX20,'GREEN SHEET'!DA20))</f>
        <v/>
      </c>
      <c r="W20" s="168" t="str">
        <f>IF(F20="","",IF('GREEN SHEET'!DB20="",'GREEN SHEET'!CY20,'GREEN SHEET'!DB20))</f>
        <v/>
      </c>
      <c r="X20" s="167" t="str">
        <f>IF(F20="","",IF('GREEN SHEET'!DT20="",'GREEN SHEET'!DQ20,'GREEN SHEET'!DT20))</f>
        <v/>
      </c>
      <c r="Y20" s="167" t="str">
        <f>IF(F20="","",IF('GREEN SHEET'!DU20="",'GREEN SHEET'!DR20,'GREEN SHEET'!DU20))</f>
        <v/>
      </c>
      <c r="Z20" s="169" t="str">
        <f>IF(F20="","",IF('GREEN SHEET'!FH20="",'GREEN SHEET'!EH20,'GREEN SHEET'!FH20))</f>
        <v/>
      </c>
      <c r="AA20" s="170" t="str">
        <f t="shared" si="1"/>
        <v/>
      </c>
      <c r="AB20" s="171" t="str">
        <f t="shared" si="7"/>
        <v/>
      </c>
      <c r="AC20" s="171" t="str">
        <f>IF(F20="","",IF('GREEN SHEET'!EN20="","",'GREEN SHEET'!EN20))</f>
        <v/>
      </c>
      <c r="AD20" s="174" t="str">
        <f>IF(AA20="","",RANK(AA20,AA$7:$AA$51,0)+COUNTIF($AA$7:AA20,AA20)-1)</f>
        <v/>
      </c>
      <c r="AE20" s="174" t="str">
        <f t="shared" si="2"/>
        <v/>
      </c>
      <c r="AF20" s="174" t="str">
        <f t="shared" si="3"/>
        <v/>
      </c>
      <c r="AG20" s="174" t="str">
        <f t="shared" si="4"/>
        <v/>
      </c>
    </row>
    <row r="21" spans="1:33" ht="17.399999999999999" hidden="1" thickBot="1" x14ac:dyDescent="0.3">
      <c r="A21" s="154"/>
      <c r="B21" s="25">
        <v>15</v>
      </c>
      <c r="C21" s="173" t="str">
        <f t="shared" si="5"/>
        <v/>
      </c>
      <c r="D21" s="173" t="str">
        <f t="shared" si="6"/>
        <v/>
      </c>
      <c r="E21" s="25" t="str">
        <f>IF('GREEN SHEET'!C21="","",'GREEN SHEET'!C21)</f>
        <v/>
      </c>
      <c r="F21" s="25" t="str">
        <f>IF('GREEN SHEET'!D21="","",'GREEN SHEET'!D21)</f>
        <v/>
      </c>
      <c r="G21" s="25" t="str">
        <f>IF('GREEN SHEET'!E21="","",'GREEN SHEET'!E21)</f>
        <v/>
      </c>
      <c r="H21" s="25" t="str">
        <f>IF('GREEN SHEET'!F21="","",'GREEN SHEET'!F21)</f>
        <v/>
      </c>
      <c r="I21" s="25" t="str">
        <f>IF('GREEN SHEET'!G21="","",'GREEN SHEET'!G21)</f>
        <v/>
      </c>
      <c r="J21" s="25" t="str">
        <f>IF('GREEN SHEET'!H21="","",'GREEN SHEET'!H21)</f>
        <v/>
      </c>
      <c r="K21" s="25" t="str">
        <f>IF('GREEN SHEET'!I21="","",'GREEN SHEET'!I21)</f>
        <v/>
      </c>
      <c r="L21" s="25" t="str">
        <f>IF('GREEN SHEET'!J21="","",'GREEN SHEET'!J21)</f>
        <v/>
      </c>
      <c r="M21" s="25" t="str">
        <f>IF('GREEN SHEET'!K21="","",'GREEN SHEET'!K21)</f>
        <v/>
      </c>
      <c r="N21" s="166" t="str">
        <f>IF(F21="","",IF('GREEN SHEET'!AB21="",'GREEN SHEET'!Y21,'GREEN SHEET'!AB21))</f>
        <v/>
      </c>
      <c r="O21" s="166" t="str">
        <f>IF(F21="","",IF('GREEN SHEET'!AC21="",'GREEN SHEET'!Z21,'GREEN SHEET'!AC21))</f>
        <v/>
      </c>
      <c r="P21" s="167" t="str">
        <f>IF(F21="","",IF('GREEN SHEET'!AV21="",'GREEN SHEET'!AS21,'GREEN SHEET'!AV21))</f>
        <v/>
      </c>
      <c r="Q21" s="167" t="str">
        <f>IF(F21="","",IF('GREEN SHEET'!AW21="",'GREEN SHEET'!AT21,'GREEN SHEET'!AW21))</f>
        <v/>
      </c>
      <c r="R21" s="166" t="str">
        <f>IF(F21="","",IF('GREEN SHEET'!BO21="",'GREEN SHEET'!BL21,'GREEN SHEET'!BO21))</f>
        <v/>
      </c>
      <c r="S21" s="166" t="str">
        <f>IF(F21="","",IF('GREEN SHEET'!BP21="",'GREEN SHEET'!BM21,'GREEN SHEET'!BP21))</f>
        <v/>
      </c>
      <c r="T21" s="167" t="str">
        <f>IF(F21="","",IF('GREEN SHEET'!CH21="",'GREEN SHEET'!CE21,'GREEN SHEET'!CH21))</f>
        <v/>
      </c>
      <c r="U21" s="167" t="str">
        <f>IF(F21="","",IF('GREEN SHEET'!CI21="",'GREEN SHEET'!CF21,'GREEN SHEET'!CI21))</f>
        <v/>
      </c>
      <c r="V21" s="168" t="str">
        <f>IF(F21="","",IF('GREEN SHEET'!DA21="",'GREEN SHEET'!CX21,'GREEN SHEET'!DA21))</f>
        <v/>
      </c>
      <c r="W21" s="168" t="str">
        <f>IF(F21="","",IF('GREEN SHEET'!DB21="",'GREEN SHEET'!CY21,'GREEN SHEET'!DB21))</f>
        <v/>
      </c>
      <c r="X21" s="167" t="str">
        <f>IF(F21="","",IF('GREEN SHEET'!DT21="",'GREEN SHEET'!DQ21,'GREEN SHEET'!DT21))</f>
        <v/>
      </c>
      <c r="Y21" s="167" t="str">
        <f>IF(F21="","",IF('GREEN SHEET'!DU21="",'GREEN SHEET'!DR21,'GREEN SHEET'!DU21))</f>
        <v/>
      </c>
      <c r="Z21" s="169" t="str">
        <f>IF(F21="","",IF('GREEN SHEET'!FH21="",'GREEN SHEET'!EH21,'GREEN SHEET'!FH21))</f>
        <v/>
      </c>
      <c r="AA21" s="170" t="str">
        <f t="shared" si="1"/>
        <v/>
      </c>
      <c r="AB21" s="171" t="str">
        <f t="shared" si="7"/>
        <v/>
      </c>
      <c r="AC21" s="171" t="str">
        <f>IF(F21="","",IF('GREEN SHEET'!EN21="","",'GREEN SHEET'!EN21))</f>
        <v/>
      </c>
      <c r="AD21" s="174" t="str">
        <f>IF(AA21="","",RANK(AA21,AA$7:$AA$51,0)+COUNTIF($AA$7:AA21,AA21)-1)</f>
        <v/>
      </c>
      <c r="AE21" s="174" t="str">
        <f t="shared" si="2"/>
        <v/>
      </c>
      <c r="AF21" s="174" t="str">
        <f t="shared" si="3"/>
        <v/>
      </c>
      <c r="AG21" s="174" t="str">
        <f t="shared" si="4"/>
        <v/>
      </c>
    </row>
    <row r="22" spans="1:33" ht="17.399999999999999" hidden="1" thickBot="1" x14ac:dyDescent="0.3">
      <c r="A22" s="154"/>
      <c r="B22" s="25">
        <v>16</v>
      </c>
      <c r="C22" s="173" t="str">
        <f t="shared" si="5"/>
        <v/>
      </c>
      <c r="D22" s="173" t="str">
        <f t="shared" si="6"/>
        <v/>
      </c>
      <c r="E22" s="25" t="str">
        <f>IF('GREEN SHEET'!C22="","",'GREEN SHEET'!C22)</f>
        <v/>
      </c>
      <c r="F22" s="25" t="str">
        <f>IF('GREEN SHEET'!D22="","",'GREEN SHEET'!D22)</f>
        <v/>
      </c>
      <c r="G22" s="25" t="str">
        <f>IF('GREEN SHEET'!E22="","",'GREEN SHEET'!E22)</f>
        <v/>
      </c>
      <c r="H22" s="25" t="str">
        <f>IF('GREEN SHEET'!F22="","",'GREEN SHEET'!F22)</f>
        <v/>
      </c>
      <c r="I22" s="25" t="str">
        <f>IF('GREEN SHEET'!G22="","",'GREEN SHEET'!G22)</f>
        <v/>
      </c>
      <c r="J22" s="25" t="str">
        <f>IF('GREEN SHEET'!H22="","",'GREEN SHEET'!H22)</f>
        <v/>
      </c>
      <c r="K22" s="25" t="str">
        <f>IF('GREEN SHEET'!I22="","",'GREEN SHEET'!I22)</f>
        <v/>
      </c>
      <c r="L22" s="25" t="str">
        <f>IF('GREEN SHEET'!J22="","",'GREEN SHEET'!J22)</f>
        <v/>
      </c>
      <c r="M22" s="25" t="str">
        <f>IF('GREEN SHEET'!K22="","",'GREEN SHEET'!K22)</f>
        <v/>
      </c>
      <c r="N22" s="166" t="str">
        <f>IF(F22="","",IF('GREEN SHEET'!AB22="",'GREEN SHEET'!Y22,'GREEN SHEET'!AB22))</f>
        <v/>
      </c>
      <c r="O22" s="166" t="str">
        <f>IF(F22="","",IF('GREEN SHEET'!AC22="",'GREEN SHEET'!Z22,'GREEN SHEET'!AC22))</f>
        <v/>
      </c>
      <c r="P22" s="167" t="str">
        <f>IF(F22="","",IF('GREEN SHEET'!AV22="",'GREEN SHEET'!AS22,'GREEN SHEET'!AV22))</f>
        <v/>
      </c>
      <c r="Q22" s="167" t="str">
        <f>IF(F22="","",IF('GREEN SHEET'!AW22="",'GREEN SHEET'!AT22,'GREEN SHEET'!AW22))</f>
        <v/>
      </c>
      <c r="R22" s="166" t="str">
        <f>IF(F22="","",IF('GREEN SHEET'!BO22="",'GREEN SHEET'!BL22,'GREEN SHEET'!BO22))</f>
        <v/>
      </c>
      <c r="S22" s="166" t="str">
        <f>IF(F22="","",IF('GREEN SHEET'!BP22="",'GREEN SHEET'!BM22,'GREEN SHEET'!BP22))</f>
        <v/>
      </c>
      <c r="T22" s="167" t="str">
        <f>IF(F22="","",IF('GREEN SHEET'!CH22="",'GREEN SHEET'!CE22,'GREEN SHEET'!CH22))</f>
        <v/>
      </c>
      <c r="U22" s="167" t="str">
        <f>IF(F22="","",IF('GREEN SHEET'!CI22="",'GREEN SHEET'!CF22,'GREEN SHEET'!CI22))</f>
        <v/>
      </c>
      <c r="V22" s="168" t="str">
        <f>IF(F22="","",IF('GREEN SHEET'!DA22="",'GREEN SHEET'!CX22,'GREEN SHEET'!DA22))</f>
        <v/>
      </c>
      <c r="W22" s="168" t="str">
        <f>IF(F22="","",IF('GREEN SHEET'!DB22="",'GREEN SHEET'!CY22,'GREEN SHEET'!DB22))</f>
        <v/>
      </c>
      <c r="X22" s="167" t="str">
        <f>IF(F22="","",IF('GREEN SHEET'!DT22="",'GREEN SHEET'!DQ22,'GREEN SHEET'!DT22))</f>
        <v/>
      </c>
      <c r="Y22" s="167" t="str">
        <f>IF(F22="","",IF('GREEN SHEET'!DU22="",'GREEN SHEET'!DR22,'GREEN SHEET'!DU22))</f>
        <v/>
      </c>
      <c r="Z22" s="169" t="str">
        <f>IF(F22="","",IF('GREEN SHEET'!FH22="",'GREEN SHEET'!EH22,'GREEN SHEET'!FH22))</f>
        <v/>
      </c>
      <c r="AA22" s="170" t="str">
        <f t="shared" si="1"/>
        <v/>
      </c>
      <c r="AB22" s="171" t="str">
        <f t="shared" si="7"/>
        <v/>
      </c>
      <c r="AC22" s="171" t="str">
        <f>IF(F22="","",IF('GREEN SHEET'!EN22="","",'GREEN SHEET'!EN22))</f>
        <v/>
      </c>
      <c r="AD22" s="174" t="str">
        <f>IF(AA22="","",RANK(AA22,AA$7:$AA$51,0)+COUNTIF($AA$7:AA22,AA22)-1)</f>
        <v/>
      </c>
      <c r="AE22" s="174" t="str">
        <f t="shared" si="2"/>
        <v/>
      </c>
      <c r="AF22" s="174" t="str">
        <f t="shared" si="3"/>
        <v/>
      </c>
      <c r="AG22" s="174" t="str">
        <f t="shared" si="4"/>
        <v/>
      </c>
    </row>
    <row r="23" spans="1:33" ht="17.399999999999999" hidden="1" thickBot="1" x14ac:dyDescent="0.3">
      <c r="A23" s="154"/>
      <c r="B23" s="25">
        <v>17</v>
      </c>
      <c r="C23" s="173" t="str">
        <f t="shared" si="5"/>
        <v/>
      </c>
      <c r="D23" s="173" t="str">
        <f t="shared" si="6"/>
        <v/>
      </c>
      <c r="E23" s="25" t="str">
        <f>IF('GREEN SHEET'!C23="","",'GREEN SHEET'!C23)</f>
        <v/>
      </c>
      <c r="F23" s="25" t="str">
        <f>IF('GREEN SHEET'!D23="","",'GREEN SHEET'!D23)</f>
        <v/>
      </c>
      <c r="G23" s="25" t="str">
        <f>IF('GREEN SHEET'!E23="","",'GREEN SHEET'!E23)</f>
        <v/>
      </c>
      <c r="H23" s="25" t="str">
        <f>IF('GREEN SHEET'!F23="","",'GREEN SHEET'!F23)</f>
        <v/>
      </c>
      <c r="I23" s="25" t="str">
        <f>IF('GREEN SHEET'!G23="","",'GREEN SHEET'!G23)</f>
        <v/>
      </c>
      <c r="J23" s="25" t="str">
        <f>IF('GREEN SHEET'!H23="","",'GREEN SHEET'!H23)</f>
        <v/>
      </c>
      <c r="K23" s="25" t="str">
        <f>IF('GREEN SHEET'!I23="","",'GREEN SHEET'!I23)</f>
        <v/>
      </c>
      <c r="L23" s="25" t="str">
        <f>IF('GREEN SHEET'!J23="","",'GREEN SHEET'!J23)</f>
        <v/>
      </c>
      <c r="M23" s="25" t="str">
        <f>IF('GREEN SHEET'!K23="","",'GREEN SHEET'!K23)</f>
        <v/>
      </c>
      <c r="N23" s="166" t="str">
        <f>IF(F23="","",IF('GREEN SHEET'!AB23="",'GREEN SHEET'!Y23,'GREEN SHEET'!AB23))</f>
        <v/>
      </c>
      <c r="O23" s="166" t="str">
        <f>IF(F23="","",IF('GREEN SHEET'!AC23="",'GREEN SHEET'!Z23,'GREEN SHEET'!AC23))</f>
        <v/>
      </c>
      <c r="P23" s="167" t="str">
        <f>IF(F23="","",IF('GREEN SHEET'!AV23="",'GREEN SHEET'!AS23,'GREEN SHEET'!AV23))</f>
        <v/>
      </c>
      <c r="Q23" s="167" t="str">
        <f>IF(F23="","",IF('GREEN SHEET'!AW23="",'GREEN SHEET'!AT23,'GREEN SHEET'!AW23))</f>
        <v/>
      </c>
      <c r="R23" s="166" t="str">
        <f>IF(F23="","",IF('GREEN SHEET'!BO23="",'GREEN SHEET'!BL23,'GREEN SHEET'!BO23))</f>
        <v/>
      </c>
      <c r="S23" s="166" t="str">
        <f>IF(F23="","",IF('GREEN SHEET'!BP23="",'GREEN SHEET'!BM23,'GREEN SHEET'!BP23))</f>
        <v/>
      </c>
      <c r="T23" s="167" t="str">
        <f>IF(F23="","",IF('GREEN SHEET'!CH23="",'GREEN SHEET'!CE23,'GREEN SHEET'!CH23))</f>
        <v/>
      </c>
      <c r="U23" s="167" t="str">
        <f>IF(F23="","",IF('GREEN SHEET'!CI23="",'GREEN SHEET'!CF23,'GREEN SHEET'!CI23))</f>
        <v/>
      </c>
      <c r="V23" s="168" t="str">
        <f>IF(F23="","",IF('GREEN SHEET'!DA23="",'GREEN SHEET'!CX23,'GREEN SHEET'!DA23))</f>
        <v/>
      </c>
      <c r="W23" s="168" t="str">
        <f>IF(F23="","",IF('GREEN SHEET'!DB23="",'GREEN SHEET'!CY23,'GREEN SHEET'!DB23))</f>
        <v/>
      </c>
      <c r="X23" s="167" t="str">
        <f>IF(F23="","",IF('GREEN SHEET'!DT23="",'GREEN SHEET'!DQ23,'GREEN SHEET'!DT23))</f>
        <v/>
      </c>
      <c r="Y23" s="167" t="str">
        <f>IF(F23="","",IF('GREEN SHEET'!DU23="",'GREEN SHEET'!DR23,'GREEN SHEET'!DU23))</f>
        <v/>
      </c>
      <c r="Z23" s="169" t="str">
        <f>IF(F23="","",IF('GREEN SHEET'!FH23="",'GREEN SHEET'!EH23,'GREEN SHEET'!FH23))</f>
        <v/>
      </c>
      <c r="AA23" s="170" t="str">
        <f t="shared" si="1"/>
        <v/>
      </c>
      <c r="AB23" s="171" t="str">
        <f t="shared" si="7"/>
        <v/>
      </c>
      <c r="AC23" s="171" t="str">
        <f>IF(F23="","",IF('GREEN SHEET'!EN23="","",'GREEN SHEET'!EN23))</f>
        <v/>
      </c>
      <c r="AD23" s="174" t="str">
        <f>IF(AA23="","",RANK(AA23,AA$7:$AA$51,0)+COUNTIF($AA$7:AA23,AA23)-1)</f>
        <v/>
      </c>
      <c r="AE23" s="174" t="str">
        <f t="shared" si="2"/>
        <v/>
      </c>
      <c r="AF23" s="174" t="str">
        <f t="shared" si="3"/>
        <v/>
      </c>
      <c r="AG23" s="174" t="str">
        <f t="shared" si="4"/>
        <v/>
      </c>
    </row>
    <row r="24" spans="1:33" ht="17.399999999999999" hidden="1" thickBot="1" x14ac:dyDescent="0.3">
      <c r="A24" s="154"/>
      <c r="B24" s="25">
        <v>18</v>
      </c>
      <c r="C24" s="173" t="str">
        <f t="shared" si="5"/>
        <v/>
      </c>
      <c r="D24" s="173" t="str">
        <f t="shared" si="6"/>
        <v/>
      </c>
      <c r="E24" s="25" t="str">
        <f>IF('GREEN SHEET'!C24="","",'GREEN SHEET'!C24)</f>
        <v/>
      </c>
      <c r="F24" s="25" t="str">
        <f>IF('GREEN SHEET'!D24="","",'GREEN SHEET'!D24)</f>
        <v/>
      </c>
      <c r="G24" s="25" t="str">
        <f>IF('GREEN SHEET'!E24="","",'GREEN SHEET'!E24)</f>
        <v/>
      </c>
      <c r="H24" s="25" t="str">
        <f>IF('GREEN SHEET'!F24="","",'GREEN SHEET'!F24)</f>
        <v/>
      </c>
      <c r="I24" s="25" t="str">
        <f>IF('GREEN SHEET'!G24="","",'GREEN SHEET'!G24)</f>
        <v/>
      </c>
      <c r="J24" s="25" t="str">
        <f>IF('GREEN SHEET'!H24="","",'GREEN SHEET'!H24)</f>
        <v/>
      </c>
      <c r="K24" s="25" t="str">
        <f>IF('GREEN SHEET'!I24="","",'GREEN SHEET'!I24)</f>
        <v/>
      </c>
      <c r="L24" s="25" t="str">
        <f>IF('GREEN SHEET'!J24="","",'GREEN SHEET'!J24)</f>
        <v/>
      </c>
      <c r="M24" s="25" t="str">
        <f>IF('GREEN SHEET'!K24="","",'GREEN SHEET'!K24)</f>
        <v/>
      </c>
      <c r="N24" s="166" t="str">
        <f>IF(F24="","",IF('GREEN SHEET'!AB24="",'GREEN SHEET'!Y24,'GREEN SHEET'!AB24))</f>
        <v/>
      </c>
      <c r="O24" s="166" t="str">
        <f>IF(F24="","",IF('GREEN SHEET'!AC24="",'GREEN SHEET'!Z24,'GREEN SHEET'!AC24))</f>
        <v/>
      </c>
      <c r="P24" s="167" t="str">
        <f>IF(F24="","",IF('GREEN SHEET'!AV24="",'GREEN SHEET'!AS24,'GREEN SHEET'!AV24))</f>
        <v/>
      </c>
      <c r="Q24" s="167" t="str">
        <f>IF(F24="","",IF('GREEN SHEET'!AW24="",'GREEN SHEET'!AT24,'GREEN SHEET'!AW24))</f>
        <v/>
      </c>
      <c r="R24" s="166" t="str">
        <f>IF(F24="","",IF('GREEN SHEET'!BO24="",'GREEN SHEET'!BL24,'GREEN SHEET'!BO24))</f>
        <v/>
      </c>
      <c r="S24" s="166" t="str">
        <f>IF(F24="","",IF('GREEN SHEET'!BP24="",'GREEN SHEET'!BM24,'GREEN SHEET'!BP24))</f>
        <v/>
      </c>
      <c r="T24" s="167" t="str">
        <f>IF(F24="","",IF('GREEN SHEET'!CH24="",'GREEN SHEET'!CE24,'GREEN SHEET'!CH24))</f>
        <v/>
      </c>
      <c r="U24" s="167" t="str">
        <f>IF(F24="","",IF('GREEN SHEET'!CI24="",'GREEN SHEET'!CF24,'GREEN SHEET'!CI24))</f>
        <v/>
      </c>
      <c r="V24" s="168" t="str">
        <f>IF(F24="","",IF('GREEN SHEET'!DA24="",'GREEN SHEET'!CX24,'GREEN SHEET'!DA24))</f>
        <v/>
      </c>
      <c r="W24" s="168" t="str">
        <f>IF(F24="","",IF('GREEN SHEET'!DB24="",'GREEN SHEET'!CY24,'GREEN SHEET'!DB24))</f>
        <v/>
      </c>
      <c r="X24" s="167" t="str">
        <f>IF(F24="","",IF('GREEN SHEET'!DT24="",'GREEN SHEET'!DQ24,'GREEN SHEET'!DT24))</f>
        <v/>
      </c>
      <c r="Y24" s="167" t="str">
        <f>IF(F24="","",IF('GREEN SHEET'!DU24="",'GREEN SHEET'!DR24,'GREEN SHEET'!DU24))</f>
        <v/>
      </c>
      <c r="Z24" s="169" t="str">
        <f>IF(F24="","",IF('GREEN SHEET'!FH24="",'GREEN SHEET'!EH24,'GREEN SHEET'!FH24))</f>
        <v/>
      </c>
      <c r="AA24" s="170" t="str">
        <f t="shared" si="1"/>
        <v/>
      </c>
      <c r="AB24" s="171" t="str">
        <f t="shared" si="7"/>
        <v/>
      </c>
      <c r="AC24" s="171" t="str">
        <f>IF(F24="","",IF('GREEN SHEET'!EN24="","",'GREEN SHEET'!EN24))</f>
        <v/>
      </c>
      <c r="AD24" s="174" t="str">
        <f>IF(AA24="","",RANK(AA24,AA$7:$AA$51,0)+COUNTIF($AA$7:AA24,AA24)-1)</f>
        <v/>
      </c>
      <c r="AE24" s="174" t="str">
        <f t="shared" si="2"/>
        <v/>
      </c>
      <c r="AF24" s="174" t="str">
        <f t="shared" si="3"/>
        <v/>
      </c>
      <c r="AG24" s="174" t="str">
        <f t="shared" si="4"/>
        <v/>
      </c>
    </row>
    <row r="25" spans="1:33" ht="17.399999999999999" hidden="1" thickBot="1" x14ac:dyDescent="0.3">
      <c r="A25" s="154"/>
      <c r="B25" s="25">
        <v>19</v>
      </c>
      <c r="C25" s="173" t="str">
        <f t="shared" si="5"/>
        <v/>
      </c>
      <c r="D25" s="173" t="str">
        <f t="shared" si="6"/>
        <v/>
      </c>
      <c r="E25" s="25" t="str">
        <f>IF('GREEN SHEET'!C25="","",'GREEN SHEET'!C25)</f>
        <v/>
      </c>
      <c r="F25" s="25" t="str">
        <f>IF('GREEN SHEET'!D25="","",'GREEN SHEET'!D25)</f>
        <v/>
      </c>
      <c r="G25" s="25" t="str">
        <f>IF('GREEN SHEET'!E25="","",'GREEN SHEET'!E25)</f>
        <v/>
      </c>
      <c r="H25" s="25" t="str">
        <f>IF('GREEN SHEET'!F25="","",'GREEN SHEET'!F25)</f>
        <v/>
      </c>
      <c r="I25" s="25" t="str">
        <f>IF('GREEN SHEET'!G25="","",'GREEN SHEET'!G25)</f>
        <v/>
      </c>
      <c r="J25" s="25" t="str">
        <f>IF('GREEN SHEET'!H25="","",'GREEN SHEET'!H25)</f>
        <v/>
      </c>
      <c r="K25" s="25" t="str">
        <f>IF('GREEN SHEET'!I25="","",'GREEN SHEET'!I25)</f>
        <v/>
      </c>
      <c r="L25" s="25" t="str">
        <f>IF('GREEN SHEET'!J25="","",'GREEN SHEET'!J25)</f>
        <v/>
      </c>
      <c r="M25" s="25" t="str">
        <f>IF('GREEN SHEET'!K25="","",'GREEN SHEET'!K25)</f>
        <v/>
      </c>
      <c r="N25" s="166" t="str">
        <f>IF(F25="","",IF('GREEN SHEET'!AB25="",'GREEN SHEET'!Y25,'GREEN SHEET'!AB25))</f>
        <v/>
      </c>
      <c r="O25" s="166" t="str">
        <f>IF(F25="","",IF('GREEN SHEET'!AC25="",'GREEN SHEET'!Z25,'GREEN SHEET'!AC25))</f>
        <v/>
      </c>
      <c r="P25" s="167" t="str">
        <f>IF(F25="","",IF('GREEN SHEET'!AV25="",'GREEN SHEET'!AS25,'GREEN SHEET'!AV25))</f>
        <v/>
      </c>
      <c r="Q25" s="167" t="str">
        <f>IF(F25="","",IF('GREEN SHEET'!AW25="",'GREEN SHEET'!AT25,'GREEN SHEET'!AW25))</f>
        <v/>
      </c>
      <c r="R25" s="166" t="str">
        <f>IF(F25="","",IF('GREEN SHEET'!BO25="",'GREEN SHEET'!BL25,'GREEN SHEET'!BO25))</f>
        <v/>
      </c>
      <c r="S25" s="166" t="str">
        <f>IF(F25="","",IF('GREEN SHEET'!BP25="",'GREEN SHEET'!BM25,'GREEN SHEET'!BP25))</f>
        <v/>
      </c>
      <c r="T25" s="167" t="str">
        <f>IF(F25="","",IF('GREEN SHEET'!CH25="",'GREEN SHEET'!CE25,'GREEN SHEET'!CH25))</f>
        <v/>
      </c>
      <c r="U25" s="167" t="str">
        <f>IF(F25="","",IF('GREEN SHEET'!CI25="",'GREEN SHEET'!CF25,'GREEN SHEET'!CI25))</f>
        <v/>
      </c>
      <c r="V25" s="168" t="str">
        <f>IF(F25="","",IF('GREEN SHEET'!DA25="",'GREEN SHEET'!CX25,'GREEN SHEET'!DA25))</f>
        <v/>
      </c>
      <c r="W25" s="168" t="str">
        <f>IF(F25="","",IF('GREEN SHEET'!DB25="",'GREEN SHEET'!CY25,'GREEN SHEET'!DB25))</f>
        <v/>
      </c>
      <c r="X25" s="167" t="str">
        <f>IF(F25="","",IF('GREEN SHEET'!DT25="",'GREEN SHEET'!DQ25,'GREEN SHEET'!DT25))</f>
        <v/>
      </c>
      <c r="Y25" s="167" t="str">
        <f>IF(F25="","",IF('GREEN SHEET'!DU25="",'GREEN SHEET'!DR25,'GREEN SHEET'!DU25))</f>
        <v/>
      </c>
      <c r="Z25" s="169" t="str">
        <f>IF(F25="","",IF('GREEN SHEET'!FH25="",'GREEN SHEET'!EH25,'GREEN SHEET'!FH25))</f>
        <v/>
      </c>
      <c r="AA25" s="170" t="str">
        <f t="shared" si="1"/>
        <v/>
      </c>
      <c r="AB25" s="171" t="str">
        <f t="shared" si="7"/>
        <v/>
      </c>
      <c r="AC25" s="171" t="str">
        <f>IF(F25="","",IF('GREEN SHEET'!EN25="","",'GREEN SHEET'!EN25))</f>
        <v/>
      </c>
      <c r="AD25" s="174" t="str">
        <f>IF(AA25="","",RANK(AA25,AA$7:$AA$51,0)+COUNTIF($AA$7:AA25,AA25)-1)</f>
        <v/>
      </c>
      <c r="AE25" s="174" t="str">
        <f t="shared" si="2"/>
        <v/>
      </c>
      <c r="AF25" s="174" t="str">
        <f t="shared" si="3"/>
        <v/>
      </c>
      <c r="AG25" s="174" t="str">
        <f t="shared" si="4"/>
        <v/>
      </c>
    </row>
    <row r="26" spans="1:33" ht="17.399999999999999" hidden="1" thickBot="1" x14ac:dyDescent="0.3">
      <c r="A26" s="154"/>
      <c r="B26" s="25">
        <v>20</v>
      </c>
      <c r="C26" s="173" t="str">
        <f t="shared" si="5"/>
        <v/>
      </c>
      <c r="D26" s="173" t="str">
        <f t="shared" si="6"/>
        <v/>
      </c>
      <c r="E26" s="25" t="str">
        <f>IF('GREEN SHEET'!C26="","",'GREEN SHEET'!C26)</f>
        <v/>
      </c>
      <c r="F26" s="25" t="str">
        <f>IF('GREEN SHEET'!D26="","",'GREEN SHEET'!D26)</f>
        <v/>
      </c>
      <c r="G26" s="25" t="str">
        <f>IF('GREEN SHEET'!E26="","",'GREEN SHEET'!E26)</f>
        <v/>
      </c>
      <c r="H26" s="25" t="str">
        <f>IF('GREEN SHEET'!F26="","",'GREEN SHEET'!F26)</f>
        <v/>
      </c>
      <c r="I26" s="25" t="str">
        <f>IF('GREEN SHEET'!G26="","",'GREEN SHEET'!G26)</f>
        <v/>
      </c>
      <c r="J26" s="25" t="str">
        <f>IF('GREEN SHEET'!H26="","",'GREEN SHEET'!H26)</f>
        <v/>
      </c>
      <c r="K26" s="25" t="str">
        <f>IF('GREEN SHEET'!I26="","",'GREEN SHEET'!I26)</f>
        <v/>
      </c>
      <c r="L26" s="25" t="str">
        <f>IF('GREEN SHEET'!J26="","",'GREEN SHEET'!J26)</f>
        <v/>
      </c>
      <c r="M26" s="25" t="str">
        <f>IF('GREEN SHEET'!K26="","",'GREEN SHEET'!K26)</f>
        <v/>
      </c>
      <c r="N26" s="166" t="str">
        <f>IF(F26="","",IF('GREEN SHEET'!AB26="",'GREEN SHEET'!Y26,'GREEN SHEET'!AB26))</f>
        <v/>
      </c>
      <c r="O26" s="166" t="str">
        <f>IF(F26="","",IF('GREEN SHEET'!AC26="",'GREEN SHEET'!Z26,'GREEN SHEET'!AC26))</f>
        <v/>
      </c>
      <c r="P26" s="167" t="str">
        <f>IF(F26="","",IF('GREEN SHEET'!AV26="",'GREEN SHEET'!AS26,'GREEN SHEET'!AV26))</f>
        <v/>
      </c>
      <c r="Q26" s="167" t="str">
        <f>IF(F26="","",IF('GREEN SHEET'!AW26="",'GREEN SHEET'!AT26,'GREEN SHEET'!AW26))</f>
        <v/>
      </c>
      <c r="R26" s="166" t="str">
        <f>IF(F26="","",IF('GREEN SHEET'!BO26="",'GREEN SHEET'!BL26,'GREEN SHEET'!BO26))</f>
        <v/>
      </c>
      <c r="S26" s="166" t="str">
        <f>IF(F26="","",IF('GREEN SHEET'!BP26="",'GREEN SHEET'!BM26,'GREEN SHEET'!BP26))</f>
        <v/>
      </c>
      <c r="T26" s="167" t="str">
        <f>IF(F26="","",IF('GREEN SHEET'!CH26="",'GREEN SHEET'!CE26,'GREEN SHEET'!CH26))</f>
        <v/>
      </c>
      <c r="U26" s="167" t="str">
        <f>IF(F26="","",IF('GREEN SHEET'!CI26="",'GREEN SHEET'!CF26,'GREEN SHEET'!CI26))</f>
        <v/>
      </c>
      <c r="V26" s="168" t="str">
        <f>IF(F26="","",IF('GREEN SHEET'!DA26="",'GREEN SHEET'!CX26,'GREEN SHEET'!DA26))</f>
        <v/>
      </c>
      <c r="W26" s="168" t="str">
        <f>IF(F26="","",IF('GREEN SHEET'!DB26="",'GREEN SHEET'!CY26,'GREEN SHEET'!DB26))</f>
        <v/>
      </c>
      <c r="X26" s="167" t="str">
        <f>IF(F26="","",IF('GREEN SHEET'!DT26="",'GREEN SHEET'!DQ26,'GREEN SHEET'!DT26))</f>
        <v/>
      </c>
      <c r="Y26" s="167" t="str">
        <f>IF(F26="","",IF('GREEN SHEET'!DU26="",'GREEN SHEET'!DR26,'GREEN SHEET'!DU26))</f>
        <v/>
      </c>
      <c r="Z26" s="169" t="str">
        <f>IF(F26="","",IF('GREEN SHEET'!FH26="",'GREEN SHEET'!EH26,'GREEN SHEET'!FH26))</f>
        <v/>
      </c>
      <c r="AA26" s="170" t="str">
        <f t="shared" si="1"/>
        <v/>
      </c>
      <c r="AB26" s="171" t="str">
        <f t="shared" si="7"/>
        <v/>
      </c>
      <c r="AC26" s="171" t="str">
        <f>IF(F26="","",IF('GREEN SHEET'!EN26="","",'GREEN SHEET'!EN26))</f>
        <v/>
      </c>
      <c r="AD26" s="174" t="str">
        <f>IF(AA26="","",RANK(AA26,AA$7:$AA$51,0)+COUNTIF($AA$7:AA26,AA26)-1)</f>
        <v/>
      </c>
      <c r="AE26" s="174" t="str">
        <f t="shared" si="2"/>
        <v/>
      </c>
      <c r="AF26" s="174" t="str">
        <f t="shared" si="3"/>
        <v/>
      </c>
      <c r="AG26" s="174" t="str">
        <f t="shared" si="4"/>
        <v/>
      </c>
    </row>
    <row r="27" spans="1:33" ht="17.399999999999999" hidden="1" thickBot="1" x14ac:dyDescent="0.3">
      <c r="A27" s="154"/>
      <c r="B27" s="25">
        <v>21</v>
      </c>
      <c r="C27" s="173" t="str">
        <f t="shared" si="5"/>
        <v/>
      </c>
      <c r="D27" s="173" t="str">
        <f t="shared" si="6"/>
        <v/>
      </c>
      <c r="E27" s="25" t="str">
        <f>IF('GREEN SHEET'!C27="","",'GREEN SHEET'!C27)</f>
        <v/>
      </c>
      <c r="F27" s="25" t="str">
        <f>IF('GREEN SHEET'!D27="","",'GREEN SHEET'!D27)</f>
        <v/>
      </c>
      <c r="G27" s="25" t="str">
        <f>IF('GREEN SHEET'!E27="","",'GREEN SHEET'!E27)</f>
        <v/>
      </c>
      <c r="H27" s="25" t="str">
        <f>IF('GREEN SHEET'!F27="","",'GREEN SHEET'!F27)</f>
        <v/>
      </c>
      <c r="I27" s="25" t="str">
        <f>IF('GREEN SHEET'!G27="","",'GREEN SHEET'!G27)</f>
        <v/>
      </c>
      <c r="J27" s="25" t="str">
        <f>IF('GREEN SHEET'!H27="","",'GREEN SHEET'!H27)</f>
        <v/>
      </c>
      <c r="K27" s="25" t="str">
        <f>IF('GREEN SHEET'!I27="","",'GREEN SHEET'!I27)</f>
        <v/>
      </c>
      <c r="L27" s="25" t="str">
        <f>IF('GREEN SHEET'!J27="","",'GREEN SHEET'!J27)</f>
        <v/>
      </c>
      <c r="M27" s="25" t="str">
        <f>IF('GREEN SHEET'!K27="","",'GREEN SHEET'!K27)</f>
        <v/>
      </c>
      <c r="N27" s="166" t="str">
        <f>IF(F27="","",IF('GREEN SHEET'!AB27="",'GREEN SHEET'!Y27,'GREEN SHEET'!AB27))</f>
        <v/>
      </c>
      <c r="O27" s="166" t="str">
        <f>IF(F27="","",IF('GREEN SHEET'!AC27="",'GREEN SHEET'!Z27,'GREEN SHEET'!AC27))</f>
        <v/>
      </c>
      <c r="P27" s="167" t="str">
        <f>IF(F27="","",IF('GREEN SHEET'!AV27="",'GREEN SHEET'!AS27,'GREEN SHEET'!AV27))</f>
        <v/>
      </c>
      <c r="Q27" s="167" t="str">
        <f>IF(F27="","",IF('GREEN SHEET'!AW27="",'GREEN SHEET'!AT27,'GREEN SHEET'!AW27))</f>
        <v/>
      </c>
      <c r="R27" s="166" t="str">
        <f>IF(F27="","",IF('GREEN SHEET'!BO27="",'GREEN SHEET'!BL27,'GREEN SHEET'!BO27))</f>
        <v/>
      </c>
      <c r="S27" s="166" t="str">
        <f>IF(F27="","",IF('GREEN SHEET'!BP27="",'GREEN SHEET'!BM27,'GREEN SHEET'!BP27))</f>
        <v/>
      </c>
      <c r="T27" s="167" t="str">
        <f>IF(F27="","",IF('GREEN SHEET'!CH27="",'GREEN SHEET'!CE27,'GREEN SHEET'!CH27))</f>
        <v/>
      </c>
      <c r="U27" s="167" t="str">
        <f>IF(F27="","",IF('GREEN SHEET'!CI27="",'GREEN SHEET'!CF27,'GREEN SHEET'!CI27))</f>
        <v/>
      </c>
      <c r="V27" s="168" t="str">
        <f>IF(F27="","",IF('GREEN SHEET'!DA27="",'GREEN SHEET'!CX27,'GREEN SHEET'!DA27))</f>
        <v/>
      </c>
      <c r="W27" s="168" t="str">
        <f>IF(F27="","",IF('GREEN SHEET'!DB27="",'GREEN SHEET'!CY27,'GREEN SHEET'!DB27))</f>
        <v/>
      </c>
      <c r="X27" s="167" t="str">
        <f>IF(F27="","",IF('GREEN SHEET'!DT27="",'GREEN SHEET'!DQ27,'GREEN SHEET'!DT27))</f>
        <v/>
      </c>
      <c r="Y27" s="167" t="str">
        <f>IF(F27="","",IF('GREEN SHEET'!DU27="",'GREEN SHEET'!DR27,'GREEN SHEET'!DU27))</f>
        <v/>
      </c>
      <c r="Z27" s="169" t="str">
        <f>IF(F27="","",IF('GREEN SHEET'!FH27="",'GREEN SHEET'!EH27,'GREEN SHEET'!FH27))</f>
        <v/>
      </c>
      <c r="AA27" s="170" t="str">
        <f t="shared" si="1"/>
        <v/>
      </c>
      <c r="AB27" s="171" t="str">
        <f t="shared" si="7"/>
        <v/>
      </c>
      <c r="AC27" s="171" t="str">
        <f>IF(F27="","",IF('GREEN SHEET'!EN27="","",'GREEN SHEET'!EN27))</f>
        <v/>
      </c>
      <c r="AD27" s="174" t="str">
        <f>IF(AA27="","",RANK(AA27,AA$7:$AA$51,0)+COUNTIF($AA$7:AA27,AA27)-1)</f>
        <v/>
      </c>
      <c r="AE27" s="174" t="str">
        <f t="shared" si="2"/>
        <v/>
      </c>
      <c r="AF27" s="174" t="str">
        <f t="shared" si="3"/>
        <v/>
      </c>
      <c r="AG27" s="174" t="str">
        <f t="shared" si="4"/>
        <v/>
      </c>
    </row>
    <row r="28" spans="1:33" ht="17.399999999999999" hidden="1" thickBot="1" x14ac:dyDescent="0.3">
      <c r="A28" s="154"/>
      <c r="B28" s="25">
        <v>22</v>
      </c>
      <c r="C28" s="173" t="str">
        <f t="shared" si="5"/>
        <v/>
      </c>
      <c r="D28" s="173" t="str">
        <f t="shared" si="6"/>
        <v/>
      </c>
      <c r="E28" s="25" t="str">
        <f>IF('GREEN SHEET'!C28="","",'GREEN SHEET'!C28)</f>
        <v/>
      </c>
      <c r="F28" s="25" t="str">
        <f>IF('GREEN SHEET'!D28="","",'GREEN SHEET'!D28)</f>
        <v/>
      </c>
      <c r="G28" s="25" t="str">
        <f>IF('GREEN SHEET'!E28="","",'GREEN SHEET'!E28)</f>
        <v/>
      </c>
      <c r="H28" s="25" t="str">
        <f>IF('GREEN SHEET'!F28="","",'GREEN SHEET'!F28)</f>
        <v/>
      </c>
      <c r="I28" s="25" t="str">
        <f>IF('GREEN SHEET'!G28="","",'GREEN SHEET'!G28)</f>
        <v/>
      </c>
      <c r="J28" s="25" t="str">
        <f>IF('GREEN SHEET'!H28="","",'GREEN SHEET'!H28)</f>
        <v/>
      </c>
      <c r="K28" s="25" t="str">
        <f>IF('GREEN SHEET'!I28="","",'GREEN SHEET'!I28)</f>
        <v/>
      </c>
      <c r="L28" s="25" t="str">
        <f>IF('GREEN SHEET'!J28="","",'GREEN SHEET'!J28)</f>
        <v/>
      </c>
      <c r="M28" s="25" t="str">
        <f>IF('GREEN SHEET'!K28="","",'GREEN SHEET'!K28)</f>
        <v/>
      </c>
      <c r="N28" s="166" t="str">
        <f>IF(F28="","",IF('GREEN SHEET'!AB28="",'GREEN SHEET'!Y28,'GREEN SHEET'!AB28))</f>
        <v/>
      </c>
      <c r="O28" s="166" t="str">
        <f>IF(F28="","",IF('GREEN SHEET'!AC28="",'GREEN SHEET'!Z28,'GREEN SHEET'!AC28))</f>
        <v/>
      </c>
      <c r="P28" s="167" t="str">
        <f>IF(F28="","",IF('GREEN SHEET'!AV28="",'GREEN SHEET'!AS28,'GREEN SHEET'!AV28))</f>
        <v/>
      </c>
      <c r="Q28" s="167" t="str">
        <f>IF(F28="","",IF('GREEN SHEET'!AW28="",'GREEN SHEET'!AT28,'GREEN SHEET'!AW28))</f>
        <v/>
      </c>
      <c r="R28" s="166" t="str">
        <f>IF(F28="","",IF('GREEN SHEET'!BO28="",'GREEN SHEET'!BL28,'GREEN SHEET'!BO28))</f>
        <v/>
      </c>
      <c r="S28" s="166" t="str">
        <f>IF(F28="","",IF('GREEN SHEET'!BP28="",'GREEN SHEET'!BM28,'GREEN SHEET'!BP28))</f>
        <v/>
      </c>
      <c r="T28" s="167" t="str">
        <f>IF(F28="","",IF('GREEN SHEET'!CH28="",'GREEN SHEET'!CE28,'GREEN SHEET'!CH28))</f>
        <v/>
      </c>
      <c r="U28" s="167" t="str">
        <f>IF(F28="","",IF('GREEN SHEET'!CI28="",'GREEN SHEET'!CF28,'GREEN SHEET'!CI28))</f>
        <v/>
      </c>
      <c r="V28" s="168" t="str">
        <f>IF(F28="","",IF('GREEN SHEET'!DA28="",'GREEN SHEET'!CX28,'GREEN SHEET'!DA28))</f>
        <v/>
      </c>
      <c r="W28" s="168" t="str">
        <f>IF(F28="","",IF('GREEN SHEET'!DB28="",'GREEN SHEET'!CY28,'GREEN SHEET'!DB28))</f>
        <v/>
      </c>
      <c r="X28" s="167" t="str">
        <f>IF(F28="","",IF('GREEN SHEET'!DT28="",'GREEN SHEET'!DQ28,'GREEN SHEET'!DT28))</f>
        <v/>
      </c>
      <c r="Y28" s="167" t="str">
        <f>IF(F28="","",IF('GREEN SHEET'!DU28="",'GREEN SHEET'!DR28,'GREEN SHEET'!DU28))</f>
        <v/>
      </c>
      <c r="Z28" s="169" t="str">
        <f>IF(F28="","",IF('GREEN SHEET'!FH28="",'GREEN SHEET'!EH28,'GREEN SHEET'!FH28))</f>
        <v/>
      </c>
      <c r="AA28" s="170" t="str">
        <f t="shared" si="1"/>
        <v/>
      </c>
      <c r="AB28" s="171" t="str">
        <f t="shared" si="7"/>
        <v/>
      </c>
      <c r="AC28" s="171" t="str">
        <f>IF(F28="","",IF('GREEN SHEET'!EN28="","",'GREEN SHEET'!EN28))</f>
        <v/>
      </c>
      <c r="AD28" s="174" t="str">
        <f>IF(AA28="","",RANK(AA28,AA$7:$AA$51,0)+COUNTIF($AA$7:AA28,AA28)-1)</f>
        <v/>
      </c>
      <c r="AE28" s="174" t="str">
        <f t="shared" si="2"/>
        <v/>
      </c>
      <c r="AF28" s="174" t="str">
        <f t="shared" si="3"/>
        <v/>
      </c>
      <c r="AG28" s="174" t="str">
        <f t="shared" si="4"/>
        <v/>
      </c>
    </row>
    <row r="29" spans="1:33" ht="17.399999999999999" hidden="1" thickBot="1" x14ac:dyDescent="0.3">
      <c r="A29" s="154"/>
      <c r="B29" s="25">
        <v>23</v>
      </c>
      <c r="C29" s="173" t="str">
        <f t="shared" si="5"/>
        <v/>
      </c>
      <c r="D29" s="173" t="str">
        <f t="shared" si="6"/>
        <v/>
      </c>
      <c r="E29" s="25" t="str">
        <f>IF('GREEN SHEET'!C29="","",'GREEN SHEET'!C29)</f>
        <v/>
      </c>
      <c r="F29" s="25" t="str">
        <f>IF('GREEN SHEET'!D29="","",'GREEN SHEET'!D29)</f>
        <v/>
      </c>
      <c r="G29" s="25" t="str">
        <f>IF('GREEN SHEET'!E29="","",'GREEN SHEET'!E29)</f>
        <v/>
      </c>
      <c r="H29" s="25" t="str">
        <f>IF('GREEN SHEET'!F29="","",'GREEN SHEET'!F29)</f>
        <v/>
      </c>
      <c r="I29" s="25" t="str">
        <f>IF('GREEN SHEET'!G29="","",'GREEN SHEET'!G29)</f>
        <v/>
      </c>
      <c r="J29" s="25" t="str">
        <f>IF('GREEN SHEET'!H29="","",'GREEN SHEET'!H29)</f>
        <v/>
      </c>
      <c r="K29" s="25" t="str">
        <f>IF('GREEN SHEET'!I29="","",'GREEN SHEET'!I29)</f>
        <v/>
      </c>
      <c r="L29" s="25" t="str">
        <f>IF('GREEN SHEET'!J29="","",'GREEN SHEET'!J29)</f>
        <v/>
      </c>
      <c r="M29" s="25" t="str">
        <f>IF('GREEN SHEET'!K29="","",'GREEN SHEET'!K29)</f>
        <v/>
      </c>
      <c r="N29" s="166" t="str">
        <f>IF(F29="","",IF('GREEN SHEET'!AB29="",'GREEN SHEET'!Y29,'GREEN SHEET'!AB29))</f>
        <v/>
      </c>
      <c r="O29" s="166" t="str">
        <f>IF(F29="","",IF('GREEN SHEET'!AC29="",'GREEN SHEET'!Z29,'GREEN SHEET'!AC29))</f>
        <v/>
      </c>
      <c r="P29" s="167" t="str">
        <f>IF(F29="","",IF('GREEN SHEET'!AV29="",'GREEN SHEET'!AS29,'GREEN SHEET'!AV29))</f>
        <v/>
      </c>
      <c r="Q29" s="167" t="str">
        <f>IF(F29="","",IF('GREEN SHEET'!AW29="",'GREEN SHEET'!AT29,'GREEN SHEET'!AW29))</f>
        <v/>
      </c>
      <c r="R29" s="166" t="str">
        <f>IF(F29="","",IF('GREEN SHEET'!BO29="",'GREEN SHEET'!BL29,'GREEN SHEET'!BO29))</f>
        <v/>
      </c>
      <c r="S29" s="166" t="str">
        <f>IF(F29="","",IF('GREEN SHEET'!BP29="",'GREEN SHEET'!BM29,'GREEN SHEET'!BP29))</f>
        <v/>
      </c>
      <c r="T29" s="167" t="str">
        <f>IF(F29="","",IF('GREEN SHEET'!CH29="",'GREEN SHEET'!CE29,'GREEN SHEET'!CH29))</f>
        <v/>
      </c>
      <c r="U29" s="167" t="str">
        <f>IF(F29="","",IF('GREEN SHEET'!CI29="",'GREEN SHEET'!CF29,'GREEN SHEET'!CI29))</f>
        <v/>
      </c>
      <c r="V29" s="168" t="str">
        <f>IF(F29="","",IF('GREEN SHEET'!DA29="",'GREEN SHEET'!CX29,'GREEN SHEET'!DA29))</f>
        <v/>
      </c>
      <c r="W29" s="168" t="str">
        <f>IF(F29="","",IF('GREEN SHEET'!DB29="",'GREEN SHEET'!CY29,'GREEN SHEET'!DB29))</f>
        <v/>
      </c>
      <c r="X29" s="167" t="str">
        <f>IF(F29="","",IF('GREEN SHEET'!DT29="",'GREEN SHEET'!DQ29,'GREEN SHEET'!DT29))</f>
        <v/>
      </c>
      <c r="Y29" s="167" t="str">
        <f>IF(F29="","",IF('GREEN SHEET'!DU29="",'GREEN SHEET'!DR29,'GREEN SHEET'!DU29))</f>
        <v/>
      </c>
      <c r="Z29" s="169" t="str">
        <f>IF(F29="","",IF('GREEN SHEET'!FH29="",'GREEN SHEET'!EH29,'GREEN SHEET'!FH29))</f>
        <v/>
      </c>
      <c r="AA29" s="170" t="str">
        <f t="shared" si="1"/>
        <v/>
      </c>
      <c r="AB29" s="171" t="str">
        <f t="shared" si="7"/>
        <v/>
      </c>
      <c r="AC29" s="171" t="str">
        <f>IF(F29="","",IF('GREEN SHEET'!EN29="","",'GREEN SHEET'!EN29))</f>
        <v/>
      </c>
      <c r="AD29" s="174" t="str">
        <f>IF(AA29="","",RANK(AA29,AA$7:$AA$51,0)+COUNTIF($AA$7:AA29,AA29)-1)</f>
        <v/>
      </c>
      <c r="AE29" s="174" t="str">
        <f t="shared" si="2"/>
        <v/>
      </c>
      <c r="AF29" s="174" t="str">
        <f t="shared" si="3"/>
        <v/>
      </c>
      <c r="AG29" s="174" t="str">
        <f t="shared" si="4"/>
        <v/>
      </c>
    </row>
    <row r="30" spans="1:33" ht="17.399999999999999" hidden="1" thickBot="1" x14ac:dyDescent="0.3">
      <c r="A30" s="154"/>
      <c r="B30" s="25">
        <v>24</v>
      </c>
      <c r="C30" s="173" t="str">
        <f t="shared" si="5"/>
        <v/>
      </c>
      <c r="D30" s="173" t="str">
        <f t="shared" si="6"/>
        <v/>
      </c>
      <c r="E30" s="25" t="str">
        <f>IF('GREEN SHEET'!C30="","",'GREEN SHEET'!C30)</f>
        <v/>
      </c>
      <c r="F30" s="25" t="str">
        <f>IF('GREEN SHEET'!D30="","",'GREEN SHEET'!D30)</f>
        <v/>
      </c>
      <c r="G30" s="25" t="str">
        <f>IF('GREEN SHEET'!E30="","",'GREEN SHEET'!E30)</f>
        <v/>
      </c>
      <c r="H30" s="25" t="str">
        <f>IF('GREEN SHEET'!F30="","",'GREEN SHEET'!F30)</f>
        <v/>
      </c>
      <c r="I30" s="25" t="str">
        <f>IF('GREEN SHEET'!G30="","",'GREEN SHEET'!G30)</f>
        <v/>
      </c>
      <c r="J30" s="25" t="str">
        <f>IF('GREEN SHEET'!H30="","",'GREEN SHEET'!H30)</f>
        <v/>
      </c>
      <c r="K30" s="25" t="str">
        <f>IF('GREEN SHEET'!I30="","",'GREEN SHEET'!I30)</f>
        <v/>
      </c>
      <c r="L30" s="25" t="str">
        <f>IF('GREEN SHEET'!J30="","",'GREEN SHEET'!J30)</f>
        <v/>
      </c>
      <c r="M30" s="25" t="str">
        <f>IF('GREEN SHEET'!K30="","",'GREEN SHEET'!K30)</f>
        <v/>
      </c>
      <c r="N30" s="166" t="str">
        <f>IF(F30="","",IF('GREEN SHEET'!AB30="",'GREEN SHEET'!Y30,'GREEN SHEET'!AB30))</f>
        <v/>
      </c>
      <c r="O30" s="166" t="str">
        <f>IF(F30="","",IF('GREEN SHEET'!AC30="",'GREEN SHEET'!Z30,'GREEN SHEET'!AC30))</f>
        <v/>
      </c>
      <c r="P30" s="167" t="str">
        <f>IF(F30="","",IF('GREEN SHEET'!AV30="",'GREEN SHEET'!AS30,'GREEN SHEET'!AV30))</f>
        <v/>
      </c>
      <c r="Q30" s="167" t="str">
        <f>IF(F30="","",IF('GREEN SHEET'!AW30="",'GREEN SHEET'!AT30,'GREEN SHEET'!AW30))</f>
        <v/>
      </c>
      <c r="R30" s="166" t="str">
        <f>IF(F30="","",IF('GREEN SHEET'!BO30="",'GREEN SHEET'!BL30,'GREEN SHEET'!BO30))</f>
        <v/>
      </c>
      <c r="S30" s="166" t="str">
        <f>IF(F30="","",IF('GREEN SHEET'!BP30="",'GREEN SHEET'!BM30,'GREEN SHEET'!BP30))</f>
        <v/>
      </c>
      <c r="T30" s="167" t="str">
        <f>IF(F30="","",IF('GREEN SHEET'!CH30="",'GREEN SHEET'!CE30,'GREEN SHEET'!CH30))</f>
        <v/>
      </c>
      <c r="U30" s="167" t="str">
        <f>IF(F30="","",IF('GREEN SHEET'!CI30="",'GREEN SHEET'!CF30,'GREEN SHEET'!CI30))</f>
        <v/>
      </c>
      <c r="V30" s="168" t="str">
        <f>IF(F30="","",IF('GREEN SHEET'!DA30="",'GREEN SHEET'!CX30,'GREEN SHEET'!DA30))</f>
        <v/>
      </c>
      <c r="W30" s="168" t="str">
        <f>IF(F30="","",IF('GREEN SHEET'!DB30="",'GREEN SHEET'!CY30,'GREEN SHEET'!DB30))</f>
        <v/>
      </c>
      <c r="X30" s="167" t="str">
        <f>IF(F30="","",IF('GREEN SHEET'!DT30="",'GREEN SHEET'!DQ30,'GREEN SHEET'!DT30))</f>
        <v/>
      </c>
      <c r="Y30" s="167" t="str">
        <f>IF(F30="","",IF('GREEN SHEET'!DU30="",'GREEN SHEET'!DR30,'GREEN SHEET'!DU30))</f>
        <v/>
      </c>
      <c r="Z30" s="169" t="str">
        <f>IF(F30="","",IF('GREEN SHEET'!FH30="",'GREEN SHEET'!EH30,'GREEN SHEET'!FH30))</f>
        <v/>
      </c>
      <c r="AA30" s="170" t="str">
        <f t="shared" si="1"/>
        <v/>
      </c>
      <c r="AB30" s="171" t="str">
        <f t="shared" si="7"/>
        <v/>
      </c>
      <c r="AC30" s="171" t="str">
        <f>IF(F30="","",IF('GREEN SHEET'!EN30="","",'GREEN SHEET'!EN30))</f>
        <v/>
      </c>
      <c r="AD30" s="174" t="str">
        <f>IF(AA30="","",RANK(AA30,AA$7:$AA$51,0)+COUNTIF($AA$7:AA30,AA30)-1)</f>
        <v/>
      </c>
      <c r="AE30" s="174" t="str">
        <f t="shared" si="2"/>
        <v/>
      </c>
      <c r="AF30" s="174" t="str">
        <f t="shared" si="3"/>
        <v/>
      </c>
      <c r="AG30" s="174" t="str">
        <f t="shared" si="4"/>
        <v/>
      </c>
    </row>
    <row r="31" spans="1:33" ht="17.399999999999999" hidden="1" thickBot="1" x14ac:dyDescent="0.3">
      <c r="A31" s="154"/>
      <c r="B31" s="25">
        <v>25</v>
      </c>
      <c r="C31" s="173" t="str">
        <f t="shared" si="5"/>
        <v/>
      </c>
      <c r="D31" s="173" t="str">
        <f t="shared" si="6"/>
        <v/>
      </c>
      <c r="E31" s="25" t="str">
        <f>IF('GREEN SHEET'!C31="","",'GREEN SHEET'!C31)</f>
        <v/>
      </c>
      <c r="F31" s="25" t="str">
        <f>IF('GREEN SHEET'!D31="","",'GREEN SHEET'!D31)</f>
        <v/>
      </c>
      <c r="G31" s="25" t="str">
        <f>IF('GREEN SHEET'!E31="","",'GREEN SHEET'!E31)</f>
        <v/>
      </c>
      <c r="H31" s="25" t="str">
        <f>IF('GREEN SHEET'!F31="","",'GREEN SHEET'!F31)</f>
        <v/>
      </c>
      <c r="I31" s="25" t="str">
        <f>IF('GREEN SHEET'!G31="","",'GREEN SHEET'!G31)</f>
        <v/>
      </c>
      <c r="J31" s="25" t="str">
        <f>IF('GREEN SHEET'!H31="","",'GREEN SHEET'!H31)</f>
        <v/>
      </c>
      <c r="K31" s="25" t="str">
        <f>IF('GREEN SHEET'!I31="","",'GREEN SHEET'!I31)</f>
        <v/>
      </c>
      <c r="L31" s="25" t="str">
        <f>IF('GREEN SHEET'!J31="","",'GREEN SHEET'!J31)</f>
        <v/>
      </c>
      <c r="M31" s="25" t="str">
        <f>IF('GREEN SHEET'!K31="","",'GREEN SHEET'!K31)</f>
        <v/>
      </c>
      <c r="N31" s="166" t="str">
        <f>IF(F31="","",IF('GREEN SHEET'!AB31="",'GREEN SHEET'!Y31,'GREEN SHEET'!AB31))</f>
        <v/>
      </c>
      <c r="O31" s="166" t="str">
        <f>IF(F31="","",IF('GREEN SHEET'!AC31="",'GREEN SHEET'!Z31,'GREEN SHEET'!AC31))</f>
        <v/>
      </c>
      <c r="P31" s="167" t="str">
        <f>IF(F31="","",IF('GREEN SHEET'!AV31="",'GREEN SHEET'!AS31,'GREEN SHEET'!AV31))</f>
        <v/>
      </c>
      <c r="Q31" s="167" t="str">
        <f>IF(F31="","",IF('GREEN SHEET'!AW31="",'GREEN SHEET'!AT31,'GREEN SHEET'!AW31))</f>
        <v/>
      </c>
      <c r="R31" s="166" t="str">
        <f>IF(F31="","",IF('GREEN SHEET'!BO31="",'GREEN SHEET'!BL31,'GREEN SHEET'!BO31))</f>
        <v/>
      </c>
      <c r="S31" s="166" t="str">
        <f>IF(F31="","",IF('GREEN SHEET'!BP31="",'GREEN SHEET'!BM31,'GREEN SHEET'!BP31))</f>
        <v/>
      </c>
      <c r="T31" s="167" t="str">
        <f>IF(F31="","",IF('GREEN SHEET'!CH31="",'GREEN SHEET'!CE31,'GREEN SHEET'!CH31))</f>
        <v/>
      </c>
      <c r="U31" s="167" t="str">
        <f>IF(F31="","",IF('GREEN SHEET'!CI31="",'GREEN SHEET'!CF31,'GREEN SHEET'!CI31))</f>
        <v/>
      </c>
      <c r="V31" s="168" t="str">
        <f>IF(F31="","",IF('GREEN SHEET'!DA31="",'GREEN SHEET'!CX31,'GREEN SHEET'!DA31))</f>
        <v/>
      </c>
      <c r="W31" s="168" t="str">
        <f>IF(F31="","",IF('GREEN SHEET'!DB31="",'GREEN SHEET'!CY31,'GREEN SHEET'!DB31))</f>
        <v/>
      </c>
      <c r="X31" s="167" t="str">
        <f>IF(F31="","",IF('GREEN SHEET'!DT31="",'GREEN SHEET'!DQ31,'GREEN SHEET'!DT31))</f>
        <v/>
      </c>
      <c r="Y31" s="167" t="str">
        <f>IF(F31="","",IF('GREEN SHEET'!DU31="",'GREEN SHEET'!DR31,'GREEN SHEET'!DU31))</f>
        <v/>
      </c>
      <c r="Z31" s="169" t="str">
        <f>IF(F31="","",IF('GREEN SHEET'!FH31="",'GREEN SHEET'!EH31,'GREEN SHEET'!FH31))</f>
        <v/>
      </c>
      <c r="AA31" s="170" t="str">
        <f t="shared" si="1"/>
        <v/>
      </c>
      <c r="AB31" s="171" t="str">
        <f t="shared" si="7"/>
        <v/>
      </c>
      <c r="AC31" s="171" t="str">
        <f>IF(F31="","",IF('GREEN SHEET'!EN31="","",'GREEN SHEET'!EN31))</f>
        <v/>
      </c>
      <c r="AD31" s="174" t="str">
        <f>IF(AA31="","",RANK(AA31,AA$7:$AA$51,0)+COUNTIF($AA$7:AA31,AA31)-1)</f>
        <v/>
      </c>
      <c r="AE31" s="174" t="str">
        <f t="shared" si="2"/>
        <v/>
      </c>
      <c r="AF31" s="174" t="str">
        <f t="shared" si="3"/>
        <v/>
      </c>
      <c r="AG31" s="174" t="str">
        <f t="shared" si="4"/>
        <v/>
      </c>
    </row>
    <row r="32" spans="1:33" ht="17.399999999999999" hidden="1" thickBot="1" x14ac:dyDescent="0.3">
      <c r="A32" s="154"/>
      <c r="B32" s="25">
        <v>26</v>
      </c>
      <c r="C32" s="173" t="str">
        <f t="shared" si="5"/>
        <v/>
      </c>
      <c r="D32" s="173" t="str">
        <f t="shared" si="6"/>
        <v/>
      </c>
      <c r="E32" s="25" t="str">
        <f>IF('GREEN SHEET'!C32="","",'GREEN SHEET'!C32)</f>
        <v/>
      </c>
      <c r="F32" s="25" t="str">
        <f>IF('GREEN SHEET'!D32="","",'GREEN SHEET'!D32)</f>
        <v/>
      </c>
      <c r="G32" s="25" t="str">
        <f>IF('GREEN SHEET'!E32="","",'GREEN SHEET'!E32)</f>
        <v/>
      </c>
      <c r="H32" s="25" t="str">
        <f>IF('GREEN SHEET'!F32="","",'GREEN SHEET'!F32)</f>
        <v/>
      </c>
      <c r="I32" s="25" t="str">
        <f>IF('GREEN SHEET'!G32="","",'GREEN SHEET'!G32)</f>
        <v/>
      </c>
      <c r="J32" s="25" t="str">
        <f>IF('GREEN SHEET'!H32="","",'GREEN SHEET'!H32)</f>
        <v/>
      </c>
      <c r="K32" s="25" t="str">
        <f>IF('GREEN SHEET'!I32="","",'GREEN SHEET'!I32)</f>
        <v/>
      </c>
      <c r="L32" s="25" t="str">
        <f>IF('GREEN SHEET'!J32="","",'GREEN SHEET'!J32)</f>
        <v/>
      </c>
      <c r="M32" s="25" t="str">
        <f>IF('GREEN SHEET'!K32="","",'GREEN SHEET'!K32)</f>
        <v/>
      </c>
      <c r="N32" s="166" t="str">
        <f>IF(F32="","",IF('GREEN SHEET'!AB32="",'GREEN SHEET'!Y32,'GREEN SHEET'!AB32))</f>
        <v/>
      </c>
      <c r="O32" s="166" t="str">
        <f>IF(F32="","",IF('GREEN SHEET'!AC32="",'GREEN SHEET'!Z32,'GREEN SHEET'!AC32))</f>
        <v/>
      </c>
      <c r="P32" s="167" t="str">
        <f>IF(F32="","",IF('GREEN SHEET'!AV32="",'GREEN SHEET'!AS32,'GREEN SHEET'!AV32))</f>
        <v/>
      </c>
      <c r="Q32" s="167" t="str">
        <f>IF(F32="","",IF('GREEN SHEET'!AW32="",'GREEN SHEET'!AT32,'GREEN SHEET'!AW32))</f>
        <v/>
      </c>
      <c r="R32" s="166" t="str">
        <f>IF(F32="","",IF('GREEN SHEET'!BO32="",'GREEN SHEET'!BL32,'GREEN SHEET'!BO32))</f>
        <v/>
      </c>
      <c r="S32" s="166" t="str">
        <f>IF(F32="","",IF('GREEN SHEET'!BP32="",'GREEN SHEET'!BM32,'GREEN SHEET'!BP32))</f>
        <v/>
      </c>
      <c r="T32" s="167" t="str">
        <f>IF(F32="","",IF('GREEN SHEET'!CH32="",'GREEN SHEET'!CE32,'GREEN SHEET'!CH32))</f>
        <v/>
      </c>
      <c r="U32" s="167" t="str">
        <f>IF(F32="","",IF('GREEN SHEET'!CI32="",'GREEN SHEET'!CF32,'GREEN SHEET'!CI32))</f>
        <v/>
      </c>
      <c r="V32" s="168" t="str">
        <f>IF(F32="","",IF('GREEN SHEET'!DA32="",'GREEN SHEET'!CX32,'GREEN SHEET'!DA32))</f>
        <v/>
      </c>
      <c r="W32" s="168" t="str">
        <f>IF(F32="","",IF('GREEN SHEET'!DB32="",'GREEN SHEET'!CY32,'GREEN SHEET'!DB32))</f>
        <v/>
      </c>
      <c r="X32" s="167" t="str">
        <f>IF(F32="","",IF('GREEN SHEET'!DT32="",'GREEN SHEET'!DQ32,'GREEN SHEET'!DT32))</f>
        <v/>
      </c>
      <c r="Y32" s="167" t="str">
        <f>IF(F32="","",IF('GREEN SHEET'!DU32="",'GREEN SHEET'!DR32,'GREEN SHEET'!DU32))</f>
        <v/>
      </c>
      <c r="Z32" s="169" t="str">
        <f>IF(F32="","",IF('GREEN SHEET'!FH32="",'GREEN SHEET'!EH32,'GREEN SHEET'!FH32))</f>
        <v/>
      </c>
      <c r="AA32" s="170" t="str">
        <f t="shared" si="1"/>
        <v/>
      </c>
      <c r="AB32" s="171" t="str">
        <f t="shared" si="7"/>
        <v/>
      </c>
      <c r="AC32" s="171" t="str">
        <f>IF(F32="","",IF('GREEN SHEET'!EN32="","",'GREEN SHEET'!EN32))</f>
        <v/>
      </c>
      <c r="AD32" s="174" t="str">
        <f>IF(AA32="","",RANK(AA32,AA$7:$AA$51,0)+COUNTIF($AA$7:AA32,AA32)-1)</f>
        <v/>
      </c>
      <c r="AE32" s="174" t="str">
        <f t="shared" si="2"/>
        <v/>
      </c>
      <c r="AF32" s="174" t="str">
        <f t="shared" si="3"/>
        <v/>
      </c>
      <c r="AG32" s="174" t="str">
        <f t="shared" si="4"/>
        <v/>
      </c>
    </row>
    <row r="33" spans="1:33" ht="17.399999999999999" hidden="1" thickBot="1" x14ac:dyDescent="0.3">
      <c r="A33" s="154"/>
      <c r="B33" s="25">
        <v>27</v>
      </c>
      <c r="C33" s="173" t="str">
        <f t="shared" si="5"/>
        <v/>
      </c>
      <c r="D33" s="173" t="str">
        <f t="shared" si="6"/>
        <v/>
      </c>
      <c r="E33" s="25" t="str">
        <f>IF('GREEN SHEET'!C33="","",'GREEN SHEET'!C33)</f>
        <v/>
      </c>
      <c r="F33" s="25" t="str">
        <f>IF('GREEN SHEET'!D33="","",'GREEN SHEET'!D33)</f>
        <v/>
      </c>
      <c r="G33" s="25" t="str">
        <f>IF('GREEN SHEET'!E33="","",'GREEN SHEET'!E33)</f>
        <v/>
      </c>
      <c r="H33" s="25" t="str">
        <f>IF('GREEN SHEET'!F33="","",'GREEN SHEET'!F33)</f>
        <v/>
      </c>
      <c r="I33" s="25" t="str">
        <f>IF('GREEN SHEET'!G33="","",'GREEN SHEET'!G33)</f>
        <v/>
      </c>
      <c r="J33" s="25" t="str">
        <f>IF('GREEN SHEET'!H33="","",'GREEN SHEET'!H33)</f>
        <v/>
      </c>
      <c r="K33" s="25" t="str">
        <f>IF('GREEN SHEET'!I33="","",'GREEN SHEET'!I33)</f>
        <v/>
      </c>
      <c r="L33" s="25" t="str">
        <f>IF('GREEN SHEET'!J33="","",'GREEN SHEET'!J33)</f>
        <v/>
      </c>
      <c r="M33" s="25" t="str">
        <f>IF('GREEN SHEET'!K33="","",'GREEN SHEET'!K33)</f>
        <v/>
      </c>
      <c r="N33" s="166" t="str">
        <f>IF(F33="","",IF('GREEN SHEET'!AB33="",'GREEN SHEET'!Y33,'GREEN SHEET'!AB33))</f>
        <v/>
      </c>
      <c r="O33" s="166" t="str">
        <f>IF(F33="","",IF('GREEN SHEET'!AC33="",'GREEN SHEET'!Z33,'GREEN SHEET'!AC33))</f>
        <v/>
      </c>
      <c r="P33" s="167" t="str">
        <f>IF(F33="","",IF('GREEN SHEET'!AV33="",'GREEN SHEET'!AS33,'GREEN SHEET'!AV33))</f>
        <v/>
      </c>
      <c r="Q33" s="167" t="str">
        <f>IF(F33="","",IF('GREEN SHEET'!AW33="",'GREEN SHEET'!AT33,'GREEN SHEET'!AW33))</f>
        <v/>
      </c>
      <c r="R33" s="166" t="str">
        <f>IF(F33="","",IF('GREEN SHEET'!BO33="",'GREEN SHEET'!BL33,'GREEN SHEET'!BO33))</f>
        <v/>
      </c>
      <c r="S33" s="166" t="str">
        <f>IF(F33="","",IF('GREEN SHEET'!BP33="",'GREEN SHEET'!BM33,'GREEN SHEET'!BP33))</f>
        <v/>
      </c>
      <c r="T33" s="167" t="str">
        <f>IF(F33="","",IF('GREEN SHEET'!CH33="",'GREEN SHEET'!CE33,'GREEN SHEET'!CH33))</f>
        <v/>
      </c>
      <c r="U33" s="167" t="str">
        <f>IF(F33="","",IF('GREEN SHEET'!CI33="",'GREEN SHEET'!CF33,'GREEN SHEET'!CI33))</f>
        <v/>
      </c>
      <c r="V33" s="168" t="str">
        <f>IF(F33="","",IF('GREEN SHEET'!DA33="",'GREEN SHEET'!CX33,'GREEN SHEET'!DA33))</f>
        <v/>
      </c>
      <c r="W33" s="168" t="str">
        <f>IF(F33="","",IF('GREEN SHEET'!DB33="",'GREEN SHEET'!CY33,'GREEN SHEET'!DB33))</f>
        <v/>
      </c>
      <c r="X33" s="167" t="str">
        <f>IF(F33="","",IF('GREEN SHEET'!DT33="",'GREEN SHEET'!DQ33,'GREEN SHEET'!DT33))</f>
        <v/>
      </c>
      <c r="Y33" s="167" t="str">
        <f>IF(F33="","",IF('GREEN SHEET'!DU33="",'GREEN SHEET'!DR33,'GREEN SHEET'!DU33))</f>
        <v/>
      </c>
      <c r="Z33" s="169" t="str">
        <f>IF(F33="","",IF('GREEN SHEET'!FH33="",'GREEN SHEET'!EH33,'GREEN SHEET'!FH33))</f>
        <v/>
      </c>
      <c r="AA33" s="170" t="str">
        <f t="shared" si="1"/>
        <v/>
      </c>
      <c r="AB33" s="171" t="str">
        <f t="shared" si="7"/>
        <v/>
      </c>
      <c r="AC33" s="171" t="str">
        <f>IF(F33="","",IF('GREEN SHEET'!EN33="","",'GREEN SHEET'!EN33))</f>
        <v/>
      </c>
      <c r="AD33" s="174" t="str">
        <f>IF(AA33="","",RANK(AA33,AA$7:$AA$51,0)+COUNTIF($AA$7:AA33,AA33)-1)</f>
        <v/>
      </c>
      <c r="AE33" s="174" t="str">
        <f t="shared" si="2"/>
        <v/>
      </c>
      <c r="AF33" s="174" t="str">
        <f t="shared" si="3"/>
        <v/>
      </c>
      <c r="AG33" s="174" t="str">
        <f t="shared" si="4"/>
        <v/>
      </c>
    </row>
    <row r="34" spans="1:33" ht="17.399999999999999" hidden="1" thickBot="1" x14ac:dyDescent="0.3">
      <c r="A34" s="154"/>
      <c r="B34" s="25">
        <v>28</v>
      </c>
      <c r="C34" s="173" t="str">
        <f t="shared" si="5"/>
        <v/>
      </c>
      <c r="D34" s="173" t="str">
        <f t="shared" si="6"/>
        <v/>
      </c>
      <c r="E34" s="25" t="str">
        <f>IF('GREEN SHEET'!C34="","",'GREEN SHEET'!C34)</f>
        <v/>
      </c>
      <c r="F34" s="25" t="str">
        <f>IF('GREEN SHEET'!D34="","",'GREEN SHEET'!D34)</f>
        <v/>
      </c>
      <c r="G34" s="25" t="str">
        <f>IF('GREEN SHEET'!E34="","",'GREEN SHEET'!E34)</f>
        <v/>
      </c>
      <c r="H34" s="25" t="str">
        <f>IF('GREEN SHEET'!F34="","",'GREEN SHEET'!F34)</f>
        <v/>
      </c>
      <c r="I34" s="25" t="str">
        <f>IF('GREEN SHEET'!G34="","",'GREEN SHEET'!G34)</f>
        <v/>
      </c>
      <c r="J34" s="25" t="str">
        <f>IF('GREEN SHEET'!H34="","",'GREEN SHEET'!H34)</f>
        <v/>
      </c>
      <c r="K34" s="25" t="str">
        <f>IF('GREEN SHEET'!I34="","",'GREEN SHEET'!I34)</f>
        <v/>
      </c>
      <c r="L34" s="25" t="str">
        <f>IF('GREEN SHEET'!J34="","",'GREEN SHEET'!J34)</f>
        <v/>
      </c>
      <c r="M34" s="25" t="str">
        <f>IF('GREEN SHEET'!K34="","",'GREEN SHEET'!K34)</f>
        <v/>
      </c>
      <c r="N34" s="166" t="str">
        <f>IF(F34="","",IF('GREEN SHEET'!AB34="",'GREEN SHEET'!Y34,'GREEN SHEET'!AB34))</f>
        <v/>
      </c>
      <c r="O34" s="166" t="str">
        <f>IF(F34="","",IF('GREEN SHEET'!AC34="",'GREEN SHEET'!Z34,'GREEN SHEET'!AC34))</f>
        <v/>
      </c>
      <c r="P34" s="167" t="str">
        <f>IF(F34="","",IF('GREEN SHEET'!AV34="",'GREEN SHEET'!AS34,'GREEN SHEET'!AV34))</f>
        <v/>
      </c>
      <c r="Q34" s="167" t="str">
        <f>IF(F34="","",IF('GREEN SHEET'!AW34="",'GREEN SHEET'!AT34,'GREEN SHEET'!AW34))</f>
        <v/>
      </c>
      <c r="R34" s="166" t="str">
        <f>IF(F34="","",IF('GREEN SHEET'!BO34="",'GREEN SHEET'!BL34,'GREEN SHEET'!BO34))</f>
        <v/>
      </c>
      <c r="S34" s="166" t="str">
        <f>IF(F34="","",IF('GREEN SHEET'!BP34="",'GREEN SHEET'!BM34,'GREEN SHEET'!BP34))</f>
        <v/>
      </c>
      <c r="T34" s="167" t="str">
        <f>IF(F34="","",IF('GREEN SHEET'!CH34="",'GREEN SHEET'!CE34,'GREEN SHEET'!CH34))</f>
        <v/>
      </c>
      <c r="U34" s="167" t="str">
        <f>IF(F34="","",IF('GREEN SHEET'!CI34="",'GREEN SHEET'!CF34,'GREEN SHEET'!CI34))</f>
        <v/>
      </c>
      <c r="V34" s="168" t="str">
        <f>IF(F34="","",IF('GREEN SHEET'!DA34="",'GREEN SHEET'!CX34,'GREEN SHEET'!DA34))</f>
        <v/>
      </c>
      <c r="W34" s="168" t="str">
        <f>IF(F34="","",IF('GREEN SHEET'!DB34="",'GREEN SHEET'!CY34,'GREEN SHEET'!DB34))</f>
        <v/>
      </c>
      <c r="X34" s="167" t="str">
        <f>IF(F34="","",IF('GREEN SHEET'!DT34="",'GREEN SHEET'!DQ34,'GREEN SHEET'!DT34))</f>
        <v/>
      </c>
      <c r="Y34" s="167" t="str">
        <f>IF(F34="","",IF('GREEN SHEET'!DU34="",'GREEN SHEET'!DR34,'GREEN SHEET'!DU34))</f>
        <v/>
      </c>
      <c r="Z34" s="169" t="str">
        <f>IF(F34="","",IF('GREEN SHEET'!FH34="",'GREEN SHEET'!EH34,'GREEN SHEET'!FH34))</f>
        <v/>
      </c>
      <c r="AA34" s="170" t="str">
        <f t="shared" si="1"/>
        <v/>
      </c>
      <c r="AB34" s="171" t="str">
        <f t="shared" si="7"/>
        <v/>
      </c>
      <c r="AC34" s="171" t="str">
        <f>IF(F34="","",IF('GREEN SHEET'!EN34="","",'GREEN SHEET'!EN34))</f>
        <v/>
      </c>
      <c r="AD34" s="174" t="str">
        <f>IF(AA34="","",RANK(AA34,AA$7:$AA$51,0)+COUNTIF($AA$7:AA34,AA34)-1)</f>
        <v/>
      </c>
      <c r="AE34" s="174" t="str">
        <f t="shared" si="2"/>
        <v/>
      </c>
      <c r="AF34" s="174" t="str">
        <f t="shared" si="3"/>
        <v/>
      </c>
      <c r="AG34" s="174" t="str">
        <f t="shared" si="4"/>
        <v/>
      </c>
    </row>
    <row r="35" spans="1:33" ht="17.399999999999999" hidden="1" thickBot="1" x14ac:dyDescent="0.3">
      <c r="A35" s="154"/>
      <c r="B35" s="25">
        <v>29</v>
      </c>
      <c r="C35" s="173" t="str">
        <f t="shared" si="5"/>
        <v/>
      </c>
      <c r="D35" s="173" t="str">
        <f t="shared" si="6"/>
        <v/>
      </c>
      <c r="E35" s="25" t="str">
        <f>IF('GREEN SHEET'!C35="","",'GREEN SHEET'!C35)</f>
        <v/>
      </c>
      <c r="F35" s="25" t="str">
        <f>IF('GREEN SHEET'!D35="","",'GREEN SHEET'!D35)</f>
        <v/>
      </c>
      <c r="G35" s="25" t="str">
        <f>IF('GREEN SHEET'!E35="","",'GREEN SHEET'!E35)</f>
        <v/>
      </c>
      <c r="H35" s="25" t="str">
        <f>IF('GREEN SHEET'!F35="","",'GREEN SHEET'!F35)</f>
        <v/>
      </c>
      <c r="I35" s="25" t="str">
        <f>IF('GREEN SHEET'!G35="","",'GREEN SHEET'!G35)</f>
        <v/>
      </c>
      <c r="J35" s="25" t="str">
        <f>IF('GREEN SHEET'!H35="","",'GREEN SHEET'!H35)</f>
        <v/>
      </c>
      <c r="K35" s="25" t="str">
        <f>IF('GREEN SHEET'!I35="","",'GREEN SHEET'!I35)</f>
        <v/>
      </c>
      <c r="L35" s="25" t="str">
        <f>IF('GREEN SHEET'!J35="","",'GREEN SHEET'!J35)</f>
        <v/>
      </c>
      <c r="M35" s="25" t="str">
        <f>IF('GREEN SHEET'!K35="","",'GREEN SHEET'!K35)</f>
        <v/>
      </c>
      <c r="N35" s="166" t="str">
        <f>IF(F35="","",IF('GREEN SHEET'!AB35="",'GREEN SHEET'!Y35,'GREEN SHEET'!AB35))</f>
        <v/>
      </c>
      <c r="O35" s="166" t="str">
        <f>IF(F35="","",IF('GREEN SHEET'!AC35="",'GREEN SHEET'!Z35,'GREEN SHEET'!AC35))</f>
        <v/>
      </c>
      <c r="P35" s="167" t="str">
        <f>IF(F35="","",IF('GREEN SHEET'!AV35="",'GREEN SHEET'!AS35,'GREEN SHEET'!AV35))</f>
        <v/>
      </c>
      <c r="Q35" s="167" t="str">
        <f>IF(F35="","",IF('GREEN SHEET'!AW35="",'GREEN SHEET'!AT35,'GREEN SHEET'!AW35))</f>
        <v/>
      </c>
      <c r="R35" s="166" t="str">
        <f>IF(F35="","",IF('GREEN SHEET'!BO35="",'GREEN SHEET'!BL35,'GREEN SHEET'!BO35))</f>
        <v/>
      </c>
      <c r="S35" s="166" t="str">
        <f>IF(F35="","",IF('GREEN SHEET'!BP35="",'GREEN SHEET'!BM35,'GREEN SHEET'!BP35))</f>
        <v/>
      </c>
      <c r="T35" s="167" t="str">
        <f>IF(F35="","",IF('GREEN SHEET'!CH35="",'GREEN SHEET'!CE35,'GREEN SHEET'!CH35))</f>
        <v/>
      </c>
      <c r="U35" s="167" t="str">
        <f>IF(F35="","",IF('GREEN SHEET'!CI35="",'GREEN SHEET'!CF35,'GREEN SHEET'!CI35))</f>
        <v/>
      </c>
      <c r="V35" s="168" t="str">
        <f>IF(F35="","",IF('GREEN SHEET'!DA35="",'GREEN SHEET'!CX35,'GREEN SHEET'!DA35))</f>
        <v/>
      </c>
      <c r="W35" s="168" t="str">
        <f>IF(F35="","",IF('GREEN SHEET'!DB35="",'GREEN SHEET'!CY35,'GREEN SHEET'!DB35))</f>
        <v/>
      </c>
      <c r="X35" s="167" t="str">
        <f>IF(F35="","",IF('GREEN SHEET'!DT35="",'GREEN SHEET'!DQ35,'GREEN SHEET'!DT35))</f>
        <v/>
      </c>
      <c r="Y35" s="167" t="str">
        <f>IF(F35="","",IF('GREEN SHEET'!DU35="",'GREEN SHEET'!DR35,'GREEN SHEET'!DU35))</f>
        <v/>
      </c>
      <c r="Z35" s="169" t="str">
        <f>IF(F35="","",IF('GREEN SHEET'!FH35="",'GREEN SHEET'!EH35,'GREEN SHEET'!FH35))</f>
        <v/>
      </c>
      <c r="AA35" s="170" t="str">
        <f t="shared" si="1"/>
        <v/>
      </c>
      <c r="AB35" s="171" t="str">
        <f t="shared" si="7"/>
        <v/>
      </c>
      <c r="AC35" s="171" t="str">
        <f>IF(F35="","",IF('GREEN SHEET'!EN35="","",'GREEN SHEET'!EN35))</f>
        <v/>
      </c>
      <c r="AD35" s="174" t="str">
        <f>IF(AA35="","",RANK(AA35,AA$7:$AA$51,0)+COUNTIF($AA$7:AA35,AA35)-1)</f>
        <v/>
      </c>
      <c r="AE35" s="174" t="str">
        <f t="shared" si="2"/>
        <v/>
      </c>
      <c r="AF35" s="174" t="str">
        <f t="shared" si="3"/>
        <v/>
      </c>
      <c r="AG35" s="174" t="str">
        <f t="shared" si="4"/>
        <v/>
      </c>
    </row>
    <row r="36" spans="1:33" ht="17.399999999999999" hidden="1" thickBot="1" x14ac:dyDescent="0.3">
      <c r="A36" s="154"/>
      <c r="B36" s="25">
        <v>30</v>
      </c>
      <c r="C36" s="173" t="str">
        <f t="shared" si="5"/>
        <v/>
      </c>
      <c r="D36" s="173" t="str">
        <f t="shared" si="6"/>
        <v/>
      </c>
      <c r="E36" s="25" t="str">
        <f>IF('GREEN SHEET'!C36="","",'GREEN SHEET'!C36)</f>
        <v/>
      </c>
      <c r="F36" s="25" t="str">
        <f>IF('GREEN SHEET'!D36="","",'GREEN SHEET'!D36)</f>
        <v/>
      </c>
      <c r="G36" s="25" t="str">
        <f>IF('GREEN SHEET'!E36="","",'GREEN SHEET'!E36)</f>
        <v/>
      </c>
      <c r="H36" s="25" t="str">
        <f>IF('GREEN SHEET'!F36="","",'GREEN SHEET'!F36)</f>
        <v/>
      </c>
      <c r="I36" s="25" t="str">
        <f>IF('GREEN SHEET'!G36="","",'GREEN SHEET'!G36)</f>
        <v/>
      </c>
      <c r="J36" s="25" t="str">
        <f>IF('GREEN SHEET'!H36="","",'GREEN SHEET'!H36)</f>
        <v/>
      </c>
      <c r="K36" s="25" t="str">
        <f>IF('GREEN SHEET'!I36="","",'GREEN SHEET'!I36)</f>
        <v/>
      </c>
      <c r="L36" s="25" t="str">
        <f>IF('GREEN SHEET'!J36="","",'GREEN SHEET'!J36)</f>
        <v/>
      </c>
      <c r="M36" s="25" t="str">
        <f>IF('GREEN SHEET'!K36="","",'GREEN SHEET'!K36)</f>
        <v/>
      </c>
      <c r="N36" s="166" t="str">
        <f>IF(F36="","",IF('GREEN SHEET'!AB36="",'GREEN SHEET'!Y36,'GREEN SHEET'!AB36))</f>
        <v/>
      </c>
      <c r="O36" s="166" t="str">
        <f>IF(F36="","",IF('GREEN SHEET'!AC36="",'GREEN SHEET'!Z36,'GREEN SHEET'!AC36))</f>
        <v/>
      </c>
      <c r="P36" s="167" t="str">
        <f>IF(F36="","",IF('GREEN SHEET'!AV36="",'GREEN SHEET'!AS36,'GREEN SHEET'!AV36))</f>
        <v/>
      </c>
      <c r="Q36" s="167" t="str">
        <f>IF(F36="","",IF('GREEN SHEET'!AW36="",'GREEN SHEET'!AT36,'GREEN SHEET'!AW36))</f>
        <v/>
      </c>
      <c r="R36" s="166" t="str">
        <f>IF(F36="","",IF('GREEN SHEET'!BO36="",'GREEN SHEET'!BL36,'GREEN SHEET'!BO36))</f>
        <v/>
      </c>
      <c r="S36" s="166" t="str">
        <f>IF(F36="","",IF('GREEN SHEET'!BP36="",'GREEN SHEET'!BM36,'GREEN SHEET'!BP36))</f>
        <v/>
      </c>
      <c r="T36" s="167" t="str">
        <f>IF(F36="","",IF('GREEN SHEET'!CH36="",'GREEN SHEET'!CE36,'GREEN SHEET'!CH36))</f>
        <v/>
      </c>
      <c r="U36" s="167" t="str">
        <f>IF(F36="","",IF('GREEN SHEET'!CI36="",'GREEN SHEET'!CF36,'GREEN SHEET'!CI36))</f>
        <v/>
      </c>
      <c r="V36" s="168" t="str">
        <f>IF(F36="","",IF('GREEN SHEET'!DA36="",'GREEN SHEET'!CX36,'GREEN SHEET'!DA36))</f>
        <v/>
      </c>
      <c r="W36" s="168" t="str">
        <f>IF(F36="","",IF('GREEN SHEET'!DB36="",'GREEN SHEET'!CY36,'GREEN SHEET'!DB36))</f>
        <v/>
      </c>
      <c r="X36" s="167" t="str">
        <f>IF(F36="","",IF('GREEN SHEET'!DT36="",'GREEN SHEET'!DQ36,'GREEN SHEET'!DT36))</f>
        <v/>
      </c>
      <c r="Y36" s="167" t="str">
        <f>IF(F36="","",IF('GREEN SHEET'!DU36="",'GREEN SHEET'!DR36,'GREEN SHEET'!DU36))</f>
        <v/>
      </c>
      <c r="Z36" s="169" t="str">
        <f>IF(F36="","",IF('GREEN SHEET'!FH36="",'GREEN SHEET'!EH36,'GREEN SHEET'!FH36))</f>
        <v/>
      </c>
      <c r="AA36" s="170" t="str">
        <f t="shared" si="1"/>
        <v/>
      </c>
      <c r="AB36" s="171" t="str">
        <f t="shared" si="7"/>
        <v/>
      </c>
      <c r="AC36" s="171" t="str">
        <f>IF(F36="","",IF('GREEN SHEET'!EN36="","",'GREEN SHEET'!EN36))</f>
        <v/>
      </c>
      <c r="AD36" s="174" t="str">
        <f>IF(AA36="","",RANK(AA36,AA$7:$AA$51,0)+COUNTIF($AA$7:AA36,AA36)-1)</f>
        <v/>
      </c>
      <c r="AE36" s="174" t="str">
        <f t="shared" si="2"/>
        <v/>
      </c>
      <c r="AF36" s="174" t="str">
        <f t="shared" si="3"/>
        <v/>
      </c>
      <c r="AG36" s="174" t="str">
        <f t="shared" si="4"/>
        <v/>
      </c>
    </row>
    <row r="37" spans="1:33" ht="17.399999999999999" hidden="1" thickBot="1" x14ac:dyDescent="0.3">
      <c r="A37" s="154"/>
      <c r="B37" s="25">
        <v>31</v>
      </c>
      <c r="C37" s="173" t="str">
        <f t="shared" si="5"/>
        <v/>
      </c>
      <c r="D37" s="173" t="str">
        <f t="shared" si="6"/>
        <v/>
      </c>
      <c r="E37" s="25" t="str">
        <f>IF('GREEN SHEET'!C37="","",'GREEN SHEET'!C37)</f>
        <v/>
      </c>
      <c r="F37" s="25" t="str">
        <f>IF('GREEN SHEET'!D37="","",'GREEN SHEET'!D37)</f>
        <v/>
      </c>
      <c r="G37" s="25" t="str">
        <f>IF('GREEN SHEET'!E37="","",'GREEN SHEET'!E37)</f>
        <v/>
      </c>
      <c r="H37" s="25" t="str">
        <f>IF('GREEN SHEET'!F37="","",'GREEN SHEET'!F37)</f>
        <v/>
      </c>
      <c r="I37" s="25" t="str">
        <f>IF('GREEN SHEET'!G37="","",'GREEN SHEET'!G37)</f>
        <v/>
      </c>
      <c r="J37" s="25" t="str">
        <f>IF('GREEN SHEET'!H37="","",'GREEN SHEET'!H37)</f>
        <v/>
      </c>
      <c r="K37" s="25" t="str">
        <f>IF('GREEN SHEET'!I37="","",'GREEN SHEET'!I37)</f>
        <v/>
      </c>
      <c r="L37" s="25" t="str">
        <f>IF('GREEN SHEET'!J37="","",'GREEN SHEET'!J37)</f>
        <v/>
      </c>
      <c r="M37" s="25" t="str">
        <f>IF('GREEN SHEET'!K37="","",'GREEN SHEET'!K37)</f>
        <v/>
      </c>
      <c r="N37" s="166" t="str">
        <f>IF(F37="","",IF('GREEN SHEET'!AB37="",'GREEN SHEET'!Y37,'GREEN SHEET'!AB37))</f>
        <v/>
      </c>
      <c r="O37" s="166" t="str">
        <f>IF(F37="","",IF('GREEN SHEET'!AC37="",'GREEN SHEET'!Z37,'GREEN SHEET'!AC37))</f>
        <v/>
      </c>
      <c r="P37" s="167" t="str">
        <f>IF(F37="","",IF('GREEN SHEET'!AV37="",'GREEN SHEET'!AS37,'GREEN SHEET'!AV37))</f>
        <v/>
      </c>
      <c r="Q37" s="167" t="str">
        <f>IF(F37="","",IF('GREEN SHEET'!AW37="",'GREEN SHEET'!AT37,'GREEN SHEET'!AW37))</f>
        <v/>
      </c>
      <c r="R37" s="166" t="str">
        <f>IF(F37="","",IF('GREEN SHEET'!BO37="",'GREEN SHEET'!BL37,'GREEN SHEET'!BO37))</f>
        <v/>
      </c>
      <c r="S37" s="166" t="str">
        <f>IF(F37="","",IF('GREEN SHEET'!BP37="",'GREEN SHEET'!BM37,'GREEN SHEET'!BP37))</f>
        <v/>
      </c>
      <c r="T37" s="167" t="str">
        <f>IF(F37="","",IF('GREEN SHEET'!CH37="",'GREEN SHEET'!CE37,'GREEN SHEET'!CH37))</f>
        <v/>
      </c>
      <c r="U37" s="167" t="str">
        <f>IF(F37="","",IF('GREEN SHEET'!CI37="",'GREEN SHEET'!CF37,'GREEN SHEET'!CI37))</f>
        <v/>
      </c>
      <c r="V37" s="168" t="str">
        <f>IF(F37="","",IF('GREEN SHEET'!DA37="",'GREEN SHEET'!CX37,'GREEN SHEET'!DA37))</f>
        <v/>
      </c>
      <c r="W37" s="168" t="str">
        <f>IF(F37="","",IF('GREEN SHEET'!DB37="",'GREEN SHEET'!CY37,'GREEN SHEET'!DB37))</f>
        <v/>
      </c>
      <c r="X37" s="167" t="str">
        <f>IF(F37="","",IF('GREEN SHEET'!DT37="",'GREEN SHEET'!DQ37,'GREEN SHEET'!DT37))</f>
        <v/>
      </c>
      <c r="Y37" s="167" t="str">
        <f>IF(F37="","",IF('GREEN SHEET'!DU37="",'GREEN SHEET'!DR37,'GREEN SHEET'!DU37))</f>
        <v/>
      </c>
      <c r="Z37" s="169" t="str">
        <f>IF(F37="","",IF('GREEN SHEET'!FH37="",'GREEN SHEET'!EH37,'GREEN SHEET'!FH37))</f>
        <v/>
      </c>
      <c r="AA37" s="170" t="str">
        <f t="shared" si="1"/>
        <v/>
      </c>
      <c r="AB37" s="171" t="str">
        <f t="shared" si="7"/>
        <v/>
      </c>
      <c r="AC37" s="171" t="str">
        <f>IF(F37="","",IF('GREEN SHEET'!EN37="","",'GREEN SHEET'!EN37))</f>
        <v/>
      </c>
      <c r="AD37" s="174" t="str">
        <f>IF(AA37="","",RANK(AA37,AA$7:$AA$51,0)+COUNTIF($AA$7:AA37,AA37)-1)</f>
        <v/>
      </c>
      <c r="AE37" s="174" t="str">
        <f t="shared" si="2"/>
        <v/>
      </c>
      <c r="AF37" s="174" t="str">
        <f t="shared" si="3"/>
        <v/>
      </c>
      <c r="AG37" s="174" t="str">
        <f t="shared" si="4"/>
        <v/>
      </c>
    </row>
    <row r="38" spans="1:33" ht="17.399999999999999" hidden="1" thickBot="1" x14ac:dyDescent="0.3">
      <c r="A38" s="154"/>
      <c r="B38" s="25">
        <v>32</v>
      </c>
      <c r="C38" s="173" t="str">
        <f t="shared" si="5"/>
        <v/>
      </c>
      <c r="D38" s="173" t="str">
        <f t="shared" si="6"/>
        <v/>
      </c>
      <c r="E38" s="25" t="str">
        <f>IF('GREEN SHEET'!C38="","",'GREEN SHEET'!C38)</f>
        <v/>
      </c>
      <c r="F38" s="25" t="str">
        <f>IF('GREEN SHEET'!D38="","",'GREEN SHEET'!D38)</f>
        <v/>
      </c>
      <c r="G38" s="25" t="str">
        <f>IF('GREEN SHEET'!E38="","",'GREEN SHEET'!E38)</f>
        <v/>
      </c>
      <c r="H38" s="25" t="str">
        <f>IF('GREEN SHEET'!F38="","",'GREEN SHEET'!F38)</f>
        <v/>
      </c>
      <c r="I38" s="25" t="str">
        <f>IF('GREEN SHEET'!G38="","",'GREEN SHEET'!G38)</f>
        <v/>
      </c>
      <c r="J38" s="25" t="str">
        <f>IF('GREEN SHEET'!H38="","",'GREEN SHEET'!H38)</f>
        <v/>
      </c>
      <c r="K38" s="25" t="str">
        <f>IF('GREEN SHEET'!I38="","",'GREEN SHEET'!I38)</f>
        <v/>
      </c>
      <c r="L38" s="25" t="str">
        <f>IF('GREEN SHEET'!J38="","",'GREEN SHEET'!J38)</f>
        <v/>
      </c>
      <c r="M38" s="25" t="str">
        <f>IF('GREEN SHEET'!K38="","",'GREEN SHEET'!K38)</f>
        <v/>
      </c>
      <c r="N38" s="166" t="str">
        <f>IF(F38="","",IF('GREEN SHEET'!AB38="",'GREEN SHEET'!Y38,'GREEN SHEET'!AB38))</f>
        <v/>
      </c>
      <c r="O38" s="166" t="str">
        <f>IF(F38="","",IF('GREEN SHEET'!AC38="",'GREEN SHEET'!Z38,'GREEN SHEET'!AC38))</f>
        <v/>
      </c>
      <c r="P38" s="167" t="str">
        <f>IF(F38="","",IF('GREEN SHEET'!AV38="",'GREEN SHEET'!AS38,'GREEN SHEET'!AV38))</f>
        <v/>
      </c>
      <c r="Q38" s="167" t="str">
        <f>IF(F38="","",IF('GREEN SHEET'!AW38="",'GREEN SHEET'!AT38,'GREEN SHEET'!AW38))</f>
        <v/>
      </c>
      <c r="R38" s="166" t="str">
        <f>IF(F38="","",IF('GREEN SHEET'!BO38="",'GREEN SHEET'!BL38,'GREEN SHEET'!BO38))</f>
        <v/>
      </c>
      <c r="S38" s="166" t="str">
        <f>IF(F38="","",IF('GREEN SHEET'!BP38="",'GREEN SHEET'!BM38,'GREEN SHEET'!BP38))</f>
        <v/>
      </c>
      <c r="T38" s="167" t="str">
        <f>IF(F38="","",IF('GREEN SHEET'!CH38="",'GREEN SHEET'!CE38,'GREEN SHEET'!CH38))</f>
        <v/>
      </c>
      <c r="U38" s="167" t="str">
        <f>IF(F38="","",IF('GREEN SHEET'!CI38="",'GREEN SHEET'!CF38,'GREEN SHEET'!CI38))</f>
        <v/>
      </c>
      <c r="V38" s="168" t="str">
        <f>IF(F38="","",IF('GREEN SHEET'!DA38="",'GREEN SHEET'!CX38,'GREEN SHEET'!DA38))</f>
        <v/>
      </c>
      <c r="W38" s="168" t="str">
        <f>IF(F38="","",IF('GREEN SHEET'!DB38="",'GREEN SHEET'!CY38,'GREEN SHEET'!DB38))</f>
        <v/>
      </c>
      <c r="X38" s="167" t="str">
        <f>IF(F38="","",IF('GREEN SHEET'!DT38="",'GREEN SHEET'!DQ38,'GREEN SHEET'!DT38))</f>
        <v/>
      </c>
      <c r="Y38" s="167" t="str">
        <f>IF(F38="","",IF('GREEN SHEET'!DU38="",'GREEN SHEET'!DR38,'GREEN SHEET'!DU38))</f>
        <v/>
      </c>
      <c r="Z38" s="169" t="str">
        <f>IF(F38="","",IF('GREEN SHEET'!FH38="",'GREEN SHEET'!EH38,'GREEN SHEET'!FH38))</f>
        <v/>
      </c>
      <c r="AA38" s="170" t="str">
        <f t="shared" si="1"/>
        <v/>
      </c>
      <c r="AB38" s="171" t="str">
        <f t="shared" si="7"/>
        <v/>
      </c>
      <c r="AC38" s="171" t="str">
        <f>IF(F38="","",IF('GREEN SHEET'!EN38="","",'GREEN SHEET'!EN38))</f>
        <v/>
      </c>
      <c r="AD38" s="174" t="str">
        <f>IF(AA38="","",RANK(AA38,AA$7:$AA$51,0)+COUNTIF($AA$7:AA38,AA38)-1)</f>
        <v/>
      </c>
      <c r="AE38" s="174" t="str">
        <f t="shared" si="2"/>
        <v/>
      </c>
      <c r="AF38" s="174" t="str">
        <f t="shared" si="3"/>
        <v/>
      </c>
      <c r="AG38" s="174" t="str">
        <f t="shared" si="4"/>
        <v/>
      </c>
    </row>
    <row r="39" spans="1:33" ht="17.399999999999999" hidden="1" thickBot="1" x14ac:dyDescent="0.3">
      <c r="A39" s="154"/>
      <c r="B39" s="25">
        <v>33</v>
      </c>
      <c r="C39" s="173" t="str">
        <f t="shared" si="5"/>
        <v/>
      </c>
      <c r="D39" s="173" t="str">
        <f t="shared" si="6"/>
        <v/>
      </c>
      <c r="E39" s="25" t="str">
        <f>IF('GREEN SHEET'!C39="","",'GREEN SHEET'!C39)</f>
        <v/>
      </c>
      <c r="F39" s="25" t="str">
        <f>IF('GREEN SHEET'!D39="","",'GREEN SHEET'!D39)</f>
        <v/>
      </c>
      <c r="G39" s="25" t="str">
        <f>IF('GREEN SHEET'!E39="","",'GREEN SHEET'!E39)</f>
        <v/>
      </c>
      <c r="H39" s="25" t="str">
        <f>IF('GREEN SHEET'!F39="","",'GREEN SHEET'!F39)</f>
        <v/>
      </c>
      <c r="I39" s="25" t="str">
        <f>IF('GREEN SHEET'!G39="","",'GREEN SHEET'!G39)</f>
        <v/>
      </c>
      <c r="J39" s="25" t="str">
        <f>IF('GREEN SHEET'!H39="","",'GREEN SHEET'!H39)</f>
        <v/>
      </c>
      <c r="K39" s="25" t="str">
        <f>IF('GREEN SHEET'!I39="","",'GREEN SHEET'!I39)</f>
        <v/>
      </c>
      <c r="L39" s="25" t="str">
        <f>IF('GREEN SHEET'!J39="","",'GREEN SHEET'!J39)</f>
        <v/>
      </c>
      <c r="M39" s="25" t="str">
        <f>IF('GREEN SHEET'!K39="","",'GREEN SHEET'!K39)</f>
        <v/>
      </c>
      <c r="N39" s="166" t="str">
        <f>IF(F39="","",IF('GREEN SHEET'!AB39="",'GREEN SHEET'!Y39,'GREEN SHEET'!AB39))</f>
        <v/>
      </c>
      <c r="O39" s="166" t="str">
        <f>IF(F39="","",IF('GREEN SHEET'!AC39="",'GREEN SHEET'!Z39,'GREEN SHEET'!AC39))</f>
        <v/>
      </c>
      <c r="P39" s="167" t="str">
        <f>IF(F39="","",IF('GREEN SHEET'!AV39="",'GREEN SHEET'!AS39,'GREEN SHEET'!AV39))</f>
        <v/>
      </c>
      <c r="Q39" s="167" t="str">
        <f>IF(F39="","",IF('GREEN SHEET'!AW39="",'GREEN SHEET'!AT39,'GREEN SHEET'!AW39))</f>
        <v/>
      </c>
      <c r="R39" s="166" t="str">
        <f>IF(F39="","",IF('GREEN SHEET'!BO39="",'GREEN SHEET'!BL39,'GREEN SHEET'!BO39))</f>
        <v/>
      </c>
      <c r="S39" s="166" t="str">
        <f>IF(F39="","",IF('GREEN SHEET'!BP39="",'GREEN SHEET'!BM39,'GREEN SHEET'!BP39))</f>
        <v/>
      </c>
      <c r="T39" s="167" t="str">
        <f>IF(F39="","",IF('GREEN SHEET'!CH39="",'GREEN SHEET'!CE39,'GREEN SHEET'!CH39))</f>
        <v/>
      </c>
      <c r="U39" s="167" t="str">
        <f>IF(F39="","",IF('GREEN SHEET'!CI39="",'GREEN SHEET'!CF39,'GREEN SHEET'!CI39))</f>
        <v/>
      </c>
      <c r="V39" s="168" t="str">
        <f>IF(F39="","",IF('GREEN SHEET'!DA39="",'GREEN SHEET'!CX39,'GREEN SHEET'!DA39))</f>
        <v/>
      </c>
      <c r="W39" s="168" t="str">
        <f>IF(F39="","",IF('GREEN SHEET'!DB39="",'GREEN SHEET'!CY39,'GREEN SHEET'!DB39))</f>
        <v/>
      </c>
      <c r="X39" s="167" t="str">
        <f>IF(F39="","",IF('GREEN SHEET'!DT39="",'GREEN SHEET'!DQ39,'GREEN SHEET'!DT39))</f>
        <v/>
      </c>
      <c r="Y39" s="167" t="str">
        <f>IF(F39="","",IF('GREEN SHEET'!DU39="",'GREEN SHEET'!DR39,'GREEN SHEET'!DU39))</f>
        <v/>
      </c>
      <c r="Z39" s="169" t="str">
        <f>IF(F39="","",IF('GREEN SHEET'!FH39="",'GREEN SHEET'!EH39,'GREEN SHEET'!FH39))</f>
        <v/>
      </c>
      <c r="AA39" s="170" t="str">
        <f t="shared" si="1"/>
        <v/>
      </c>
      <c r="AB39" s="171" t="str">
        <f t="shared" si="7"/>
        <v/>
      </c>
      <c r="AC39" s="171" t="str">
        <f>IF(F39="","",IF('GREEN SHEET'!EN39="","",'GREEN SHEET'!EN39))</f>
        <v/>
      </c>
      <c r="AD39" s="174" t="str">
        <f>IF(AA39="","",RANK(AA39,AA$7:$AA$51,0)+COUNTIF($AA$7:AA39,AA39)-1)</f>
        <v/>
      </c>
      <c r="AE39" s="174" t="str">
        <f t="shared" si="2"/>
        <v/>
      </c>
      <c r="AF39" s="174" t="str">
        <f t="shared" si="3"/>
        <v/>
      </c>
      <c r="AG39" s="174" t="str">
        <f t="shared" si="4"/>
        <v/>
      </c>
    </row>
    <row r="40" spans="1:33" ht="17.399999999999999" hidden="1" thickBot="1" x14ac:dyDescent="0.3">
      <c r="A40" s="154"/>
      <c r="B40" s="25">
        <v>34</v>
      </c>
      <c r="C40" s="173" t="str">
        <f t="shared" si="5"/>
        <v/>
      </c>
      <c r="D40" s="173" t="str">
        <f t="shared" si="6"/>
        <v/>
      </c>
      <c r="E40" s="25" t="str">
        <f>IF('GREEN SHEET'!C40="","",'GREEN SHEET'!C40)</f>
        <v/>
      </c>
      <c r="F40" s="25" t="str">
        <f>IF('GREEN SHEET'!D40="","",'GREEN SHEET'!D40)</f>
        <v/>
      </c>
      <c r="G40" s="25" t="str">
        <f>IF('GREEN SHEET'!E40="","",'GREEN SHEET'!E40)</f>
        <v/>
      </c>
      <c r="H40" s="25" t="str">
        <f>IF('GREEN SHEET'!F40="","",'GREEN SHEET'!F40)</f>
        <v/>
      </c>
      <c r="I40" s="25" t="str">
        <f>IF('GREEN SHEET'!G40="","",'GREEN SHEET'!G40)</f>
        <v/>
      </c>
      <c r="J40" s="25" t="str">
        <f>IF('GREEN SHEET'!H40="","",'GREEN SHEET'!H40)</f>
        <v/>
      </c>
      <c r="K40" s="25" t="str">
        <f>IF('GREEN SHEET'!I40="","",'GREEN SHEET'!I40)</f>
        <v/>
      </c>
      <c r="L40" s="25" t="str">
        <f>IF('GREEN SHEET'!J40="","",'GREEN SHEET'!J40)</f>
        <v/>
      </c>
      <c r="M40" s="25" t="str">
        <f>IF('GREEN SHEET'!K40="","",'GREEN SHEET'!K40)</f>
        <v/>
      </c>
      <c r="N40" s="166" t="str">
        <f>IF(F40="","",IF('GREEN SHEET'!AB40="",'GREEN SHEET'!Y40,'GREEN SHEET'!AB40))</f>
        <v/>
      </c>
      <c r="O40" s="166" t="str">
        <f>IF(F40="","",IF('GREEN SHEET'!AC40="",'GREEN SHEET'!Z40,'GREEN SHEET'!AC40))</f>
        <v/>
      </c>
      <c r="P40" s="167" t="str">
        <f>IF(F40="","",IF('GREEN SHEET'!AV40="",'GREEN SHEET'!AS40,'GREEN SHEET'!AV40))</f>
        <v/>
      </c>
      <c r="Q40" s="167" t="str">
        <f>IF(F40="","",IF('GREEN SHEET'!AW40="",'GREEN SHEET'!AT40,'GREEN SHEET'!AW40))</f>
        <v/>
      </c>
      <c r="R40" s="166" t="str">
        <f>IF(F40="","",IF('GREEN SHEET'!BO40="",'GREEN SHEET'!BL40,'GREEN SHEET'!BO40))</f>
        <v/>
      </c>
      <c r="S40" s="166" t="str">
        <f>IF(F40="","",IF('GREEN SHEET'!BP40="",'GREEN SHEET'!BM40,'GREEN SHEET'!BP40))</f>
        <v/>
      </c>
      <c r="T40" s="167" t="str">
        <f>IF(F40="","",IF('GREEN SHEET'!CH40="",'GREEN SHEET'!CE40,'GREEN SHEET'!CH40))</f>
        <v/>
      </c>
      <c r="U40" s="167" t="str">
        <f>IF(F40="","",IF('GREEN SHEET'!CI40="",'GREEN SHEET'!CF40,'GREEN SHEET'!CI40))</f>
        <v/>
      </c>
      <c r="V40" s="168" t="str">
        <f>IF(F40="","",IF('GREEN SHEET'!DA40="",'GREEN SHEET'!CX40,'GREEN SHEET'!DA40))</f>
        <v/>
      </c>
      <c r="W40" s="168" t="str">
        <f>IF(F40="","",IF('GREEN SHEET'!DB40="",'GREEN SHEET'!CY40,'GREEN SHEET'!DB40))</f>
        <v/>
      </c>
      <c r="X40" s="167" t="str">
        <f>IF(F40="","",IF('GREEN SHEET'!DT40="",'GREEN SHEET'!DQ40,'GREEN SHEET'!DT40))</f>
        <v/>
      </c>
      <c r="Y40" s="167" t="str">
        <f>IF(F40="","",IF('GREEN SHEET'!DU40="",'GREEN SHEET'!DR40,'GREEN SHEET'!DU40))</f>
        <v/>
      </c>
      <c r="Z40" s="169" t="str">
        <f>IF(F40="","",IF('GREEN SHEET'!FH40="",'GREEN SHEET'!EH40,'GREEN SHEET'!FH40))</f>
        <v/>
      </c>
      <c r="AA40" s="170" t="str">
        <f t="shared" si="1"/>
        <v/>
      </c>
      <c r="AB40" s="171" t="str">
        <f t="shared" si="7"/>
        <v/>
      </c>
      <c r="AC40" s="171" t="str">
        <f>IF(F40="","",IF('GREEN SHEET'!EN40="","",'GREEN SHEET'!EN40))</f>
        <v/>
      </c>
      <c r="AD40" s="174" t="str">
        <f>IF(AA40="","",RANK(AA40,AA$7:$AA$51,0)+COUNTIF($AA$7:AA40,AA40)-1)</f>
        <v/>
      </c>
      <c r="AE40" s="174" t="str">
        <f t="shared" si="2"/>
        <v/>
      </c>
      <c r="AF40" s="174" t="str">
        <f t="shared" si="3"/>
        <v/>
      </c>
      <c r="AG40" s="174" t="str">
        <f t="shared" si="4"/>
        <v/>
      </c>
    </row>
    <row r="41" spans="1:33" ht="17.399999999999999" hidden="1" thickBot="1" x14ac:dyDescent="0.3">
      <c r="A41" s="154"/>
      <c r="B41" s="25">
        <v>35</v>
      </c>
      <c r="C41" s="173" t="str">
        <f t="shared" si="5"/>
        <v/>
      </c>
      <c r="D41" s="173" t="str">
        <f t="shared" si="6"/>
        <v/>
      </c>
      <c r="E41" s="25" t="str">
        <f>IF('GREEN SHEET'!C41="","",'GREEN SHEET'!C41)</f>
        <v/>
      </c>
      <c r="F41" s="25" t="str">
        <f>IF('GREEN SHEET'!D41="","",'GREEN SHEET'!D41)</f>
        <v/>
      </c>
      <c r="G41" s="25" t="str">
        <f>IF('GREEN SHEET'!E41="","",'GREEN SHEET'!E41)</f>
        <v/>
      </c>
      <c r="H41" s="25" t="str">
        <f>IF('GREEN SHEET'!F41="","",'GREEN SHEET'!F41)</f>
        <v/>
      </c>
      <c r="I41" s="25" t="str">
        <f>IF('GREEN SHEET'!G41="","",'GREEN SHEET'!G41)</f>
        <v/>
      </c>
      <c r="J41" s="25" t="str">
        <f>IF('GREEN SHEET'!H41="","",'GREEN SHEET'!H41)</f>
        <v/>
      </c>
      <c r="K41" s="25" t="str">
        <f>IF('GREEN SHEET'!I41="","",'GREEN SHEET'!I41)</f>
        <v/>
      </c>
      <c r="L41" s="25" t="str">
        <f>IF('GREEN SHEET'!J41="","",'GREEN SHEET'!J41)</f>
        <v/>
      </c>
      <c r="M41" s="25" t="str">
        <f>IF('GREEN SHEET'!K41="","",'GREEN SHEET'!K41)</f>
        <v/>
      </c>
      <c r="N41" s="166" t="str">
        <f>IF(F41="","",IF('GREEN SHEET'!AB41="",'GREEN SHEET'!Y41,'GREEN SHEET'!AB41))</f>
        <v/>
      </c>
      <c r="O41" s="166" t="str">
        <f>IF(F41="","",IF('GREEN SHEET'!AC41="",'GREEN SHEET'!Z41,'GREEN SHEET'!AC41))</f>
        <v/>
      </c>
      <c r="P41" s="167" t="str">
        <f>IF(F41="","",IF('GREEN SHEET'!AV41="",'GREEN SHEET'!AS41,'GREEN SHEET'!AV41))</f>
        <v/>
      </c>
      <c r="Q41" s="167" t="str">
        <f>IF(F41="","",IF('GREEN SHEET'!AW41="",'GREEN SHEET'!AT41,'GREEN SHEET'!AW41))</f>
        <v/>
      </c>
      <c r="R41" s="166" t="str">
        <f>IF(F41="","",IF('GREEN SHEET'!BO41="",'GREEN SHEET'!BL41,'GREEN SHEET'!BO41))</f>
        <v/>
      </c>
      <c r="S41" s="166" t="str">
        <f>IF(F41="","",IF('GREEN SHEET'!BP41="",'GREEN SHEET'!BM41,'GREEN SHEET'!BP41))</f>
        <v/>
      </c>
      <c r="T41" s="167" t="str">
        <f>IF(F41="","",IF('GREEN SHEET'!CH41="",'GREEN SHEET'!CE41,'GREEN SHEET'!CH41))</f>
        <v/>
      </c>
      <c r="U41" s="167" t="str">
        <f>IF(F41="","",IF('GREEN SHEET'!CI41="",'GREEN SHEET'!CF41,'GREEN SHEET'!CI41))</f>
        <v/>
      </c>
      <c r="V41" s="168" t="str">
        <f>IF(F41="","",IF('GREEN SHEET'!DA41="",'GREEN SHEET'!CX41,'GREEN SHEET'!DA41))</f>
        <v/>
      </c>
      <c r="W41" s="168" t="str">
        <f>IF(F41="","",IF('GREEN SHEET'!DB41="",'GREEN SHEET'!CY41,'GREEN SHEET'!DB41))</f>
        <v/>
      </c>
      <c r="X41" s="167" t="str">
        <f>IF(F41="","",IF('GREEN SHEET'!DT41="",'GREEN SHEET'!DQ41,'GREEN SHEET'!DT41))</f>
        <v/>
      </c>
      <c r="Y41" s="167" t="str">
        <f>IF(F41="","",IF('GREEN SHEET'!DU41="",'GREEN SHEET'!DR41,'GREEN SHEET'!DU41))</f>
        <v/>
      </c>
      <c r="Z41" s="169" t="str">
        <f>IF(F41="","",IF('GREEN SHEET'!FH41="",'GREEN SHEET'!EH41,'GREEN SHEET'!FH41))</f>
        <v/>
      </c>
      <c r="AA41" s="170" t="str">
        <f t="shared" si="1"/>
        <v/>
      </c>
      <c r="AB41" s="171" t="str">
        <f t="shared" si="7"/>
        <v/>
      </c>
      <c r="AC41" s="171" t="str">
        <f>IF(F41="","",IF('GREEN SHEET'!EN41="","",'GREEN SHEET'!EN41))</f>
        <v/>
      </c>
      <c r="AD41" s="174" t="str">
        <f>IF(AA41="","",RANK(AA41,AA$7:$AA$51,0)+COUNTIF($AA$7:AA41,AA41)-1)</f>
        <v/>
      </c>
      <c r="AE41" s="174" t="str">
        <f t="shared" si="2"/>
        <v/>
      </c>
      <c r="AF41" s="174" t="str">
        <f t="shared" si="3"/>
        <v/>
      </c>
      <c r="AG41" s="174" t="str">
        <f t="shared" si="4"/>
        <v/>
      </c>
    </row>
    <row r="42" spans="1:33" ht="17.399999999999999" hidden="1" thickBot="1" x14ac:dyDescent="0.3">
      <c r="A42" s="154"/>
      <c r="B42" s="25">
        <v>36</v>
      </c>
      <c r="C42" s="173" t="str">
        <f t="shared" si="5"/>
        <v/>
      </c>
      <c r="D42" s="173" t="str">
        <f t="shared" si="6"/>
        <v/>
      </c>
      <c r="E42" s="25" t="str">
        <f>IF('GREEN SHEET'!C42="","",'GREEN SHEET'!C42)</f>
        <v/>
      </c>
      <c r="F42" s="25" t="str">
        <f>IF('GREEN SHEET'!D42="","",'GREEN SHEET'!D42)</f>
        <v/>
      </c>
      <c r="G42" s="25" t="str">
        <f>IF('GREEN SHEET'!E42="","",'GREEN SHEET'!E42)</f>
        <v/>
      </c>
      <c r="H42" s="25" t="str">
        <f>IF('GREEN SHEET'!F42="","",'GREEN SHEET'!F42)</f>
        <v/>
      </c>
      <c r="I42" s="25" t="str">
        <f>IF('GREEN SHEET'!G42="","",'GREEN SHEET'!G42)</f>
        <v/>
      </c>
      <c r="J42" s="25" t="str">
        <f>IF('GREEN SHEET'!H42="","",'GREEN SHEET'!H42)</f>
        <v/>
      </c>
      <c r="K42" s="25" t="str">
        <f>IF('GREEN SHEET'!I42="","",'GREEN SHEET'!I42)</f>
        <v/>
      </c>
      <c r="L42" s="25" t="str">
        <f>IF('GREEN SHEET'!J42="","",'GREEN SHEET'!J42)</f>
        <v/>
      </c>
      <c r="M42" s="25" t="str">
        <f>IF('GREEN SHEET'!K42="","",'GREEN SHEET'!K42)</f>
        <v/>
      </c>
      <c r="N42" s="166" t="str">
        <f>IF(F42="","",IF('GREEN SHEET'!AB42="",'GREEN SHEET'!Y42,'GREEN SHEET'!AB42))</f>
        <v/>
      </c>
      <c r="O42" s="166" t="str">
        <f>IF(F42="","",IF('GREEN SHEET'!AC42="",'GREEN SHEET'!Z42,'GREEN SHEET'!AC42))</f>
        <v/>
      </c>
      <c r="P42" s="167" t="str">
        <f>IF(F42="","",IF('GREEN SHEET'!AV42="",'GREEN SHEET'!AS42,'GREEN SHEET'!AV42))</f>
        <v/>
      </c>
      <c r="Q42" s="167" t="str">
        <f>IF(F42="","",IF('GREEN SHEET'!AW42="",'GREEN SHEET'!AT42,'GREEN SHEET'!AW42))</f>
        <v/>
      </c>
      <c r="R42" s="166" t="str">
        <f>IF(F42="","",IF('GREEN SHEET'!BO42="",'GREEN SHEET'!BL42,'GREEN SHEET'!BO42))</f>
        <v/>
      </c>
      <c r="S42" s="166" t="str">
        <f>IF(F42="","",IF('GREEN SHEET'!BP42="",'GREEN SHEET'!BM42,'GREEN SHEET'!BP42))</f>
        <v/>
      </c>
      <c r="T42" s="167" t="str">
        <f>IF(F42="","",IF('GREEN SHEET'!CH42="",'GREEN SHEET'!CE42,'GREEN SHEET'!CH42))</f>
        <v/>
      </c>
      <c r="U42" s="167" t="str">
        <f>IF(F42="","",IF('GREEN SHEET'!CI42="",'GREEN SHEET'!CF42,'GREEN SHEET'!CI42))</f>
        <v/>
      </c>
      <c r="V42" s="168" t="str">
        <f>IF(F42="","",IF('GREEN SHEET'!DA42="",'GREEN SHEET'!CX42,'GREEN SHEET'!DA42))</f>
        <v/>
      </c>
      <c r="W42" s="168" t="str">
        <f>IF(F42="","",IF('GREEN SHEET'!DB42="",'GREEN SHEET'!CY42,'GREEN SHEET'!DB42))</f>
        <v/>
      </c>
      <c r="X42" s="167" t="str">
        <f>IF(F42="","",IF('GREEN SHEET'!DT42="",'GREEN SHEET'!DQ42,'GREEN SHEET'!DT42))</f>
        <v/>
      </c>
      <c r="Y42" s="167" t="str">
        <f>IF(F42="","",IF('GREEN SHEET'!DU42="",'GREEN SHEET'!DR42,'GREEN SHEET'!DU42))</f>
        <v/>
      </c>
      <c r="Z42" s="169" t="str">
        <f>IF(F42="","",IF('GREEN SHEET'!FH42="",'GREEN SHEET'!EH42,'GREEN SHEET'!FH42))</f>
        <v/>
      </c>
      <c r="AA42" s="170" t="str">
        <f t="shared" si="1"/>
        <v/>
      </c>
      <c r="AB42" s="171" t="str">
        <f t="shared" si="7"/>
        <v/>
      </c>
      <c r="AC42" s="171" t="str">
        <f>IF(F42="","",IF('GREEN SHEET'!EN42="","",'GREEN SHEET'!EN42))</f>
        <v/>
      </c>
      <c r="AD42" s="174" t="str">
        <f>IF(AA42="","",RANK(AA42,AA$7:$AA$51,0)+COUNTIF($AA$7:AA42,AA42)-1)</f>
        <v/>
      </c>
      <c r="AE42" s="174" t="str">
        <f t="shared" si="2"/>
        <v/>
      </c>
      <c r="AF42" s="174" t="str">
        <f t="shared" si="3"/>
        <v/>
      </c>
      <c r="AG42" s="174" t="str">
        <f t="shared" si="4"/>
        <v/>
      </c>
    </row>
    <row r="43" spans="1:33" ht="17.399999999999999" hidden="1" thickBot="1" x14ac:dyDescent="0.3">
      <c r="A43" s="154"/>
      <c r="B43" s="25">
        <v>37</v>
      </c>
      <c r="C43" s="173" t="str">
        <f t="shared" si="5"/>
        <v/>
      </c>
      <c r="D43" s="173" t="str">
        <f t="shared" si="6"/>
        <v/>
      </c>
      <c r="E43" s="25" t="str">
        <f>IF('GREEN SHEET'!C43="","",'GREEN SHEET'!C43)</f>
        <v/>
      </c>
      <c r="F43" s="25" t="str">
        <f>IF('GREEN SHEET'!D43="","",'GREEN SHEET'!D43)</f>
        <v/>
      </c>
      <c r="G43" s="25" t="str">
        <f>IF('GREEN SHEET'!E43="","",'GREEN SHEET'!E43)</f>
        <v/>
      </c>
      <c r="H43" s="25" t="str">
        <f>IF('GREEN SHEET'!F43="","",'GREEN SHEET'!F43)</f>
        <v/>
      </c>
      <c r="I43" s="25" t="str">
        <f>IF('GREEN SHEET'!G43="","",'GREEN SHEET'!G43)</f>
        <v/>
      </c>
      <c r="J43" s="25" t="str">
        <f>IF('GREEN SHEET'!H43="","",'GREEN SHEET'!H43)</f>
        <v/>
      </c>
      <c r="K43" s="25" t="str">
        <f>IF('GREEN SHEET'!I43="","",'GREEN SHEET'!I43)</f>
        <v/>
      </c>
      <c r="L43" s="25" t="str">
        <f>IF('GREEN SHEET'!J43="","",'GREEN SHEET'!J43)</f>
        <v/>
      </c>
      <c r="M43" s="25" t="str">
        <f>IF('GREEN SHEET'!K43="","",'GREEN SHEET'!K43)</f>
        <v/>
      </c>
      <c r="N43" s="166" t="str">
        <f>IF(F43="","",IF('GREEN SHEET'!AB43="",'GREEN SHEET'!Y43,'GREEN SHEET'!AB43))</f>
        <v/>
      </c>
      <c r="O43" s="166" t="str">
        <f>IF(F43="","",IF('GREEN SHEET'!AC43="",'GREEN SHEET'!Z43,'GREEN SHEET'!AC43))</f>
        <v/>
      </c>
      <c r="P43" s="167" t="str">
        <f>IF(F43="","",IF('GREEN SHEET'!AV43="",'GREEN SHEET'!AS43,'GREEN SHEET'!AV43))</f>
        <v/>
      </c>
      <c r="Q43" s="167" t="str">
        <f>IF(F43="","",IF('GREEN SHEET'!AW43="",'GREEN SHEET'!AT43,'GREEN SHEET'!AW43))</f>
        <v/>
      </c>
      <c r="R43" s="166" t="str">
        <f>IF(F43="","",IF('GREEN SHEET'!BO43="",'GREEN SHEET'!BL43,'GREEN SHEET'!BO43))</f>
        <v/>
      </c>
      <c r="S43" s="166" t="str">
        <f>IF(F43="","",IF('GREEN SHEET'!BP43="",'GREEN SHEET'!BM43,'GREEN SHEET'!BP43))</f>
        <v/>
      </c>
      <c r="T43" s="167" t="str">
        <f>IF(F43="","",IF('GREEN SHEET'!CH43="",'GREEN SHEET'!CE43,'GREEN SHEET'!CH43))</f>
        <v/>
      </c>
      <c r="U43" s="167" t="str">
        <f>IF(F43="","",IF('GREEN SHEET'!CI43="",'GREEN SHEET'!CF43,'GREEN SHEET'!CI43))</f>
        <v/>
      </c>
      <c r="V43" s="168" t="str">
        <f>IF(F43="","",IF('GREEN SHEET'!DA43="",'GREEN SHEET'!CX43,'GREEN SHEET'!DA43))</f>
        <v/>
      </c>
      <c r="W43" s="168" t="str">
        <f>IF(F43="","",IF('GREEN SHEET'!DB43="",'GREEN SHEET'!CY43,'GREEN SHEET'!DB43))</f>
        <v/>
      </c>
      <c r="X43" s="167" t="str">
        <f>IF(F43="","",IF('GREEN SHEET'!DT43="",'GREEN SHEET'!DQ43,'GREEN SHEET'!DT43))</f>
        <v/>
      </c>
      <c r="Y43" s="167" t="str">
        <f>IF(F43="","",IF('GREEN SHEET'!DU43="",'GREEN SHEET'!DR43,'GREEN SHEET'!DU43))</f>
        <v/>
      </c>
      <c r="Z43" s="169" t="str">
        <f>IF(F43="","",IF('GREEN SHEET'!FH43="",'GREEN SHEET'!EH43,'GREEN SHEET'!FH43))</f>
        <v/>
      </c>
      <c r="AA43" s="170" t="str">
        <f t="shared" si="1"/>
        <v/>
      </c>
      <c r="AB43" s="171" t="str">
        <f t="shared" si="7"/>
        <v/>
      </c>
      <c r="AC43" s="171" t="str">
        <f>IF(F43="","",IF('GREEN SHEET'!EN43="","",'GREEN SHEET'!EN43))</f>
        <v/>
      </c>
      <c r="AD43" s="174" t="str">
        <f>IF(AA43="","",RANK(AA43,AA$7:$AA$51,0)+COUNTIF($AA$7:AA43,AA43)-1)</f>
        <v/>
      </c>
      <c r="AE43" s="174" t="str">
        <f t="shared" si="2"/>
        <v/>
      </c>
      <c r="AF43" s="174" t="str">
        <f t="shared" si="3"/>
        <v/>
      </c>
      <c r="AG43" s="174" t="str">
        <f t="shared" si="4"/>
        <v/>
      </c>
    </row>
    <row r="44" spans="1:33" ht="17.399999999999999" hidden="1" thickBot="1" x14ac:dyDescent="0.3">
      <c r="A44" s="154"/>
      <c r="B44" s="25">
        <v>38</v>
      </c>
      <c r="C44" s="173" t="str">
        <f t="shared" si="5"/>
        <v/>
      </c>
      <c r="D44" s="173" t="str">
        <f t="shared" si="6"/>
        <v/>
      </c>
      <c r="E44" s="25" t="str">
        <f>IF('GREEN SHEET'!C44="","",'GREEN SHEET'!C44)</f>
        <v/>
      </c>
      <c r="F44" s="25" t="str">
        <f>IF('GREEN SHEET'!D44="","",'GREEN SHEET'!D44)</f>
        <v/>
      </c>
      <c r="G44" s="25" t="str">
        <f>IF('GREEN SHEET'!E44="","",'GREEN SHEET'!E44)</f>
        <v/>
      </c>
      <c r="H44" s="25" t="str">
        <f>IF('GREEN SHEET'!F44="","",'GREEN SHEET'!F44)</f>
        <v/>
      </c>
      <c r="I44" s="25" t="str">
        <f>IF('GREEN SHEET'!G44="","",'GREEN SHEET'!G44)</f>
        <v/>
      </c>
      <c r="J44" s="25" t="str">
        <f>IF('GREEN SHEET'!H44="","",'GREEN SHEET'!H44)</f>
        <v/>
      </c>
      <c r="K44" s="25" t="str">
        <f>IF('GREEN SHEET'!I44="","",'GREEN SHEET'!I44)</f>
        <v/>
      </c>
      <c r="L44" s="25" t="str">
        <f>IF('GREEN SHEET'!J44="","",'GREEN SHEET'!J44)</f>
        <v/>
      </c>
      <c r="M44" s="25" t="str">
        <f>IF('GREEN SHEET'!K44="","",'GREEN SHEET'!K44)</f>
        <v/>
      </c>
      <c r="N44" s="166" t="str">
        <f>IF(F44="","",IF('GREEN SHEET'!AB44="",'GREEN SHEET'!Y44,'GREEN SHEET'!AB44))</f>
        <v/>
      </c>
      <c r="O44" s="166" t="str">
        <f>IF(F44="","",IF('GREEN SHEET'!AC44="",'GREEN SHEET'!Z44,'GREEN SHEET'!AC44))</f>
        <v/>
      </c>
      <c r="P44" s="167" t="str">
        <f>IF(F44="","",IF('GREEN SHEET'!AV44="",'GREEN SHEET'!AS44,'GREEN SHEET'!AV44))</f>
        <v/>
      </c>
      <c r="Q44" s="167" t="str">
        <f>IF(F44="","",IF('GREEN SHEET'!AW44="",'GREEN SHEET'!AT44,'GREEN SHEET'!AW44))</f>
        <v/>
      </c>
      <c r="R44" s="166" t="str">
        <f>IF(F44="","",IF('GREEN SHEET'!BO44="",'GREEN SHEET'!BL44,'GREEN SHEET'!BO44))</f>
        <v/>
      </c>
      <c r="S44" s="166" t="str">
        <f>IF(F44="","",IF('GREEN SHEET'!BP44="",'GREEN SHEET'!BM44,'GREEN SHEET'!BP44))</f>
        <v/>
      </c>
      <c r="T44" s="167" t="str">
        <f>IF(F44="","",IF('GREEN SHEET'!CH44="",'GREEN SHEET'!CE44,'GREEN SHEET'!CH44))</f>
        <v/>
      </c>
      <c r="U44" s="167" t="str">
        <f>IF(F44="","",IF('GREEN SHEET'!CI44="",'GREEN SHEET'!CF44,'GREEN SHEET'!CI44))</f>
        <v/>
      </c>
      <c r="V44" s="168" t="str">
        <f>IF(F44="","",IF('GREEN SHEET'!DA44="",'GREEN SHEET'!CX44,'GREEN SHEET'!DA44))</f>
        <v/>
      </c>
      <c r="W44" s="168" t="str">
        <f>IF(F44="","",IF('GREEN SHEET'!DB44="",'GREEN SHEET'!CY44,'GREEN SHEET'!DB44))</f>
        <v/>
      </c>
      <c r="X44" s="167" t="str">
        <f>IF(F44="","",IF('GREEN SHEET'!DT44="",'GREEN SHEET'!DQ44,'GREEN SHEET'!DT44))</f>
        <v/>
      </c>
      <c r="Y44" s="167" t="str">
        <f>IF(F44="","",IF('GREEN SHEET'!DU44="",'GREEN SHEET'!DR44,'GREEN SHEET'!DU44))</f>
        <v/>
      </c>
      <c r="Z44" s="169" t="str">
        <f>IF(F44="","",IF('GREEN SHEET'!FH44="",'GREEN SHEET'!EH44,'GREEN SHEET'!FH44))</f>
        <v/>
      </c>
      <c r="AA44" s="170" t="str">
        <f t="shared" si="1"/>
        <v/>
      </c>
      <c r="AB44" s="171" t="str">
        <f t="shared" si="7"/>
        <v/>
      </c>
      <c r="AC44" s="171" t="str">
        <f>IF(F44="","",IF('GREEN SHEET'!EN44="","",'GREEN SHEET'!EN44))</f>
        <v/>
      </c>
      <c r="AD44" s="174" t="str">
        <f>IF(AA44="","",RANK(AA44,AA$7:$AA$51,0)+COUNTIF($AA$7:AA44,AA44)-1)</f>
        <v/>
      </c>
      <c r="AE44" s="174" t="str">
        <f t="shared" si="2"/>
        <v/>
      </c>
      <c r="AF44" s="174" t="str">
        <f t="shared" si="3"/>
        <v/>
      </c>
      <c r="AG44" s="174" t="str">
        <f t="shared" si="4"/>
        <v/>
      </c>
    </row>
    <row r="45" spans="1:33" ht="17.399999999999999" hidden="1" thickBot="1" x14ac:dyDescent="0.3">
      <c r="A45" s="154"/>
      <c r="B45" s="25">
        <v>39</v>
      </c>
      <c r="C45" s="173" t="str">
        <f t="shared" si="5"/>
        <v/>
      </c>
      <c r="D45" s="173" t="str">
        <f t="shared" si="6"/>
        <v/>
      </c>
      <c r="E45" s="25" t="str">
        <f>IF('GREEN SHEET'!C45="","",'GREEN SHEET'!C45)</f>
        <v/>
      </c>
      <c r="F45" s="25" t="str">
        <f>IF('GREEN SHEET'!D45="","",'GREEN SHEET'!D45)</f>
        <v/>
      </c>
      <c r="G45" s="25" t="str">
        <f>IF('GREEN SHEET'!E45="","",'GREEN SHEET'!E45)</f>
        <v/>
      </c>
      <c r="H45" s="25" t="str">
        <f>IF('GREEN SHEET'!F45="","",'GREEN SHEET'!F45)</f>
        <v/>
      </c>
      <c r="I45" s="25" t="str">
        <f>IF('GREEN SHEET'!G45="","",'GREEN SHEET'!G45)</f>
        <v/>
      </c>
      <c r="J45" s="25" t="str">
        <f>IF('GREEN SHEET'!H45="","",'GREEN SHEET'!H45)</f>
        <v/>
      </c>
      <c r="K45" s="25" t="str">
        <f>IF('GREEN SHEET'!I45="","",'GREEN SHEET'!I45)</f>
        <v/>
      </c>
      <c r="L45" s="25" t="str">
        <f>IF('GREEN SHEET'!J45="","",'GREEN SHEET'!J45)</f>
        <v/>
      </c>
      <c r="M45" s="25" t="str">
        <f>IF('GREEN SHEET'!K45="","",'GREEN SHEET'!K45)</f>
        <v/>
      </c>
      <c r="N45" s="166" t="str">
        <f>IF(F45="","",IF('GREEN SHEET'!AB45="",'GREEN SHEET'!Y45,'GREEN SHEET'!AB45))</f>
        <v/>
      </c>
      <c r="O45" s="166" t="str">
        <f>IF(F45="","",IF('GREEN SHEET'!AC45="",'GREEN SHEET'!Z45,'GREEN SHEET'!AC45))</f>
        <v/>
      </c>
      <c r="P45" s="167" t="str">
        <f>IF(F45="","",IF('GREEN SHEET'!AV45="",'GREEN SHEET'!AS45,'GREEN SHEET'!AV45))</f>
        <v/>
      </c>
      <c r="Q45" s="167" t="str">
        <f>IF(F45="","",IF('GREEN SHEET'!AW45="",'GREEN SHEET'!AT45,'GREEN SHEET'!AW45))</f>
        <v/>
      </c>
      <c r="R45" s="166" t="str">
        <f>IF(F45="","",IF('GREEN SHEET'!BO45="",'GREEN SHEET'!BL45,'GREEN SHEET'!BO45))</f>
        <v/>
      </c>
      <c r="S45" s="166" t="str">
        <f>IF(F45="","",IF('GREEN SHEET'!BP45="",'GREEN SHEET'!BM45,'GREEN SHEET'!BP45))</f>
        <v/>
      </c>
      <c r="T45" s="167" t="str">
        <f>IF(F45="","",IF('GREEN SHEET'!CH45="",'GREEN SHEET'!CE45,'GREEN SHEET'!CH45))</f>
        <v/>
      </c>
      <c r="U45" s="167" t="str">
        <f>IF(F45="","",IF('GREEN SHEET'!CI45="",'GREEN SHEET'!CF45,'GREEN SHEET'!CI45))</f>
        <v/>
      </c>
      <c r="V45" s="168" t="str">
        <f>IF(F45="","",IF('GREEN SHEET'!DA45="",'GREEN SHEET'!CX45,'GREEN SHEET'!DA45))</f>
        <v/>
      </c>
      <c r="W45" s="168" t="str">
        <f>IF(F45="","",IF('GREEN SHEET'!DB45="",'GREEN SHEET'!CY45,'GREEN SHEET'!DB45))</f>
        <v/>
      </c>
      <c r="X45" s="167" t="str">
        <f>IF(F45="","",IF('GREEN SHEET'!DT45="",'GREEN SHEET'!DQ45,'GREEN SHEET'!DT45))</f>
        <v/>
      </c>
      <c r="Y45" s="167" t="str">
        <f>IF(F45="","",IF('GREEN SHEET'!DU45="",'GREEN SHEET'!DR45,'GREEN SHEET'!DU45))</f>
        <v/>
      </c>
      <c r="Z45" s="169" t="str">
        <f>IF(F45="","",IF('GREEN SHEET'!FH45="",'GREEN SHEET'!EH45,'GREEN SHEET'!FH45))</f>
        <v/>
      </c>
      <c r="AA45" s="170" t="str">
        <f t="shared" si="1"/>
        <v/>
      </c>
      <c r="AB45" s="171" t="str">
        <f t="shared" si="7"/>
        <v/>
      </c>
      <c r="AC45" s="171" t="str">
        <f>IF(F45="","",IF('GREEN SHEET'!EN45="","",'GREEN SHEET'!EN45))</f>
        <v/>
      </c>
      <c r="AD45" s="174" t="str">
        <f>IF(AA45="","",RANK(AA45,AA$7:$AA$51,0)+COUNTIF($AA$7:AA45,AA45)-1)</f>
        <v/>
      </c>
      <c r="AE45" s="174" t="str">
        <f t="shared" si="2"/>
        <v/>
      </c>
      <c r="AF45" s="174" t="str">
        <f t="shared" si="3"/>
        <v/>
      </c>
      <c r="AG45" s="174" t="str">
        <f t="shared" si="4"/>
        <v/>
      </c>
    </row>
    <row r="46" spans="1:33" ht="17.399999999999999" hidden="1" thickBot="1" x14ac:dyDescent="0.3">
      <c r="A46" s="154"/>
      <c r="B46" s="25">
        <v>40</v>
      </c>
      <c r="C46" s="173" t="str">
        <f t="shared" si="5"/>
        <v/>
      </c>
      <c r="D46" s="173" t="str">
        <f t="shared" si="6"/>
        <v/>
      </c>
      <c r="E46" s="25" t="str">
        <f>IF('GREEN SHEET'!C46="","",'GREEN SHEET'!C46)</f>
        <v/>
      </c>
      <c r="F46" s="25" t="str">
        <f>IF('GREEN SHEET'!D46="","",'GREEN SHEET'!D46)</f>
        <v/>
      </c>
      <c r="G46" s="25" t="str">
        <f>IF('GREEN SHEET'!E46="","",'GREEN SHEET'!E46)</f>
        <v/>
      </c>
      <c r="H46" s="25" t="str">
        <f>IF('GREEN SHEET'!F46="","",'GREEN SHEET'!F46)</f>
        <v/>
      </c>
      <c r="I46" s="25" t="str">
        <f>IF('GREEN SHEET'!G46="","",'GREEN SHEET'!G46)</f>
        <v/>
      </c>
      <c r="J46" s="25" t="str">
        <f>IF('GREEN SHEET'!H46="","",'GREEN SHEET'!H46)</f>
        <v/>
      </c>
      <c r="K46" s="25" t="str">
        <f>IF('GREEN SHEET'!I46="","",'GREEN SHEET'!I46)</f>
        <v/>
      </c>
      <c r="L46" s="25" t="str">
        <f>IF('GREEN SHEET'!J46="","",'GREEN SHEET'!J46)</f>
        <v/>
      </c>
      <c r="M46" s="25" t="str">
        <f>IF('GREEN SHEET'!K46="","",'GREEN SHEET'!K46)</f>
        <v/>
      </c>
      <c r="N46" s="166" t="str">
        <f>IF(F46="","",IF('GREEN SHEET'!AB46="",'GREEN SHEET'!Y46,'GREEN SHEET'!AB46))</f>
        <v/>
      </c>
      <c r="O46" s="166" t="str">
        <f>IF(F46="","",IF('GREEN SHEET'!AC46="",'GREEN SHEET'!Z46,'GREEN SHEET'!AC46))</f>
        <v/>
      </c>
      <c r="P46" s="167" t="str">
        <f>IF(F46="","",IF('GREEN SHEET'!AV46="",'GREEN SHEET'!AS46,'GREEN SHEET'!AV46))</f>
        <v/>
      </c>
      <c r="Q46" s="167" t="str">
        <f>IF(F46="","",IF('GREEN SHEET'!AW46="",'GREEN SHEET'!AT46,'GREEN SHEET'!AW46))</f>
        <v/>
      </c>
      <c r="R46" s="166" t="str">
        <f>IF(F46="","",IF('GREEN SHEET'!BO46="",'GREEN SHEET'!BL46,'GREEN SHEET'!BO46))</f>
        <v/>
      </c>
      <c r="S46" s="166" t="str">
        <f>IF(F46="","",IF('GREEN SHEET'!BP46="",'GREEN SHEET'!BM46,'GREEN SHEET'!BP46))</f>
        <v/>
      </c>
      <c r="T46" s="167" t="str">
        <f>IF(F46="","",IF('GREEN SHEET'!CH46="",'GREEN SHEET'!CE46,'GREEN SHEET'!CH46))</f>
        <v/>
      </c>
      <c r="U46" s="167" t="str">
        <f>IF(F46="","",IF('GREEN SHEET'!CI46="",'GREEN SHEET'!CF46,'GREEN SHEET'!CI46))</f>
        <v/>
      </c>
      <c r="V46" s="168" t="str">
        <f>IF(F46="","",IF('GREEN SHEET'!DA46="",'GREEN SHEET'!CX46,'GREEN SHEET'!DA46))</f>
        <v/>
      </c>
      <c r="W46" s="168" t="str">
        <f>IF(F46="","",IF('GREEN SHEET'!DB46="",'GREEN SHEET'!CY46,'GREEN SHEET'!DB46))</f>
        <v/>
      </c>
      <c r="X46" s="167" t="str">
        <f>IF(F46="","",IF('GREEN SHEET'!DT46="",'GREEN SHEET'!DQ46,'GREEN SHEET'!DT46))</f>
        <v/>
      </c>
      <c r="Y46" s="167" t="str">
        <f>IF(F46="","",IF('GREEN SHEET'!DU46="",'GREEN SHEET'!DR46,'GREEN SHEET'!DU46))</f>
        <v/>
      </c>
      <c r="Z46" s="169" t="str">
        <f>IF(F46="","",IF('GREEN SHEET'!FH46="",'GREEN SHEET'!EH46,'GREEN SHEET'!FH46))</f>
        <v/>
      </c>
      <c r="AA46" s="170" t="str">
        <f t="shared" si="1"/>
        <v/>
      </c>
      <c r="AB46" s="171" t="str">
        <f t="shared" si="7"/>
        <v/>
      </c>
      <c r="AC46" s="171" t="str">
        <f>IF(F46="","",IF('GREEN SHEET'!EN46="","",'GREEN SHEET'!EN46))</f>
        <v/>
      </c>
      <c r="AD46" s="174" t="str">
        <f>IF(AA46="","",RANK(AA46,AA$7:$AA$51,0)+COUNTIF($AA$7:AA46,AA46)-1)</f>
        <v/>
      </c>
      <c r="AE46" s="174" t="str">
        <f t="shared" si="2"/>
        <v/>
      </c>
      <c r="AF46" s="174" t="str">
        <f t="shared" si="3"/>
        <v/>
      </c>
      <c r="AG46" s="174" t="str">
        <f t="shared" si="4"/>
        <v/>
      </c>
    </row>
    <row r="47" spans="1:33" ht="17.399999999999999" hidden="1" thickBot="1" x14ac:dyDescent="0.3">
      <c r="A47" s="154"/>
      <c r="B47" s="25">
        <v>41</v>
      </c>
      <c r="C47" s="173" t="str">
        <f t="shared" si="5"/>
        <v/>
      </c>
      <c r="D47" s="173" t="str">
        <f t="shared" si="6"/>
        <v/>
      </c>
      <c r="E47" s="25" t="str">
        <f>IF('GREEN SHEET'!C47="","",'GREEN SHEET'!C47)</f>
        <v/>
      </c>
      <c r="F47" s="25" t="str">
        <f>IF('GREEN SHEET'!D47="","",'GREEN SHEET'!D47)</f>
        <v/>
      </c>
      <c r="G47" s="25" t="str">
        <f>IF('GREEN SHEET'!E47="","",'GREEN SHEET'!E47)</f>
        <v/>
      </c>
      <c r="H47" s="25" t="str">
        <f>IF('GREEN SHEET'!F47="","",'GREEN SHEET'!F47)</f>
        <v/>
      </c>
      <c r="I47" s="25" t="str">
        <f>IF('GREEN SHEET'!G47="","",'GREEN SHEET'!G47)</f>
        <v/>
      </c>
      <c r="J47" s="25" t="str">
        <f>IF('GREEN SHEET'!H47="","",'GREEN SHEET'!H47)</f>
        <v/>
      </c>
      <c r="K47" s="25" t="str">
        <f>IF('GREEN SHEET'!I47="","",'GREEN SHEET'!I47)</f>
        <v/>
      </c>
      <c r="L47" s="25" t="str">
        <f>IF('GREEN SHEET'!J47="","",'GREEN SHEET'!J47)</f>
        <v/>
      </c>
      <c r="M47" s="25" t="str">
        <f>IF('GREEN SHEET'!K47="","",'GREEN SHEET'!K47)</f>
        <v/>
      </c>
      <c r="N47" s="166" t="str">
        <f>IF(F47="","",IF('GREEN SHEET'!AB47="",'GREEN SHEET'!Y47,'GREEN SHEET'!AB47))</f>
        <v/>
      </c>
      <c r="O47" s="166" t="str">
        <f>IF(F47="","",IF('GREEN SHEET'!AC47="",'GREEN SHEET'!Z47,'GREEN SHEET'!AC47))</f>
        <v/>
      </c>
      <c r="P47" s="167" t="str">
        <f>IF(F47="","",IF('GREEN SHEET'!AV47="",'GREEN SHEET'!AS47,'GREEN SHEET'!AV47))</f>
        <v/>
      </c>
      <c r="Q47" s="167" t="str">
        <f>IF(F47="","",IF('GREEN SHEET'!AW47="",'GREEN SHEET'!AT47,'GREEN SHEET'!AW47))</f>
        <v/>
      </c>
      <c r="R47" s="166" t="str">
        <f>IF(F47="","",IF('GREEN SHEET'!BO47="",'GREEN SHEET'!BL47,'GREEN SHEET'!BO47))</f>
        <v/>
      </c>
      <c r="S47" s="166" t="str">
        <f>IF(F47="","",IF('GREEN SHEET'!BP47="",'GREEN SHEET'!BM47,'GREEN SHEET'!BP47))</f>
        <v/>
      </c>
      <c r="T47" s="167" t="str">
        <f>IF(F47="","",IF('GREEN SHEET'!CH47="",'GREEN SHEET'!CE47,'GREEN SHEET'!CH47))</f>
        <v/>
      </c>
      <c r="U47" s="167" t="str">
        <f>IF(F47="","",IF('GREEN SHEET'!CI47="",'GREEN SHEET'!CF47,'GREEN SHEET'!CI47))</f>
        <v/>
      </c>
      <c r="V47" s="168" t="str">
        <f>IF(F47="","",IF('GREEN SHEET'!DA47="",'GREEN SHEET'!CX47,'GREEN SHEET'!DA47))</f>
        <v/>
      </c>
      <c r="W47" s="168" t="str">
        <f>IF(F47="","",IF('GREEN SHEET'!DB47="",'GREEN SHEET'!CY47,'GREEN SHEET'!DB47))</f>
        <v/>
      </c>
      <c r="X47" s="167" t="str">
        <f>IF(F47="","",IF('GREEN SHEET'!DT47="",'GREEN SHEET'!DQ47,'GREEN SHEET'!DT47))</f>
        <v/>
      </c>
      <c r="Y47" s="167" t="str">
        <f>IF(F47="","",IF('GREEN SHEET'!DU47="",'GREEN SHEET'!DR47,'GREEN SHEET'!DU47))</f>
        <v/>
      </c>
      <c r="Z47" s="169" t="str">
        <f>IF(F47="","",IF('GREEN SHEET'!FH47="",'GREEN SHEET'!EH47,'GREEN SHEET'!FH47))</f>
        <v/>
      </c>
      <c r="AA47" s="170" t="str">
        <f t="shared" si="1"/>
        <v/>
      </c>
      <c r="AB47" s="171" t="str">
        <f t="shared" si="7"/>
        <v/>
      </c>
      <c r="AC47" s="171" t="str">
        <f>IF(F47="","",IF('GREEN SHEET'!EN47="","",'GREEN SHEET'!EN47))</f>
        <v/>
      </c>
      <c r="AD47" s="174" t="str">
        <f>IF(AA47="","",RANK(AA47,AA$7:$AA$51,0)+COUNTIF($AA$7:AA47,AA47)-1)</f>
        <v/>
      </c>
      <c r="AE47" s="174" t="str">
        <f t="shared" si="2"/>
        <v/>
      </c>
      <c r="AF47" s="174" t="str">
        <f t="shared" si="3"/>
        <v/>
      </c>
      <c r="AG47" s="174" t="str">
        <f t="shared" si="4"/>
        <v/>
      </c>
    </row>
    <row r="48" spans="1:33" ht="17.399999999999999" hidden="1" thickBot="1" x14ac:dyDescent="0.3">
      <c r="A48" s="154"/>
      <c r="B48" s="25">
        <v>42</v>
      </c>
      <c r="C48" s="173" t="str">
        <f t="shared" si="5"/>
        <v/>
      </c>
      <c r="D48" s="173" t="str">
        <f t="shared" si="6"/>
        <v/>
      </c>
      <c r="E48" s="25" t="str">
        <f>IF('GREEN SHEET'!C48="","",'GREEN SHEET'!C48)</f>
        <v/>
      </c>
      <c r="F48" s="25" t="str">
        <f>IF('GREEN SHEET'!D48="","",'GREEN SHEET'!D48)</f>
        <v/>
      </c>
      <c r="G48" s="25" t="str">
        <f>IF('GREEN SHEET'!E48="","",'GREEN SHEET'!E48)</f>
        <v/>
      </c>
      <c r="H48" s="25" t="str">
        <f>IF('GREEN SHEET'!F48="","",'GREEN SHEET'!F48)</f>
        <v/>
      </c>
      <c r="I48" s="25" t="str">
        <f>IF('GREEN SHEET'!G48="","",'GREEN SHEET'!G48)</f>
        <v/>
      </c>
      <c r="J48" s="25" t="str">
        <f>IF('GREEN SHEET'!H48="","",'GREEN SHEET'!H48)</f>
        <v/>
      </c>
      <c r="K48" s="25" t="str">
        <f>IF('GREEN SHEET'!I48="","",'GREEN SHEET'!I48)</f>
        <v/>
      </c>
      <c r="L48" s="25" t="str">
        <f>IF('GREEN SHEET'!J48="","",'GREEN SHEET'!J48)</f>
        <v/>
      </c>
      <c r="M48" s="25" t="str">
        <f>IF('GREEN SHEET'!K48="","",'GREEN SHEET'!K48)</f>
        <v/>
      </c>
      <c r="N48" s="166" t="str">
        <f>IF(F48="","",IF('GREEN SHEET'!AB48="",'GREEN SHEET'!Y48,'GREEN SHEET'!AB48))</f>
        <v/>
      </c>
      <c r="O48" s="166" t="str">
        <f>IF(F48="","",IF('GREEN SHEET'!AC48="",'GREEN SHEET'!Z48,'GREEN SHEET'!AC48))</f>
        <v/>
      </c>
      <c r="P48" s="167" t="str">
        <f>IF(F48="","",IF('GREEN SHEET'!AV48="",'GREEN SHEET'!AS48,'GREEN SHEET'!AV48))</f>
        <v/>
      </c>
      <c r="Q48" s="167" t="str">
        <f>IF(F48="","",IF('GREEN SHEET'!AW48="",'GREEN SHEET'!AT48,'GREEN SHEET'!AW48))</f>
        <v/>
      </c>
      <c r="R48" s="166" t="str">
        <f>IF(F48="","",IF('GREEN SHEET'!BO48="",'GREEN SHEET'!BL48,'GREEN SHEET'!BO48))</f>
        <v/>
      </c>
      <c r="S48" s="166" t="str">
        <f>IF(F48="","",IF('GREEN SHEET'!BP48="",'GREEN SHEET'!BM48,'GREEN SHEET'!BP48))</f>
        <v/>
      </c>
      <c r="T48" s="167" t="str">
        <f>IF(F48="","",IF('GREEN SHEET'!CH48="",'GREEN SHEET'!CE48,'GREEN SHEET'!CH48))</f>
        <v/>
      </c>
      <c r="U48" s="167" t="str">
        <f>IF(F48="","",IF('GREEN SHEET'!CI48="",'GREEN SHEET'!CF48,'GREEN SHEET'!CI48))</f>
        <v/>
      </c>
      <c r="V48" s="168" t="str">
        <f>IF(F48="","",IF('GREEN SHEET'!DA48="",'GREEN SHEET'!CX48,'GREEN SHEET'!DA48))</f>
        <v/>
      </c>
      <c r="W48" s="168" t="str">
        <f>IF(F48="","",IF('GREEN SHEET'!DB48="",'GREEN SHEET'!CY48,'GREEN SHEET'!DB48))</f>
        <v/>
      </c>
      <c r="X48" s="167" t="str">
        <f>IF(F48="","",IF('GREEN SHEET'!DT48="",'GREEN SHEET'!DQ48,'GREEN SHEET'!DT48))</f>
        <v/>
      </c>
      <c r="Y48" s="167" t="str">
        <f>IF(F48="","",IF('GREEN SHEET'!DU48="",'GREEN SHEET'!DR48,'GREEN SHEET'!DU48))</f>
        <v/>
      </c>
      <c r="Z48" s="169" t="str">
        <f>IF(F48="","",IF('GREEN SHEET'!FH48="",'GREEN SHEET'!EH48,'GREEN SHEET'!FH48))</f>
        <v/>
      </c>
      <c r="AA48" s="170" t="str">
        <f t="shared" si="1"/>
        <v/>
      </c>
      <c r="AB48" s="171" t="str">
        <f t="shared" si="7"/>
        <v/>
      </c>
      <c r="AC48" s="171" t="str">
        <f>IF(F48="","",IF('GREEN SHEET'!EN48="","",'GREEN SHEET'!EN48))</f>
        <v/>
      </c>
      <c r="AD48" s="174" t="str">
        <f>IF(AA48="","",RANK(AA48,AA$7:$AA$51,0)+COUNTIF($AA$7:AA48,AA48)-1)</f>
        <v/>
      </c>
      <c r="AE48" s="174" t="str">
        <f t="shared" si="2"/>
        <v/>
      </c>
      <c r="AF48" s="174" t="str">
        <f t="shared" si="3"/>
        <v/>
      </c>
      <c r="AG48" s="174" t="str">
        <f t="shared" si="4"/>
        <v/>
      </c>
    </row>
    <row r="49" spans="1:39" ht="17.399999999999999" hidden="1" thickBot="1" x14ac:dyDescent="0.3">
      <c r="A49" s="154"/>
      <c r="B49" s="25">
        <v>43</v>
      </c>
      <c r="C49" s="173" t="str">
        <f t="shared" si="5"/>
        <v/>
      </c>
      <c r="D49" s="173" t="str">
        <f t="shared" si="6"/>
        <v/>
      </c>
      <c r="E49" s="25" t="str">
        <f>IF('GREEN SHEET'!C49="","",'GREEN SHEET'!C49)</f>
        <v/>
      </c>
      <c r="F49" s="25" t="str">
        <f>IF('GREEN SHEET'!D49="","",'GREEN SHEET'!D49)</f>
        <v/>
      </c>
      <c r="G49" s="25" t="str">
        <f>IF('GREEN SHEET'!E49="","",'GREEN SHEET'!E49)</f>
        <v/>
      </c>
      <c r="H49" s="25" t="str">
        <f>IF('GREEN SHEET'!F49="","",'GREEN SHEET'!F49)</f>
        <v/>
      </c>
      <c r="I49" s="25" t="str">
        <f>IF('GREEN SHEET'!G49="","",'GREEN SHEET'!G49)</f>
        <v/>
      </c>
      <c r="J49" s="25" t="str">
        <f>IF('GREEN SHEET'!H49="","",'GREEN SHEET'!H49)</f>
        <v/>
      </c>
      <c r="K49" s="25" t="str">
        <f>IF('GREEN SHEET'!I49="","",'GREEN SHEET'!I49)</f>
        <v/>
      </c>
      <c r="L49" s="25" t="str">
        <f>IF('GREEN SHEET'!J49="","",'GREEN SHEET'!J49)</f>
        <v/>
      </c>
      <c r="M49" s="25" t="str">
        <f>IF('GREEN SHEET'!K49="","",'GREEN SHEET'!K49)</f>
        <v/>
      </c>
      <c r="N49" s="166" t="str">
        <f>IF(F49="","",IF('GREEN SHEET'!AB49="",'GREEN SHEET'!Y49,'GREEN SHEET'!AB49))</f>
        <v/>
      </c>
      <c r="O49" s="166" t="str">
        <f>IF(F49="","",IF('GREEN SHEET'!AC49="",'GREEN SHEET'!Z49,'GREEN SHEET'!AC49))</f>
        <v/>
      </c>
      <c r="P49" s="167" t="str">
        <f>IF(F49="","",IF('GREEN SHEET'!AV49="",'GREEN SHEET'!AS49,'GREEN SHEET'!AV49))</f>
        <v/>
      </c>
      <c r="Q49" s="167" t="str">
        <f>IF(F49="","",IF('GREEN SHEET'!AW49="",'GREEN SHEET'!AT49,'GREEN SHEET'!AW49))</f>
        <v/>
      </c>
      <c r="R49" s="166" t="str">
        <f>IF(F49="","",IF('GREEN SHEET'!BO49="",'GREEN SHEET'!BL49,'GREEN SHEET'!BO49))</f>
        <v/>
      </c>
      <c r="S49" s="166" t="str">
        <f>IF(F49="","",IF('GREEN SHEET'!BP49="",'GREEN SHEET'!BM49,'GREEN SHEET'!BP49))</f>
        <v/>
      </c>
      <c r="T49" s="167" t="str">
        <f>IF(F49="","",IF('GREEN SHEET'!CH49="",'GREEN SHEET'!CE49,'GREEN SHEET'!CH49))</f>
        <v/>
      </c>
      <c r="U49" s="167" t="str">
        <f>IF(F49="","",IF('GREEN SHEET'!CI49="",'GREEN SHEET'!CF49,'GREEN SHEET'!CI49))</f>
        <v/>
      </c>
      <c r="V49" s="168" t="str">
        <f>IF(F49="","",IF('GREEN SHEET'!DA49="",'GREEN SHEET'!CX49,'GREEN SHEET'!DA49))</f>
        <v/>
      </c>
      <c r="W49" s="168" t="str">
        <f>IF(F49="","",IF('GREEN SHEET'!DB49="",'GREEN SHEET'!CY49,'GREEN SHEET'!DB49))</f>
        <v/>
      </c>
      <c r="X49" s="167" t="str">
        <f>IF(F49="","",IF('GREEN SHEET'!DT49="",'GREEN SHEET'!DQ49,'GREEN SHEET'!DT49))</f>
        <v/>
      </c>
      <c r="Y49" s="167" t="str">
        <f>IF(F49="","",IF('GREEN SHEET'!DU49="",'GREEN SHEET'!DR49,'GREEN SHEET'!DU49))</f>
        <v/>
      </c>
      <c r="Z49" s="169" t="str">
        <f>IF(F49="","",IF('GREEN SHEET'!FH49="",'GREEN SHEET'!EH49,'GREEN SHEET'!FH49))</f>
        <v/>
      </c>
      <c r="AA49" s="170" t="str">
        <f t="shared" si="1"/>
        <v/>
      </c>
      <c r="AB49" s="171" t="str">
        <f t="shared" si="7"/>
        <v/>
      </c>
      <c r="AC49" s="171" t="str">
        <f>IF(F49="","",IF('GREEN SHEET'!EN49="","",'GREEN SHEET'!EN49))</f>
        <v/>
      </c>
      <c r="AD49" s="174" t="str">
        <f>IF(AA49="","",RANK(AA49,AA$7:$AA$51,0)+COUNTIF($AA$7:AA49,AA49)-1)</f>
        <v/>
      </c>
      <c r="AE49" s="174" t="str">
        <f t="shared" si="2"/>
        <v/>
      </c>
      <c r="AF49" s="174" t="str">
        <f t="shared" si="3"/>
        <v/>
      </c>
      <c r="AG49" s="174" t="str">
        <f t="shared" si="4"/>
        <v/>
      </c>
    </row>
    <row r="50" spans="1:39" ht="17.399999999999999" hidden="1" thickBot="1" x14ac:dyDescent="0.3">
      <c r="A50" s="154"/>
      <c r="B50" s="25">
        <v>44</v>
      </c>
      <c r="C50" s="173" t="str">
        <f t="shared" si="5"/>
        <v/>
      </c>
      <c r="D50" s="173" t="str">
        <f t="shared" si="6"/>
        <v/>
      </c>
      <c r="E50" s="25" t="str">
        <f>IF('GREEN SHEET'!C50="","",'GREEN SHEET'!C50)</f>
        <v/>
      </c>
      <c r="F50" s="25" t="str">
        <f>IF('GREEN SHEET'!D50="","",'GREEN SHEET'!D50)</f>
        <v/>
      </c>
      <c r="G50" s="25" t="str">
        <f>IF('GREEN SHEET'!E50="","",'GREEN SHEET'!E50)</f>
        <v/>
      </c>
      <c r="H50" s="25" t="str">
        <f>IF('GREEN SHEET'!F50="","",'GREEN SHEET'!F50)</f>
        <v/>
      </c>
      <c r="I50" s="25" t="str">
        <f>IF('GREEN SHEET'!G50="","",'GREEN SHEET'!G50)</f>
        <v/>
      </c>
      <c r="J50" s="25" t="str">
        <f>IF('GREEN SHEET'!H50="","",'GREEN SHEET'!H50)</f>
        <v/>
      </c>
      <c r="K50" s="25" t="str">
        <f>IF('GREEN SHEET'!I50="","",'GREEN SHEET'!I50)</f>
        <v/>
      </c>
      <c r="L50" s="25" t="str">
        <f>IF('GREEN SHEET'!J50="","",'GREEN SHEET'!J50)</f>
        <v/>
      </c>
      <c r="M50" s="25" t="str">
        <f>IF('GREEN SHEET'!K50="","",'GREEN SHEET'!K50)</f>
        <v/>
      </c>
      <c r="N50" s="166" t="str">
        <f>IF(F50="","",IF('GREEN SHEET'!AB50="",'GREEN SHEET'!Y50,'GREEN SHEET'!AB50))</f>
        <v/>
      </c>
      <c r="O50" s="166" t="str">
        <f>IF(F50="","",IF('GREEN SHEET'!AC50="",'GREEN SHEET'!Z50,'GREEN SHEET'!AC50))</f>
        <v/>
      </c>
      <c r="P50" s="167" t="str">
        <f>IF(F50="","",IF('GREEN SHEET'!AV50="",'GREEN SHEET'!AS50,'GREEN SHEET'!AV50))</f>
        <v/>
      </c>
      <c r="Q50" s="167" t="str">
        <f>IF(F50="","",IF('GREEN SHEET'!AW50="",'GREEN SHEET'!AT50,'GREEN SHEET'!AW50))</f>
        <v/>
      </c>
      <c r="R50" s="166" t="str">
        <f>IF(F50="","",IF('GREEN SHEET'!BO50="",'GREEN SHEET'!BL50,'GREEN SHEET'!BO50))</f>
        <v/>
      </c>
      <c r="S50" s="166" t="str">
        <f>IF(F50="","",IF('GREEN SHEET'!BP50="",'GREEN SHEET'!BM50,'GREEN SHEET'!BP50))</f>
        <v/>
      </c>
      <c r="T50" s="167" t="str">
        <f>IF(F50="","",IF('GREEN SHEET'!CH50="",'GREEN SHEET'!CE50,'GREEN SHEET'!CH50))</f>
        <v/>
      </c>
      <c r="U50" s="167" t="str">
        <f>IF(F50="","",IF('GREEN SHEET'!CI50="",'GREEN SHEET'!CF50,'GREEN SHEET'!CI50))</f>
        <v/>
      </c>
      <c r="V50" s="168" t="str">
        <f>IF(F50="","",IF('GREEN SHEET'!DA50="",'GREEN SHEET'!CX50,'GREEN SHEET'!DA50))</f>
        <v/>
      </c>
      <c r="W50" s="168" t="str">
        <f>IF(F50="","",IF('GREEN SHEET'!DB50="",'GREEN SHEET'!CY50,'GREEN SHEET'!DB50))</f>
        <v/>
      </c>
      <c r="X50" s="167" t="str">
        <f>IF(F50="","",IF('GREEN SHEET'!DT50="",'GREEN SHEET'!DQ50,'GREEN SHEET'!DT50))</f>
        <v/>
      </c>
      <c r="Y50" s="167" t="str">
        <f>IF(F50="","",IF('GREEN SHEET'!DU50="",'GREEN SHEET'!DR50,'GREEN SHEET'!DU50))</f>
        <v/>
      </c>
      <c r="Z50" s="169" t="str">
        <f>IF(F50="","",IF('GREEN SHEET'!FH50="",'GREEN SHEET'!EH50,'GREEN SHEET'!FH50))</f>
        <v/>
      </c>
      <c r="AA50" s="170" t="str">
        <f t="shared" si="1"/>
        <v/>
      </c>
      <c r="AB50" s="171" t="str">
        <f t="shared" si="7"/>
        <v/>
      </c>
      <c r="AC50" s="171" t="str">
        <f>IF(F50="","",IF('GREEN SHEET'!EN50="","",'GREEN SHEET'!EN50))</f>
        <v/>
      </c>
      <c r="AD50" s="174" t="str">
        <f>IF(AA50="","",RANK(AA50,AA$7:$AA$51,0)+COUNTIF($AA$7:AA50,AA50)-1)</f>
        <v/>
      </c>
      <c r="AE50" s="174" t="str">
        <f t="shared" si="2"/>
        <v/>
      </c>
      <c r="AF50" s="174" t="str">
        <f t="shared" si="3"/>
        <v/>
      </c>
      <c r="AG50" s="174" t="str">
        <f t="shared" si="4"/>
        <v/>
      </c>
    </row>
    <row r="51" spans="1:39" ht="17.399999999999999" hidden="1" thickBot="1" x14ac:dyDescent="0.3">
      <c r="A51" s="154"/>
      <c r="B51" s="25">
        <v>45</v>
      </c>
      <c r="C51" s="173" t="str">
        <f t="shared" si="5"/>
        <v/>
      </c>
      <c r="D51" s="173" t="str">
        <f t="shared" si="6"/>
        <v/>
      </c>
      <c r="E51" s="25" t="str">
        <f>IF('GREEN SHEET'!C51="","",'GREEN SHEET'!C51)</f>
        <v/>
      </c>
      <c r="F51" s="25" t="str">
        <f>IF('GREEN SHEET'!D51="","",'GREEN SHEET'!D51)</f>
        <v/>
      </c>
      <c r="G51" s="25" t="str">
        <f>IF('GREEN SHEET'!E51="","",'GREEN SHEET'!E51)</f>
        <v/>
      </c>
      <c r="H51" s="25" t="str">
        <f>IF('GREEN SHEET'!F51="","",'GREEN SHEET'!F51)</f>
        <v/>
      </c>
      <c r="I51" s="25" t="str">
        <f>IF('GREEN SHEET'!G51="","",'GREEN SHEET'!G51)</f>
        <v/>
      </c>
      <c r="J51" s="25" t="str">
        <f>IF('GREEN SHEET'!H51="","",'GREEN SHEET'!H51)</f>
        <v/>
      </c>
      <c r="K51" s="25" t="str">
        <f>IF('GREEN SHEET'!I51="","",'GREEN SHEET'!I51)</f>
        <v/>
      </c>
      <c r="L51" s="25" t="str">
        <f>IF('GREEN SHEET'!J51="","",'GREEN SHEET'!J51)</f>
        <v/>
      </c>
      <c r="M51" s="25" t="str">
        <f>IF('GREEN SHEET'!K51="","",'GREEN SHEET'!K51)</f>
        <v/>
      </c>
      <c r="N51" s="166" t="str">
        <f>IF(F51="","",IF('GREEN SHEET'!AB51="",'GREEN SHEET'!Y51,'GREEN SHEET'!AB51))</f>
        <v/>
      </c>
      <c r="O51" s="166" t="str">
        <f>IF(F51="","",IF('GREEN SHEET'!AC51="",'GREEN SHEET'!Z51,'GREEN SHEET'!AC51))</f>
        <v/>
      </c>
      <c r="P51" s="167" t="str">
        <f>IF(F51="","",IF('GREEN SHEET'!AV51="",'GREEN SHEET'!AS51,'GREEN SHEET'!AV51))</f>
        <v/>
      </c>
      <c r="Q51" s="167" t="str">
        <f>IF(F51="","",IF('GREEN SHEET'!AW51="",'GREEN SHEET'!AT51,'GREEN SHEET'!AW51))</f>
        <v/>
      </c>
      <c r="R51" s="166" t="str">
        <f>IF(F51="","",IF('GREEN SHEET'!BO51="",'GREEN SHEET'!BL51,'GREEN SHEET'!BO51))</f>
        <v/>
      </c>
      <c r="S51" s="166" t="str">
        <f>IF(F51="","",IF('GREEN SHEET'!BP51="",'GREEN SHEET'!BM51,'GREEN SHEET'!BP51))</f>
        <v/>
      </c>
      <c r="T51" s="167" t="str">
        <f>IF(F51="","",IF('GREEN SHEET'!CH51="",'GREEN SHEET'!CE51,'GREEN SHEET'!CH51))</f>
        <v/>
      </c>
      <c r="U51" s="167" t="str">
        <f>IF(F51="","",IF('GREEN SHEET'!CI51="",'GREEN SHEET'!CF51,'GREEN SHEET'!CI51))</f>
        <v/>
      </c>
      <c r="V51" s="168" t="str">
        <f>IF(F51="","",IF('GREEN SHEET'!DA51="",'GREEN SHEET'!CX51,'GREEN SHEET'!DA51))</f>
        <v/>
      </c>
      <c r="W51" s="168" t="str">
        <f>IF(F51="","",IF('GREEN SHEET'!DB51="",'GREEN SHEET'!CY51,'GREEN SHEET'!DB51))</f>
        <v/>
      </c>
      <c r="X51" s="167" t="str">
        <f>IF(F51="","",IF('GREEN SHEET'!DT51="",'GREEN SHEET'!DQ51,'GREEN SHEET'!DT51))</f>
        <v/>
      </c>
      <c r="Y51" s="167" t="str">
        <f>IF(F51="","",IF('GREEN SHEET'!DU51="",'GREEN SHEET'!DR51,'GREEN SHEET'!DU51))</f>
        <v/>
      </c>
      <c r="Z51" s="169" t="str">
        <f>IF(F51="","",IF('GREEN SHEET'!FH51="",'GREEN SHEET'!EH51,'GREEN SHEET'!FH51))</f>
        <v/>
      </c>
      <c r="AA51" s="170" t="str">
        <f t="shared" si="1"/>
        <v/>
      </c>
      <c r="AB51" s="171" t="str">
        <f t="shared" si="7"/>
        <v/>
      </c>
      <c r="AC51" s="171" t="str">
        <f>IF(F51="","",IF('GREEN SHEET'!EN51="","",'GREEN SHEET'!EN51))</f>
        <v/>
      </c>
      <c r="AD51" s="174" t="str">
        <f>IF(AA51="","",RANK(AA51,AA$7:$AA$51,0)+COUNTIF($AA$7:AA51,AA51)-1)</f>
        <v/>
      </c>
      <c r="AE51" s="174" t="str">
        <f t="shared" si="2"/>
        <v/>
      </c>
      <c r="AF51" s="174" t="str">
        <f t="shared" si="3"/>
        <v/>
      </c>
      <c r="AG51" s="174" t="str">
        <f t="shared" si="4"/>
        <v/>
      </c>
    </row>
    <row r="52" spans="1:39" s="158" customFormat="1" ht="17.399999999999999" hidden="1" thickBot="1" x14ac:dyDescent="0.3">
      <c r="A52" s="154"/>
      <c r="B52" s="175"/>
      <c r="C52" s="175"/>
      <c r="D52" s="175"/>
      <c r="E52" s="175"/>
      <c r="F52" s="175"/>
      <c r="G52" s="176"/>
      <c r="H52" s="177"/>
      <c r="I52" s="177"/>
      <c r="J52" s="178"/>
      <c r="K52" s="175"/>
      <c r="L52" s="175"/>
      <c r="M52" s="177"/>
      <c r="N52" s="179"/>
      <c r="O52" s="179"/>
      <c r="P52" s="179"/>
      <c r="Q52" s="180"/>
      <c r="R52" s="179"/>
      <c r="S52" s="179"/>
      <c r="T52" s="179"/>
      <c r="U52" s="179"/>
      <c r="V52" s="181"/>
      <c r="W52" s="181"/>
      <c r="X52" s="179"/>
      <c r="Y52" s="179"/>
      <c r="Z52" s="179"/>
      <c r="AA52" s="182"/>
      <c r="AB52" s="179"/>
      <c r="AC52" s="179"/>
      <c r="AD52" s="183"/>
      <c r="AE52" s="183"/>
      <c r="AF52" s="183"/>
      <c r="AG52" s="183"/>
      <c r="AI52" s="21"/>
      <c r="AJ52" s="21"/>
      <c r="AK52" s="21"/>
      <c r="AL52" s="21"/>
      <c r="AM52" s="21"/>
    </row>
    <row r="53" spans="1:39" s="158" customFormat="1" ht="39" customHeight="1" thickBot="1" x14ac:dyDescent="0.3">
      <c r="A53" s="154"/>
      <c r="B53" s="1458" t="s">
        <v>226</v>
      </c>
      <c r="C53" s="1459"/>
      <c r="D53" s="1459"/>
      <c r="E53" s="1459"/>
      <c r="F53" s="1459"/>
      <c r="G53" s="184" t="s">
        <v>239</v>
      </c>
      <c r="H53" s="1460" t="s">
        <v>227</v>
      </c>
      <c r="I53" s="1461"/>
      <c r="J53" s="1461"/>
      <c r="K53" s="1461"/>
      <c r="L53" s="1461"/>
      <c r="M53" s="185"/>
      <c r="N53" s="1462" t="str">
        <f>"RANK WISE RESULT  "&amp;DASHBOARD!B4</f>
        <v>RANK WISE RESULT  SESSION    -  2025-26</v>
      </c>
      <c r="O53" s="1463"/>
      <c r="P53" s="1463"/>
      <c r="Q53" s="1463"/>
      <c r="R53" s="1463"/>
      <c r="S53" s="1463"/>
      <c r="T53" s="1463"/>
      <c r="U53" s="1463"/>
      <c r="V53" s="1463"/>
      <c r="W53" s="1463"/>
      <c r="X53" s="1463"/>
      <c r="Y53" s="1463"/>
      <c r="Z53" s="1463"/>
      <c r="AA53" s="1463"/>
      <c r="AB53" s="1463"/>
      <c r="AC53" s="1463"/>
      <c r="AD53" s="185"/>
      <c r="AE53" s="185"/>
      <c r="AF53" s="185"/>
      <c r="AG53" s="186"/>
      <c r="AI53" s="21"/>
      <c r="AJ53" s="21"/>
      <c r="AK53" s="21"/>
      <c r="AL53" s="21"/>
      <c r="AM53" s="21"/>
    </row>
    <row r="54" spans="1:39" s="158" customFormat="1" ht="63.6" hidden="1" customHeight="1" x14ac:dyDescent="0.25">
      <c r="A54" s="154"/>
      <c r="B54" s="25" t="str">
        <f>B6</f>
        <v>S.NO.</v>
      </c>
      <c r="C54" s="25" t="str">
        <f t="shared" ref="C54:X54" si="8">C6</f>
        <v>RANK</v>
      </c>
      <c r="D54" s="25" t="str">
        <f t="shared" si="8"/>
        <v>RANK</v>
      </c>
      <c r="E54" s="25" t="str">
        <f t="shared" si="8"/>
        <v>ROLL NO.</v>
      </c>
      <c r="F54" s="25" t="str">
        <f t="shared" si="8"/>
        <v>S.R.NO.</v>
      </c>
      <c r="G54" s="45" t="str">
        <f t="shared" si="8"/>
        <v xml:space="preserve">NAME </v>
      </c>
      <c r="H54" s="45" t="str">
        <f t="shared" si="8"/>
        <v>F'NAME</v>
      </c>
      <c r="I54" s="45" t="str">
        <f t="shared" si="8"/>
        <v>M'NAME</v>
      </c>
      <c r="J54" s="187" t="str">
        <f t="shared" si="8"/>
        <v>DOB</v>
      </c>
      <c r="K54" s="25" t="str">
        <f t="shared" si="8"/>
        <v>BOY/GIRL</v>
      </c>
      <c r="L54" s="25" t="str">
        <f t="shared" si="8"/>
        <v>CATEGORY</v>
      </c>
      <c r="M54" s="45" t="str">
        <f t="shared" si="8"/>
        <v>ADDRESS</v>
      </c>
      <c r="N54" s="166">
        <f t="shared" si="8"/>
        <v>100</v>
      </c>
      <c r="O54" s="166" t="str">
        <f>IF(N54="","",IF(N54&lt;33,"E",IF(AND(N54&gt;=33,N54&lt;41),"D",IF(AND(N54&gt;=41,N54&lt;51),"C2",IF(AND(N54&gt;=51,N54&lt;61),"C1",IF(AND(N54&gt;=61,N54&lt;71),"B2",IF(AND(N54&gt;=71,N54&lt;81),"B1",IF(AND(N54&gt;=81,N54&lt;91),"A2",IF(AND(N54&gt;=91,N54&lt;=100),"A1")))))))))</f>
        <v>A1</v>
      </c>
      <c r="P54" s="167">
        <f t="shared" si="8"/>
        <v>100</v>
      </c>
      <c r="Q54" s="188" t="str">
        <f>IF(P54="","",IF(P54&lt;33,"E",IF(AND(P54&gt;=33,P54&lt;41),"D",IF(AND(P54&gt;=41,P54&lt;51),"C2",IF(AND(P54&gt;=51,P54&lt;61),"C1",IF(AND(P54&gt;=61,P54&lt;71),"B2",IF(AND(P54&gt;=71,P54&lt;81),"B1",IF(AND(P54&gt;=81,P54&lt;91),"A2",IF(AND(P54&gt;=91,P54&lt;=100),"A1")))))))))</f>
        <v>A1</v>
      </c>
      <c r="R54" s="166">
        <f t="shared" si="8"/>
        <v>100</v>
      </c>
      <c r="S54" s="166" t="str">
        <f>IF(R54="","",IF(R54&lt;33,"E",IF(AND(R54&gt;=33,R54&lt;41),"D",IF(AND(R54&gt;=41,R54&lt;51),"C2",IF(AND(R54&gt;=51,R54&lt;61),"C1",IF(AND(R54&gt;=61,R54&lt;71),"B2",IF(AND(R54&gt;=71,R54&lt;81),"B1",IF(AND(R54&gt;=81,R54&lt;91),"A2",IF(AND(R54&gt;=91,R54&lt;=100),"A1")))))))))</f>
        <v>A1</v>
      </c>
      <c r="T54" s="167">
        <f t="shared" si="8"/>
        <v>100</v>
      </c>
      <c r="U54" s="167" t="str">
        <f>IF(T54="","",IF(T54&lt;33,"E",IF(AND(T54&gt;=33,T54&lt;41),"D",IF(AND(T54&gt;=41,T54&lt;51),"C2",IF(AND(T54&gt;=51,T54&lt;61),"C1",IF(AND(T54&gt;=61,T54&lt;71),"B2",IF(AND(T54&gt;=71,T54&lt;81),"B1",IF(AND(T54&gt;=81,T54&lt;91),"A2",IF(AND(T54&gt;=91,T54&lt;=100),"A1")))))))))</f>
        <v>A1</v>
      </c>
      <c r="V54" s="168">
        <f t="shared" si="8"/>
        <v>100</v>
      </c>
      <c r="W54" s="168" t="str">
        <f>IF(V54="","",IF(V54&lt;33,"E",IF(AND(V54&gt;=33,V54&lt;41),"D",IF(AND(V54&gt;=41,V54&lt;51),"C2",IF(AND(V54&gt;=51,V54&lt;61),"C1",IF(AND(V54&gt;=61,V54&lt;71),"B2",IF(AND(V54&gt;=71,V54&lt;81),"B1",IF(AND(V54&gt;=81,V54&lt;91),"A2",IF(AND(V54&gt;=91,V54&lt;=100),"A1")))))))))</f>
        <v>A1</v>
      </c>
      <c r="X54" s="167">
        <f t="shared" si="8"/>
        <v>100</v>
      </c>
      <c r="Y54" s="167" t="str">
        <f>IF(X54="","",IF(X54&lt;33,"E",IF(AND(X54&gt;=33,X54&lt;41),"D",IF(AND(X54&gt;=41,X54&lt;51),"C2",IF(AND(X54&gt;=51,X54&lt;61),"C1",IF(AND(X54&gt;=61,X54&lt;71),"B2",IF(AND(X54&gt;=71,X54&lt;81),"B1",IF(AND(X54&gt;=81,X54&lt;91),"A2",IF(AND(X54&gt;=91,X54&lt;=100),"A1")))))))))</f>
        <v>A1</v>
      </c>
      <c r="Z54" s="189" t="str">
        <f>Z2</f>
        <v xml:space="preserve">GRAND TOTAL MARKS </v>
      </c>
      <c r="AA54" s="189" t="str">
        <f>AA2</f>
        <v>PERCENT</v>
      </c>
      <c r="AB54" s="189" t="str">
        <f>AB2</f>
        <v xml:space="preserve">OVERALL GRADE </v>
      </c>
      <c r="AC54" s="189" t="str">
        <f>AC2</f>
        <v xml:space="preserve">POSITION IN CLASS </v>
      </c>
      <c r="AD54" s="172" t="str">
        <f>AD4</f>
        <v>RANK</v>
      </c>
      <c r="AE54" s="172" t="str">
        <f t="shared" ref="AE54" si="9">AE4</f>
        <v>H1</v>
      </c>
      <c r="AF54" s="172"/>
      <c r="AG54" s="172"/>
      <c r="AI54" s="21"/>
      <c r="AJ54" s="21"/>
      <c r="AK54" s="21"/>
      <c r="AL54" s="21"/>
      <c r="AM54" s="21"/>
    </row>
    <row r="55" spans="1:39" s="158" customFormat="1" ht="16.8" hidden="1" x14ac:dyDescent="0.25">
      <c r="A55" s="154"/>
      <c r="B55" s="25">
        <v>1</v>
      </c>
      <c r="C55" s="25" t="str">
        <f>IF(AG7="","",AG7)</f>
        <v/>
      </c>
      <c r="D55" s="25" t="str">
        <f>IF(AD55="","",AD55)</f>
        <v/>
      </c>
      <c r="E55" s="25" t="str">
        <f t="shared" ref="E55:E93" si="10">IF(C55="","",VLOOKUP(C55,$C$7:$AC$51,3,FALSE))</f>
        <v/>
      </c>
      <c r="F55" s="25" t="str">
        <f t="shared" ref="F55:F93" si="11">IF(C55="","",VLOOKUP(C55,$C$7:$AC$51,4,FALSE))</f>
        <v/>
      </c>
      <c r="G55" s="45" t="str">
        <f t="shared" ref="G55:G93" si="12">IF(C55="","",VLOOKUP(C55,$C$7:$AC$51,5,FALSE))</f>
        <v/>
      </c>
      <c r="H55" s="45" t="str">
        <f t="shared" ref="H55:H93" si="13">IF(C55="","",VLOOKUP(C55,$C$7:$AC$51,6,FALSE))</f>
        <v/>
      </c>
      <c r="I55" s="45" t="str">
        <f t="shared" ref="I55:I93" si="14">IF(C55="","",VLOOKUP(C55,$C$7:$AC$51,7,FALSE))</f>
        <v/>
      </c>
      <c r="J55" s="187" t="str">
        <f t="shared" ref="J55:J93" si="15">IF(C55="","",VLOOKUP(C55,$C$7:$AC$51,8,FALSE))</f>
        <v/>
      </c>
      <c r="K55" s="25" t="str">
        <f t="shared" ref="K55:K93" si="16">IF(C55="","",VLOOKUP(C55,$C$7:$AC$51,9,FALSE))</f>
        <v/>
      </c>
      <c r="L55" s="25" t="str">
        <f t="shared" ref="L55:L93" si="17">IF(C55="","",VLOOKUP(C55,$C$7:$AC$51,10,FALSE))</f>
        <v/>
      </c>
      <c r="M55" s="45" t="str">
        <f t="shared" ref="M55:M93" si="18">IF(C55="","",VLOOKUP(C55,$C$7:$AC$51,11,FALSE))</f>
        <v/>
      </c>
      <c r="N55" s="166" t="str">
        <f t="shared" ref="N55:N94" si="19">IF(C55="","",VLOOKUP(C55,$C$7:$AC$51,12,FALSE))</f>
        <v/>
      </c>
      <c r="O55" s="166" t="str">
        <f t="shared" ref="O55:O94" si="20">IF(N55="","",IF(N55&lt;33,"E",IF(AND(N55&gt;=33,N55&lt;41),"D",IF(AND(N55&gt;=41,N55&lt;51),"C2",IF(AND(N55&gt;=51,N55&lt;61),"C1",IF(AND(N55&gt;=61,N55&lt;71),"B2",IF(AND(N55&gt;=71,N55&lt;81),"B1",IF(AND(N55&gt;=81,N55&lt;91),"A2",IF(AND(N55&gt;=91,N55&lt;=100),"A1")))))))))</f>
        <v/>
      </c>
      <c r="P55" s="167" t="str">
        <f t="shared" ref="P55:P94" si="21">IF(C55="","",VLOOKUP(C55,$C$7:$AC$51,14,FALSE))</f>
        <v/>
      </c>
      <c r="Q55" s="188" t="str">
        <f t="shared" ref="Q55:Q94" si="22">IF(P55="","",IF(P55&lt;33,"E",IF(AND(P55&gt;=33,P55&lt;41),"D",IF(AND(P55&gt;=41,P55&lt;51),"C2",IF(AND(P55&gt;=51,P55&lt;61),"C1",IF(AND(P55&gt;=61,P55&lt;71),"B2",IF(AND(P55&gt;=71,P55&lt;81),"B1",IF(AND(P55&gt;=81,P55&lt;91),"A2",IF(AND(P55&gt;=91,P55&lt;=100),"A1")))))))))</f>
        <v/>
      </c>
      <c r="R55" s="166" t="str">
        <f t="shared" ref="R55:R94" si="23">IF(C55="","",VLOOKUP(C55,$C$7:$AC$51,16,FALSE))</f>
        <v/>
      </c>
      <c r="S55" s="166" t="str">
        <f t="shared" ref="S55:S94" si="24">IF(R55="","",IF(R55&lt;33,"E",IF(AND(R55&gt;=33,R55&lt;41),"D",IF(AND(R55&gt;=41,R55&lt;51),"C2",IF(AND(R55&gt;=51,R55&lt;61),"C1",IF(AND(R55&gt;=61,R55&lt;71),"B2",IF(AND(R55&gt;=71,R55&lt;81),"B1",IF(AND(R55&gt;=81,R55&lt;91),"A2",IF(AND(R55&gt;=91,R55&lt;=100),"A1")))))))))</f>
        <v/>
      </c>
      <c r="T55" s="167" t="str">
        <f t="shared" ref="T55:T94" si="25">IF(C55="","",VLOOKUP(C55,$C$7:$AC$51,18,FALSE))</f>
        <v/>
      </c>
      <c r="U55" s="167" t="str">
        <f t="shared" ref="U55:U94" si="26">IF(T55="","",IF(T55&lt;33,"E",IF(AND(T55&gt;=33,T55&lt;41),"D",IF(AND(T55&gt;=41,T55&lt;51),"C2",IF(AND(T55&gt;=51,T55&lt;61),"C1",IF(AND(T55&gt;=61,T55&lt;71),"B2",IF(AND(T55&gt;=71,T55&lt;81),"B1",IF(AND(T55&gt;=81,T55&lt;91),"A2",IF(AND(T55&gt;=91,T55&lt;=100),"A1")))))))))</f>
        <v/>
      </c>
      <c r="V55" s="168" t="str">
        <f t="shared" ref="V55:V94" si="27">IF(C55="","",VLOOKUP(C55,$C$7:$AC$51,20,FALSE))</f>
        <v/>
      </c>
      <c r="W55" s="168" t="str">
        <f t="shared" ref="W55:W94" si="28">IF(V55="","",IF(V55&lt;33,"E",IF(AND(V55&gt;=33,V55&lt;41),"D",IF(AND(V55&gt;=41,V55&lt;51),"C2",IF(AND(V55&gt;=51,V55&lt;61),"C1",IF(AND(V55&gt;=61,V55&lt;71),"B2",IF(AND(V55&gt;=71,V55&lt;81),"B1",IF(AND(V55&gt;=81,V55&lt;91),"A2",IF(AND(V55&gt;=91,V55&lt;=100),"A1")))))))))</f>
        <v/>
      </c>
      <c r="X55" s="167" t="str">
        <f t="shared" ref="X55:X94" si="29">IF(C55="","",VLOOKUP(C55,$C$7:$AC$51,22,FALSE))</f>
        <v/>
      </c>
      <c r="Y55" s="167" t="str">
        <f t="shared" ref="Y55:Y94" si="30">IF(X55="","",IF(X55&lt;33,"E",IF(AND(X55&gt;=33,X55&lt;41),"D",IF(AND(X55&gt;=41,X55&lt;51),"C2",IF(AND(X55&gt;=51,X55&lt;61),"C1",IF(AND(X55&gt;=61,X55&lt;71),"B2",IF(AND(X55&gt;=71,X55&lt;81),"B1",IF(AND(X55&gt;=81,X55&lt;91),"A2",IF(AND(X55&gt;=91,X55&lt;=100),"A1")))))))))</f>
        <v/>
      </c>
      <c r="Z55" s="169" t="str">
        <f t="shared" ref="Z55:Z94" si="31">IF(C55="","",VLOOKUP(C55,$C$7:$AC$51,24,FALSE))</f>
        <v/>
      </c>
      <c r="AA55" s="170" t="str">
        <f t="shared" ref="AA55:AA94" si="32">IF(C55="","",VLOOKUP(C55,$C$7:$AC$51,25,FALSE))</f>
        <v/>
      </c>
      <c r="AB55" s="169" t="str">
        <f t="shared" ref="AB55:AB94" si="33">IF(C55="","",VLOOKUP(C55,$C$7:$AC$51,26,FALSE))</f>
        <v/>
      </c>
      <c r="AC55" s="169" t="str">
        <f t="shared" ref="AC55:AC94" si="34">IF(C55="","",VLOOKUP(C55,$C$7:$AC$51,27,FALSE))</f>
        <v/>
      </c>
      <c r="AD55" s="174" t="str">
        <f>IF(C55="","",VLOOKUP(C55,$C$7:$AD$51,28,FALSE))</f>
        <v/>
      </c>
      <c r="AE55" s="174" t="str">
        <f t="shared" ref="AE55:AE94" si="35">IF(AD55="","",SMALL($AD$55:$AD$94,B7))</f>
        <v/>
      </c>
      <c r="AF55" s="174"/>
      <c r="AG55" s="174"/>
      <c r="AI55" s="21"/>
      <c r="AJ55" s="21"/>
      <c r="AK55" s="21"/>
      <c r="AL55" s="21"/>
      <c r="AM55" s="21"/>
    </row>
    <row r="56" spans="1:39" s="158" customFormat="1" ht="16.8" hidden="1" x14ac:dyDescent="0.25">
      <c r="A56" s="154"/>
      <c r="B56" s="25">
        <v>2</v>
      </c>
      <c r="C56" s="25" t="str">
        <f t="shared" ref="C56:C94" si="36">IF(AG8="","",AG8)</f>
        <v/>
      </c>
      <c r="D56" s="25" t="str">
        <f t="shared" ref="D56:D93" si="37">IF(AD56="","",AD56)</f>
        <v/>
      </c>
      <c r="E56" s="25" t="str">
        <f t="shared" si="10"/>
        <v/>
      </c>
      <c r="F56" s="25" t="str">
        <f t="shared" si="11"/>
        <v/>
      </c>
      <c r="G56" s="45" t="str">
        <f t="shared" si="12"/>
        <v/>
      </c>
      <c r="H56" s="45" t="str">
        <f t="shared" si="13"/>
        <v/>
      </c>
      <c r="I56" s="45" t="str">
        <f t="shared" si="14"/>
        <v/>
      </c>
      <c r="J56" s="187" t="str">
        <f t="shared" si="15"/>
        <v/>
      </c>
      <c r="K56" s="25" t="str">
        <f t="shared" si="16"/>
        <v/>
      </c>
      <c r="L56" s="25" t="str">
        <f t="shared" si="17"/>
        <v/>
      </c>
      <c r="M56" s="45" t="str">
        <f t="shared" si="18"/>
        <v/>
      </c>
      <c r="N56" s="166" t="str">
        <f t="shared" si="19"/>
        <v/>
      </c>
      <c r="O56" s="166" t="str">
        <f t="shared" si="20"/>
        <v/>
      </c>
      <c r="P56" s="167" t="str">
        <f t="shared" si="21"/>
        <v/>
      </c>
      <c r="Q56" s="188" t="str">
        <f t="shared" si="22"/>
        <v/>
      </c>
      <c r="R56" s="166" t="str">
        <f t="shared" si="23"/>
        <v/>
      </c>
      <c r="S56" s="166" t="str">
        <f t="shared" si="24"/>
        <v/>
      </c>
      <c r="T56" s="167" t="str">
        <f t="shared" si="25"/>
        <v/>
      </c>
      <c r="U56" s="167" t="str">
        <f t="shared" si="26"/>
        <v/>
      </c>
      <c r="V56" s="168" t="str">
        <f t="shared" si="27"/>
        <v/>
      </c>
      <c r="W56" s="168" t="str">
        <f t="shared" si="28"/>
        <v/>
      </c>
      <c r="X56" s="167" t="str">
        <f t="shared" si="29"/>
        <v/>
      </c>
      <c r="Y56" s="167" t="str">
        <f t="shared" si="30"/>
        <v/>
      </c>
      <c r="Z56" s="169" t="str">
        <f t="shared" si="31"/>
        <v/>
      </c>
      <c r="AA56" s="170" t="str">
        <f t="shared" si="32"/>
        <v/>
      </c>
      <c r="AB56" s="169" t="str">
        <f t="shared" si="33"/>
        <v/>
      </c>
      <c r="AC56" s="169" t="str">
        <f t="shared" si="34"/>
        <v/>
      </c>
      <c r="AD56" s="174" t="str">
        <f t="shared" ref="AD56:AD94" si="38">IF(C56="","",VLOOKUP(C56,$C$7:$AD$51,28,FALSE))</f>
        <v/>
      </c>
      <c r="AE56" s="174" t="str">
        <f t="shared" si="35"/>
        <v/>
      </c>
      <c r="AF56" s="174"/>
      <c r="AG56" s="174"/>
      <c r="AI56" s="21"/>
      <c r="AJ56" s="21"/>
      <c r="AK56" s="21"/>
      <c r="AL56" s="21"/>
      <c r="AM56" s="21"/>
    </row>
    <row r="57" spans="1:39" s="158" customFormat="1" ht="16.8" hidden="1" x14ac:dyDescent="0.25">
      <c r="A57" s="154"/>
      <c r="B57" s="25">
        <v>3</v>
      </c>
      <c r="C57" s="25" t="str">
        <f t="shared" si="36"/>
        <v/>
      </c>
      <c r="D57" s="25" t="str">
        <f t="shared" si="37"/>
        <v/>
      </c>
      <c r="E57" s="25" t="str">
        <f t="shared" si="10"/>
        <v/>
      </c>
      <c r="F57" s="25" t="str">
        <f t="shared" si="11"/>
        <v/>
      </c>
      <c r="G57" s="45" t="str">
        <f t="shared" si="12"/>
        <v/>
      </c>
      <c r="H57" s="45" t="str">
        <f t="shared" si="13"/>
        <v/>
      </c>
      <c r="I57" s="45" t="str">
        <f t="shared" si="14"/>
        <v/>
      </c>
      <c r="J57" s="187" t="str">
        <f t="shared" si="15"/>
        <v/>
      </c>
      <c r="K57" s="25" t="str">
        <f t="shared" si="16"/>
        <v/>
      </c>
      <c r="L57" s="25" t="str">
        <f t="shared" si="17"/>
        <v/>
      </c>
      <c r="M57" s="45" t="str">
        <f t="shared" si="18"/>
        <v/>
      </c>
      <c r="N57" s="166" t="str">
        <f t="shared" si="19"/>
        <v/>
      </c>
      <c r="O57" s="166" t="str">
        <f t="shared" si="20"/>
        <v/>
      </c>
      <c r="P57" s="167" t="str">
        <f t="shared" si="21"/>
        <v/>
      </c>
      <c r="Q57" s="188" t="str">
        <f t="shared" si="22"/>
        <v/>
      </c>
      <c r="R57" s="166" t="str">
        <f t="shared" si="23"/>
        <v/>
      </c>
      <c r="S57" s="166" t="str">
        <f t="shared" si="24"/>
        <v/>
      </c>
      <c r="T57" s="167" t="str">
        <f t="shared" si="25"/>
        <v/>
      </c>
      <c r="U57" s="167" t="str">
        <f t="shared" si="26"/>
        <v/>
      </c>
      <c r="V57" s="168" t="str">
        <f t="shared" si="27"/>
        <v/>
      </c>
      <c r="W57" s="168" t="str">
        <f t="shared" si="28"/>
        <v/>
      </c>
      <c r="X57" s="167" t="str">
        <f t="shared" si="29"/>
        <v/>
      </c>
      <c r="Y57" s="167" t="str">
        <f t="shared" si="30"/>
        <v/>
      </c>
      <c r="Z57" s="169" t="str">
        <f t="shared" si="31"/>
        <v/>
      </c>
      <c r="AA57" s="170" t="str">
        <f t="shared" si="32"/>
        <v/>
      </c>
      <c r="AB57" s="169" t="str">
        <f t="shared" si="33"/>
        <v/>
      </c>
      <c r="AC57" s="169" t="str">
        <f t="shared" si="34"/>
        <v/>
      </c>
      <c r="AD57" s="174" t="str">
        <f t="shared" si="38"/>
        <v/>
      </c>
      <c r="AE57" s="174" t="str">
        <f t="shared" si="35"/>
        <v/>
      </c>
      <c r="AF57" s="174"/>
      <c r="AG57" s="174"/>
      <c r="AI57" s="21"/>
      <c r="AJ57" s="21"/>
      <c r="AK57" s="21"/>
      <c r="AL57" s="21"/>
      <c r="AM57" s="21"/>
    </row>
    <row r="58" spans="1:39" s="158" customFormat="1" ht="16.8" hidden="1" x14ac:dyDescent="0.25">
      <c r="A58" s="154"/>
      <c r="B58" s="25">
        <v>4</v>
      </c>
      <c r="C58" s="25" t="str">
        <f t="shared" si="36"/>
        <v/>
      </c>
      <c r="D58" s="25" t="str">
        <f t="shared" si="37"/>
        <v/>
      </c>
      <c r="E58" s="25" t="str">
        <f t="shared" si="10"/>
        <v/>
      </c>
      <c r="F58" s="25" t="str">
        <f t="shared" si="11"/>
        <v/>
      </c>
      <c r="G58" s="45" t="str">
        <f t="shared" si="12"/>
        <v/>
      </c>
      <c r="H58" s="45" t="str">
        <f t="shared" si="13"/>
        <v/>
      </c>
      <c r="I58" s="45" t="str">
        <f t="shared" si="14"/>
        <v/>
      </c>
      <c r="J58" s="187" t="str">
        <f t="shared" si="15"/>
        <v/>
      </c>
      <c r="K58" s="25" t="str">
        <f t="shared" si="16"/>
        <v/>
      </c>
      <c r="L58" s="25" t="str">
        <f t="shared" si="17"/>
        <v/>
      </c>
      <c r="M58" s="45" t="str">
        <f t="shared" si="18"/>
        <v/>
      </c>
      <c r="N58" s="166" t="str">
        <f t="shared" si="19"/>
        <v/>
      </c>
      <c r="O58" s="166" t="str">
        <f t="shared" si="20"/>
        <v/>
      </c>
      <c r="P58" s="167" t="str">
        <f t="shared" si="21"/>
        <v/>
      </c>
      <c r="Q58" s="188" t="str">
        <f t="shared" si="22"/>
        <v/>
      </c>
      <c r="R58" s="166" t="str">
        <f t="shared" si="23"/>
        <v/>
      </c>
      <c r="S58" s="166" t="str">
        <f t="shared" si="24"/>
        <v/>
      </c>
      <c r="T58" s="167" t="str">
        <f t="shared" si="25"/>
        <v/>
      </c>
      <c r="U58" s="167" t="str">
        <f t="shared" si="26"/>
        <v/>
      </c>
      <c r="V58" s="168" t="str">
        <f t="shared" si="27"/>
        <v/>
      </c>
      <c r="W58" s="168" t="str">
        <f t="shared" si="28"/>
        <v/>
      </c>
      <c r="X58" s="167" t="str">
        <f t="shared" si="29"/>
        <v/>
      </c>
      <c r="Y58" s="167" t="str">
        <f t="shared" si="30"/>
        <v/>
      </c>
      <c r="Z58" s="169" t="str">
        <f t="shared" si="31"/>
        <v/>
      </c>
      <c r="AA58" s="170" t="str">
        <f t="shared" si="32"/>
        <v/>
      </c>
      <c r="AB58" s="169" t="str">
        <f t="shared" si="33"/>
        <v/>
      </c>
      <c r="AC58" s="169" t="str">
        <f t="shared" si="34"/>
        <v/>
      </c>
      <c r="AD58" s="174" t="str">
        <f t="shared" si="38"/>
        <v/>
      </c>
      <c r="AE58" s="174" t="str">
        <f t="shared" si="35"/>
        <v/>
      </c>
      <c r="AF58" s="174"/>
      <c r="AG58" s="174"/>
      <c r="AI58" s="21"/>
      <c r="AJ58" s="21"/>
      <c r="AK58" s="21"/>
      <c r="AL58" s="21"/>
      <c r="AM58" s="21"/>
    </row>
    <row r="59" spans="1:39" s="158" customFormat="1" ht="16.8" hidden="1" x14ac:dyDescent="0.25">
      <c r="A59" s="154"/>
      <c r="B59" s="25">
        <v>5</v>
      </c>
      <c r="C59" s="25" t="str">
        <f t="shared" si="36"/>
        <v/>
      </c>
      <c r="D59" s="25" t="str">
        <f t="shared" si="37"/>
        <v/>
      </c>
      <c r="E59" s="25" t="str">
        <f t="shared" si="10"/>
        <v/>
      </c>
      <c r="F59" s="25" t="str">
        <f t="shared" si="11"/>
        <v/>
      </c>
      <c r="G59" s="45" t="str">
        <f t="shared" si="12"/>
        <v/>
      </c>
      <c r="H59" s="45" t="str">
        <f t="shared" si="13"/>
        <v/>
      </c>
      <c r="I59" s="45" t="str">
        <f t="shared" si="14"/>
        <v/>
      </c>
      <c r="J59" s="187" t="str">
        <f t="shared" si="15"/>
        <v/>
      </c>
      <c r="K59" s="25" t="str">
        <f t="shared" si="16"/>
        <v/>
      </c>
      <c r="L59" s="25" t="str">
        <f t="shared" si="17"/>
        <v/>
      </c>
      <c r="M59" s="45" t="str">
        <f t="shared" si="18"/>
        <v/>
      </c>
      <c r="N59" s="166" t="str">
        <f t="shared" si="19"/>
        <v/>
      </c>
      <c r="O59" s="166" t="str">
        <f t="shared" si="20"/>
        <v/>
      </c>
      <c r="P59" s="167" t="str">
        <f t="shared" si="21"/>
        <v/>
      </c>
      <c r="Q59" s="188" t="str">
        <f t="shared" si="22"/>
        <v/>
      </c>
      <c r="R59" s="166" t="str">
        <f t="shared" si="23"/>
        <v/>
      </c>
      <c r="S59" s="166" t="str">
        <f t="shared" si="24"/>
        <v/>
      </c>
      <c r="T59" s="167" t="str">
        <f t="shared" si="25"/>
        <v/>
      </c>
      <c r="U59" s="167" t="str">
        <f t="shared" si="26"/>
        <v/>
      </c>
      <c r="V59" s="168" t="str">
        <f t="shared" si="27"/>
        <v/>
      </c>
      <c r="W59" s="168" t="str">
        <f t="shared" si="28"/>
        <v/>
      </c>
      <c r="X59" s="167" t="str">
        <f t="shared" si="29"/>
        <v/>
      </c>
      <c r="Y59" s="167" t="str">
        <f t="shared" si="30"/>
        <v/>
      </c>
      <c r="Z59" s="169" t="str">
        <f t="shared" si="31"/>
        <v/>
      </c>
      <c r="AA59" s="170" t="str">
        <f t="shared" si="32"/>
        <v/>
      </c>
      <c r="AB59" s="169" t="str">
        <f t="shared" si="33"/>
        <v/>
      </c>
      <c r="AC59" s="169" t="str">
        <f t="shared" si="34"/>
        <v/>
      </c>
      <c r="AD59" s="174" t="str">
        <f t="shared" si="38"/>
        <v/>
      </c>
      <c r="AE59" s="174" t="str">
        <f t="shared" si="35"/>
        <v/>
      </c>
      <c r="AF59" s="174"/>
      <c r="AG59" s="174"/>
      <c r="AI59" s="21"/>
      <c r="AJ59" s="21"/>
      <c r="AK59" s="21"/>
      <c r="AL59" s="21"/>
      <c r="AM59" s="21"/>
    </row>
    <row r="60" spans="1:39" s="158" customFormat="1" ht="16.8" hidden="1" x14ac:dyDescent="0.25">
      <c r="A60" s="154"/>
      <c r="B60" s="25">
        <v>6</v>
      </c>
      <c r="C60" s="25" t="str">
        <f t="shared" si="36"/>
        <v/>
      </c>
      <c r="D60" s="25" t="str">
        <f t="shared" si="37"/>
        <v/>
      </c>
      <c r="E60" s="25" t="str">
        <f t="shared" si="10"/>
        <v/>
      </c>
      <c r="F60" s="25" t="str">
        <f t="shared" si="11"/>
        <v/>
      </c>
      <c r="G60" s="45" t="str">
        <f t="shared" si="12"/>
        <v/>
      </c>
      <c r="H60" s="45" t="str">
        <f t="shared" si="13"/>
        <v/>
      </c>
      <c r="I60" s="45" t="str">
        <f t="shared" si="14"/>
        <v/>
      </c>
      <c r="J60" s="187" t="str">
        <f t="shared" si="15"/>
        <v/>
      </c>
      <c r="K60" s="25" t="str">
        <f t="shared" si="16"/>
        <v/>
      </c>
      <c r="L60" s="25" t="str">
        <f t="shared" si="17"/>
        <v/>
      </c>
      <c r="M60" s="45" t="str">
        <f t="shared" si="18"/>
        <v/>
      </c>
      <c r="N60" s="166" t="str">
        <f t="shared" si="19"/>
        <v/>
      </c>
      <c r="O60" s="166" t="str">
        <f t="shared" si="20"/>
        <v/>
      </c>
      <c r="P60" s="167" t="str">
        <f t="shared" si="21"/>
        <v/>
      </c>
      <c r="Q60" s="188" t="str">
        <f t="shared" si="22"/>
        <v/>
      </c>
      <c r="R60" s="166" t="str">
        <f t="shared" si="23"/>
        <v/>
      </c>
      <c r="S60" s="166" t="str">
        <f t="shared" si="24"/>
        <v/>
      </c>
      <c r="T60" s="167" t="str">
        <f t="shared" si="25"/>
        <v/>
      </c>
      <c r="U60" s="167" t="str">
        <f t="shared" si="26"/>
        <v/>
      </c>
      <c r="V60" s="168" t="str">
        <f t="shared" si="27"/>
        <v/>
      </c>
      <c r="W60" s="168" t="str">
        <f t="shared" si="28"/>
        <v/>
      </c>
      <c r="X60" s="167" t="str">
        <f t="shared" si="29"/>
        <v/>
      </c>
      <c r="Y60" s="167" t="str">
        <f t="shared" si="30"/>
        <v/>
      </c>
      <c r="Z60" s="169" t="str">
        <f t="shared" si="31"/>
        <v/>
      </c>
      <c r="AA60" s="170" t="str">
        <f t="shared" si="32"/>
        <v/>
      </c>
      <c r="AB60" s="169" t="str">
        <f t="shared" si="33"/>
        <v/>
      </c>
      <c r="AC60" s="169" t="str">
        <f t="shared" si="34"/>
        <v/>
      </c>
      <c r="AD60" s="174" t="str">
        <f t="shared" si="38"/>
        <v/>
      </c>
      <c r="AE60" s="174" t="str">
        <f t="shared" si="35"/>
        <v/>
      </c>
      <c r="AF60" s="174"/>
      <c r="AG60" s="174"/>
      <c r="AI60" s="21"/>
      <c r="AJ60" s="21"/>
      <c r="AK60" s="21"/>
      <c r="AL60" s="21"/>
      <c r="AM60" s="21"/>
    </row>
    <row r="61" spans="1:39" s="158" customFormat="1" ht="16.8" hidden="1" x14ac:dyDescent="0.25">
      <c r="A61" s="154"/>
      <c r="B61" s="25">
        <v>7</v>
      </c>
      <c r="C61" s="25" t="str">
        <f t="shared" si="36"/>
        <v/>
      </c>
      <c r="D61" s="25" t="str">
        <f t="shared" si="37"/>
        <v/>
      </c>
      <c r="E61" s="25" t="str">
        <f t="shared" si="10"/>
        <v/>
      </c>
      <c r="F61" s="25" t="str">
        <f t="shared" si="11"/>
        <v/>
      </c>
      <c r="G61" s="45" t="str">
        <f t="shared" si="12"/>
        <v/>
      </c>
      <c r="H61" s="45" t="str">
        <f t="shared" si="13"/>
        <v/>
      </c>
      <c r="I61" s="45" t="str">
        <f t="shared" si="14"/>
        <v/>
      </c>
      <c r="J61" s="187" t="str">
        <f t="shared" si="15"/>
        <v/>
      </c>
      <c r="K61" s="25" t="str">
        <f t="shared" si="16"/>
        <v/>
      </c>
      <c r="L61" s="25" t="str">
        <f t="shared" si="17"/>
        <v/>
      </c>
      <c r="M61" s="45" t="str">
        <f t="shared" si="18"/>
        <v/>
      </c>
      <c r="N61" s="166" t="str">
        <f t="shared" si="19"/>
        <v/>
      </c>
      <c r="O61" s="166" t="str">
        <f t="shared" si="20"/>
        <v/>
      </c>
      <c r="P61" s="167" t="str">
        <f t="shared" si="21"/>
        <v/>
      </c>
      <c r="Q61" s="188" t="str">
        <f t="shared" si="22"/>
        <v/>
      </c>
      <c r="R61" s="166" t="str">
        <f t="shared" si="23"/>
        <v/>
      </c>
      <c r="S61" s="166" t="str">
        <f t="shared" si="24"/>
        <v/>
      </c>
      <c r="T61" s="167" t="str">
        <f t="shared" si="25"/>
        <v/>
      </c>
      <c r="U61" s="167" t="str">
        <f t="shared" si="26"/>
        <v/>
      </c>
      <c r="V61" s="168" t="str">
        <f t="shared" si="27"/>
        <v/>
      </c>
      <c r="W61" s="168" t="str">
        <f t="shared" si="28"/>
        <v/>
      </c>
      <c r="X61" s="167" t="str">
        <f t="shared" si="29"/>
        <v/>
      </c>
      <c r="Y61" s="167" t="str">
        <f t="shared" si="30"/>
        <v/>
      </c>
      <c r="Z61" s="169" t="str">
        <f t="shared" si="31"/>
        <v/>
      </c>
      <c r="AA61" s="170" t="str">
        <f t="shared" si="32"/>
        <v/>
      </c>
      <c r="AB61" s="169" t="str">
        <f t="shared" si="33"/>
        <v/>
      </c>
      <c r="AC61" s="169" t="str">
        <f t="shared" si="34"/>
        <v/>
      </c>
      <c r="AD61" s="174" t="str">
        <f t="shared" si="38"/>
        <v/>
      </c>
      <c r="AE61" s="174" t="str">
        <f t="shared" si="35"/>
        <v/>
      </c>
      <c r="AF61" s="174"/>
      <c r="AG61" s="174"/>
      <c r="AI61" s="21"/>
      <c r="AJ61" s="21"/>
      <c r="AK61" s="21"/>
      <c r="AL61" s="21"/>
      <c r="AM61" s="21"/>
    </row>
    <row r="62" spans="1:39" s="158" customFormat="1" ht="16.8" hidden="1" x14ac:dyDescent="0.25">
      <c r="A62" s="154"/>
      <c r="B62" s="25">
        <v>8</v>
      </c>
      <c r="C62" s="25" t="str">
        <f t="shared" si="36"/>
        <v/>
      </c>
      <c r="D62" s="25" t="str">
        <f t="shared" si="37"/>
        <v/>
      </c>
      <c r="E62" s="25" t="str">
        <f t="shared" si="10"/>
        <v/>
      </c>
      <c r="F62" s="25" t="str">
        <f t="shared" si="11"/>
        <v/>
      </c>
      <c r="G62" s="45" t="str">
        <f t="shared" si="12"/>
        <v/>
      </c>
      <c r="H62" s="45" t="str">
        <f t="shared" si="13"/>
        <v/>
      </c>
      <c r="I62" s="45" t="str">
        <f t="shared" si="14"/>
        <v/>
      </c>
      <c r="J62" s="187" t="str">
        <f t="shared" si="15"/>
        <v/>
      </c>
      <c r="K62" s="25" t="str">
        <f t="shared" si="16"/>
        <v/>
      </c>
      <c r="L62" s="25" t="str">
        <f t="shared" si="17"/>
        <v/>
      </c>
      <c r="M62" s="45" t="str">
        <f t="shared" si="18"/>
        <v/>
      </c>
      <c r="N62" s="166" t="str">
        <f t="shared" si="19"/>
        <v/>
      </c>
      <c r="O62" s="166" t="str">
        <f t="shared" si="20"/>
        <v/>
      </c>
      <c r="P62" s="167" t="str">
        <f t="shared" si="21"/>
        <v/>
      </c>
      <c r="Q62" s="188" t="str">
        <f t="shared" si="22"/>
        <v/>
      </c>
      <c r="R62" s="166" t="str">
        <f t="shared" si="23"/>
        <v/>
      </c>
      <c r="S62" s="166" t="str">
        <f t="shared" si="24"/>
        <v/>
      </c>
      <c r="T62" s="167" t="str">
        <f t="shared" si="25"/>
        <v/>
      </c>
      <c r="U62" s="167" t="str">
        <f t="shared" si="26"/>
        <v/>
      </c>
      <c r="V62" s="168" t="str">
        <f t="shared" si="27"/>
        <v/>
      </c>
      <c r="W62" s="168" t="str">
        <f t="shared" si="28"/>
        <v/>
      </c>
      <c r="X62" s="167" t="str">
        <f t="shared" si="29"/>
        <v/>
      </c>
      <c r="Y62" s="167" t="str">
        <f t="shared" si="30"/>
        <v/>
      </c>
      <c r="Z62" s="169" t="str">
        <f t="shared" si="31"/>
        <v/>
      </c>
      <c r="AA62" s="170" t="str">
        <f t="shared" si="32"/>
        <v/>
      </c>
      <c r="AB62" s="169" t="str">
        <f t="shared" si="33"/>
        <v/>
      </c>
      <c r="AC62" s="169" t="str">
        <f t="shared" si="34"/>
        <v/>
      </c>
      <c r="AD62" s="174" t="str">
        <f t="shared" si="38"/>
        <v/>
      </c>
      <c r="AE62" s="174" t="str">
        <f t="shared" si="35"/>
        <v/>
      </c>
      <c r="AF62" s="174"/>
      <c r="AG62" s="174"/>
      <c r="AI62" s="21"/>
      <c r="AJ62" s="21"/>
      <c r="AK62" s="21"/>
      <c r="AL62" s="21"/>
      <c r="AM62" s="21"/>
    </row>
    <row r="63" spans="1:39" s="158" customFormat="1" ht="16.8" hidden="1" x14ac:dyDescent="0.25">
      <c r="A63" s="154"/>
      <c r="B63" s="25">
        <v>9</v>
      </c>
      <c r="C63" s="25" t="str">
        <f t="shared" si="36"/>
        <v/>
      </c>
      <c r="D63" s="25" t="str">
        <f t="shared" si="37"/>
        <v/>
      </c>
      <c r="E63" s="25" t="str">
        <f t="shared" si="10"/>
        <v/>
      </c>
      <c r="F63" s="25" t="str">
        <f t="shared" si="11"/>
        <v/>
      </c>
      <c r="G63" s="45" t="str">
        <f t="shared" si="12"/>
        <v/>
      </c>
      <c r="H63" s="45" t="str">
        <f t="shared" si="13"/>
        <v/>
      </c>
      <c r="I63" s="45" t="str">
        <f t="shared" si="14"/>
        <v/>
      </c>
      <c r="J63" s="187" t="str">
        <f t="shared" si="15"/>
        <v/>
      </c>
      <c r="K63" s="25" t="str">
        <f t="shared" si="16"/>
        <v/>
      </c>
      <c r="L63" s="25" t="str">
        <f t="shared" si="17"/>
        <v/>
      </c>
      <c r="M63" s="45" t="str">
        <f t="shared" si="18"/>
        <v/>
      </c>
      <c r="N63" s="166" t="str">
        <f t="shared" si="19"/>
        <v/>
      </c>
      <c r="O63" s="166" t="str">
        <f t="shared" si="20"/>
        <v/>
      </c>
      <c r="P63" s="167" t="str">
        <f t="shared" si="21"/>
        <v/>
      </c>
      <c r="Q63" s="188" t="str">
        <f t="shared" si="22"/>
        <v/>
      </c>
      <c r="R63" s="166" t="str">
        <f t="shared" si="23"/>
        <v/>
      </c>
      <c r="S63" s="166" t="str">
        <f t="shared" si="24"/>
        <v/>
      </c>
      <c r="T63" s="167" t="str">
        <f t="shared" si="25"/>
        <v/>
      </c>
      <c r="U63" s="167" t="str">
        <f t="shared" si="26"/>
        <v/>
      </c>
      <c r="V63" s="168" t="str">
        <f t="shared" si="27"/>
        <v/>
      </c>
      <c r="W63" s="168" t="str">
        <f t="shared" si="28"/>
        <v/>
      </c>
      <c r="X63" s="167" t="str">
        <f t="shared" si="29"/>
        <v/>
      </c>
      <c r="Y63" s="167" t="str">
        <f t="shared" si="30"/>
        <v/>
      </c>
      <c r="Z63" s="169" t="str">
        <f t="shared" si="31"/>
        <v/>
      </c>
      <c r="AA63" s="170" t="str">
        <f t="shared" si="32"/>
        <v/>
      </c>
      <c r="AB63" s="169" t="str">
        <f t="shared" si="33"/>
        <v/>
      </c>
      <c r="AC63" s="169" t="str">
        <f t="shared" si="34"/>
        <v/>
      </c>
      <c r="AD63" s="174" t="str">
        <f t="shared" si="38"/>
        <v/>
      </c>
      <c r="AE63" s="174" t="str">
        <f t="shared" si="35"/>
        <v/>
      </c>
      <c r="AF63" s="174"/>
      <c r="AG63" s="174"/>
      <c r="AI63" s="21"/>
      <c r="AJ63" s="21"/>
      <c r="AK63" s="21"/>
      <c r="AL63" s="21"/>
      <c r="AM63" s="21"/>
    </row>
    <row r="64" spans="1:39" s="158" customFormat="1" ht="16.8" hidden="1" x14ac:dyDescent="0.25">
      <c r="A64" s="154"/>
      <c r="B64" s="25">
        <v>10</v>
      </c>
      <c r="C64" s="25" t="str">
        <f t="shared" si="36"/>
        <v/>
      </c>
      <c r="D64" s="25" t="str">
        <f t="shared" si="37"/>
        <v/>
      </c>
      <c r="E64" s="25" t="str">
        <f t="shared" si="10"/>
        <v/>
      </c>
      <c r="F64" s="25" t="str">
        <f t="shared" si="11"/>
        <v/>
      </c>
      <c r="G64" s="45" t="str">
        <f t="shared" si="12"/>
        <v/>
      </c>
      <c r="H64" s="45" t="str">
        <f t="shared" si="13"/>
        <v/>
      </c>
      <c r="I64" s="45" t="str">
        <f t="shared" si="14"/>
        <v/>
      </c>
      <c r="J64" s="187" t="str">
        <f t="shared" si="15"/>
        <v/>
      </c>
      <c r="K64" s="25" t="str">
        <f t="shared" si="16"/>
        <v/>
      </c>
      <c r="L64" s="25" t="str">
        <f t="shared" si="17"/>
        <v/>
      </c>
      <c r="M64" s="45" t="str">
        <f t="shared" si="18"/>
        <v/>
      </c>
      <c r="N64" s="166" t="str">
        <f t="shared" si="19"/>
        <v/>
      </c>
      <c r="O64" s="166" t="str">
        <f t="shared" si="20"/>
        <v/>
      </c>
      <c r="P64" s="167" t="str">
        <f t="shared" si="21"/>
        <v/>
      </c>
      <c r="Q64" s="188" t="str">
        <f t="shared" si="22"/>
        <v/>
      </c>
      <c r="R64" s="166" t="str">
        <f t="shared" si="23"/>
        <v/>
      </c>
      <c r="S64" s="166" t="str">
        <f t="shared" si="24"/>
        <v/>
      </c>
      <c r="T64" s="167" t="str">
        <f t="shared" si="25"/>
        <v/>
      </c>
      <c r="U64" s="167" t="str">
        <f t="shared" si="26"/>
        <v/>
      </c>
      <c r="V64" s="168" t="str">
        <f t="shared" si="27"/>
        <v/>
      </c>
      <c r="W64" s="168" t="str">
        <f t="shared" si="28"/>
        <v/>
      </c>
      <c r="X64" s="167" t="str">
        <f t="shared" si="29"/>
        <v/>
      </c>
      <c r="Y64" s="167" t="str">
        <f t="shared" si="30"/>
        <v/>
      </c>
      <c r="Z64" s="169" t="str">
        <f t="shared" si="31"/>
        <v/>
      </c>
      <c r="AA64" s="170" t="str">
        <f t="shared" si="32"/>
        <v/>
      </c>
      <c r="AB64" s="169" t="str">
        <f t="shared" si="33"/>
        <v/>
      </c>
      <c r="AC64" s="169" t="str">
        <f t="shared" si="34"/>
        <v/>
      </c>
      <c r="AD64" s="174" t="str">
        <f t="shared" si="38"/>
        <v/>
      </c>
      <c r="AE64" s="174" t="str">
        <f t="shared" si="35"/>
        <v/>
      </c>
      <c r="AF64" s="174"/>
      <c r="AG64" s="174"/>
      <c r="AI64" s="21"/>
      <c r="AJ64" s="21"/>
      <c r="AK64" s="21"/>
      <c r="AL64" s="21"/>
      <c r="AM64" s="21"/>
    </row>
    <row r="65" spans="1:39" s="158" customFormat="1" ht="16.8" hidden="1" x14ac:dyDescent="0.25">
      <c r="A65" s="154"/>
      <c r="B65" s="25">
        <v>11</v>
      </c>
      <c r="C65" s="25" t="str">
        <f t="shared" si="36"/>
        <v/>
      </c>
      <c r="D65" s="25" t="str">
        <f t="shared" si="37"/>
        <v/>
      </c>
      <c r="E65" s="25" t="str">
        <f t="shared" si="10"/>
        <v/>
      </c>
      <c r="F65" s="25" t="str">
        <f t="shared" si="11"/>
        <v/>
      </c>
      <c r="G65" s="45" t="str">
        <f t="shared" si="12"/>
        <v/>
      </c>
      <c r="H65" s="45" t="str">
        <f t="shared" si="13"/>
        <v/>
      </c>
      <c r="I65" s="45" t="str">
        <f t="shared" si="14"/>
        <v/>
      </c>
      <c r="J65" s="187" t="str">
        <f t="shared" si="15"/>
        <v/>
      </c>
      <c r="K65" s="25" t="str">
        <f t="shared" si="16"/>
        <v/>
      </c>
      <c r="L65" s="25" t="str">
        <f t="shared" si="17"/>
        <v/>
      </c>
      <c r="M65" s="45" t="str">
        <f t="shared" si="18"/>
        <v/>
      </c>
      <c r="N65" s="166" t="str">
        <f t="shared" si="19"/>
        <v/>
      </c>
      <c r="O65" s="166" t="str">
        <f t="shared" si="20"/>
        <v/>
      </c>
      <c r="P65" s="167" t="str">
        <f t="shared" si="21"/>
        <v/>
      </c>
      <c r="Q65" s="188" t="str">
        <f t="shared" si="22"/>
        <v/>
      </c>
      <c r="R65" s="166" t="str">
        <f t="shared" si="23"/>
        <v/>
      </c>
      <c r="S65" s="166" t="str">
        <f t="shared" si="24"/>
        <v/>
      </c>
      <c r="T65" s="167" t="str">
        <f t="shared" si="25"/>
        <v/>
      </c>
      <c r="U65" s="167" t="str">
        <f t="shared" si="26"/>
        <v/>
      </c>
      <c r="V65" s="168" t="str">
        <f t="shared" si="27"/>
        <v/>
      </c>
      <c r="W65" s="168" t="str">
        <f t="shared" si="28"/>
        <v/>
      </c>
      <c r="X65" s="167" t="str">
        <f t="shared" si="29"/>
        <v/>
      </c>
      <c r="Y65" s="167" t="str">
        <f t="shared" si="30"/>
        <v/>
      </c>
      <c r="Z65" s="169" t="str">
        <f t="shared" si="31"/>
        <v/>
      </c>
      <c r="AA65" s="170" t="str">
        <f t="shared" si="32"/>
        <v/>
      </c>
      <c r="AB65" s="169" t="str">
        <f t="shared" si="33"/>
        <v/>
      </c>
      <c r="AC65" s="169" t="str">
        <f t="shared" si="34"/>
        <v/>
      </c>
      <c r="AD65" s="174" t="str">
        <f t="shared" si="38"/>
        <v/>
      </c>
      <c r="AE65" s="174" t="str">
        <f t="shared" si="35"/>
        <v/>
      </c>
      <c r="AF65" s="174"/>
      <c r="AG65" s="174"/>
      <c r="AI65" s="21"/>
      <c r="AJ65" s="21"/>
      <c r="AK65" s="21"/>
      <c r="AL65" s="21"/>
      <c r="AM65" s="21"/>
    </row>
    <row r="66" spans="1:39" s="158" customFormat="1" ht="16.8" hidden="1" x14ac:dyDescent="0.25">
      <c r="A66" s="154"/>
      <c r="B66" s="25">
        <v>12</v>
      </c>
      <c r="C66" s="25" t="str">
        <f t="shared" si="36"/>
        <v/>
      </c>
      <c r="D66" s="25" t="str">
        <f t="shared" si="37"/>
        <v/>
      </c>
      <c r="E66" s="25" t="str">
        <f t="shared" si="10"/>
        <v/>
      </c>
      <c r="F66" s="25" t="str">
        <f t="shared" si="11"/>
        <v/>
      </c>
      <c r="G66" s="45" t="str">
        <f t="shared" si="12"/>
        <v/>
      </c>
      <c r="H66" s="45" t="str">
        <f t="shared" si="13"/>
        <v/>
      </c>
      <c r="I66" s="45" t="str">
        <f t="shared" si="14"/>
        <v/>
      </c>
      <c r="J66" s="187" t="str">
        <f t="shared" si="15"/>
        <v/>
      </c>
      <c r="K66" s="25" t="str">
        <f t="shared" si="16"/>
        <v/>
      </c>
      <c r="L66" s="25" t="str">
        <f t="shared" si="17"/>
        <v/>
      </c>
      <c r="M66" s="45" t="str">
        <f t="shared" si="18"/>
        <v/>
      </c>
      <c r="N66" s="166" t="str">
        <f t="shared" si="19"/>
        <v/>
      </c>
      <c r="O66" s="166" t="str">
        <f t="shared" si="20"/>
        <v/>
      </c>
      <c r="P66" s="167" t="str">
        <f t="shared" si="21"/>
        <v/>
      </c>
      <c r="Q66" s="188" t="str">
        <f t="shared" si="22"/>
        <v/>
      </c>
      <c r="R66" s="166" t="str">
        <f t="shared" si="23"/>
        <v/>
      </c>
      <c r="S66" s="166" t="str">
        <f t="shared" si="24"/>
        <v/>
      </c>
      <c r="T66" s="167" t="str">
        <f t="shared" si="25"/>
        <v/>
      </c>
      <c r="U66" s="167" t="str">
        <f t="shared" si="26"/>
        <v/>
      </c>
      <c r="V66" s="168" t="str">
        <f t="shared" si="27"/>
        <v/>
      </c>
      <c r="W66" s="168" t="str">
        <f t="shared" si="28"/>
        <v/>
      </c>
      <c r="X66" s="167" t="str">
        <f t="shared" si="29"/>
        <v/>
      </c>
      <c r="Y66" s="167" t="str">
        <f t="shared" si="30"/>
        <v/>
      </c>
      <c r="Z66" s="169" t="str">
        <f t="shared" si="31"/>
        <v/>
      </c>
      <c r="AA66" s="170" t="str">
        <f t="shared" si="32"/>
        <v/>
      </c>
      <c r="AB66" s="169" t="str">
        <f t="shared" si="33"/>
        <v/>
      </c>
      <c r="AC66" s="169" t="str">
        <f t="shared" si="34"/>
        <v/>
      </c>
      <c r="AD66" s="174" t="str">
        <f t="shared" si="38"/>
        <v/>
      </c>
      <c r="AE66" s="174" t="str">
        <f t="shared" si="35"/>
        <v/>
      </c>
      <c r="AF66" s="174"/>
      <c r="AG66" s="174"/>
      <c r="AI66" s="21"/>
      <c r="AJ66" s="21"/>
      <c r="AK66" s="21"/>
      <c r="AL66" s="21"/>
      <c r="AM66" s="21"/>
    </row>
    <row r="67" spans="1:39" s="158" customFormat="1" ht="16.8" hidden="1" x14ac:dyDescent="0.25">
      <c r="A67" s="154"/>
      <c r="B67" s="25">
        <v>13</v>
      </c>
      <c r="C67" s="25" t="str">
        <f t="shared" si="36"/>
        <v/>
      </c>
      <c r="D67" s="25" t="str">
        <f t="shared" si="37"/>
        <v/>
      </c>
      <c r="E67" s="25" t="str">
        <f t="shared" si="10"/>
        <v/>
      </c>
      <c r="F67" s="25" t="str">
        <f t="shared" si="11"/>
        <v/>
      </c>
      <c r="G67" s="45" t="str">
        <f t="shared" si="12"/>
        <v/>
      </c>
      <c r="H67" s="45" t="str">
        <f t="shared" si="13"/>
        <v/>
      </c>
      <c r="I67" s="45" t="str">
        <f t="shared" si="14"/>
        <v/>
      </c>
      <c r="J67" s="187" t="str">
        <f t="shared" si="15"/>
        <v/>
      </c>
      <c r="K67" s="25" t="str">
        <f t="shared" si="16"/>
        <v/>
      </c>
      <c r="L67" s="25" t="str">
        <f t="shared" si="17"/>
        <v/>
      </c>
      <c r="M67" s="45" t="str">
        <f t="shared" si="18"/>
        <v/>
      </c>
      <c r="N67" s="166" t="str">
        <f t="shared" si="19"/>
        <v/>
      </c>
      <c r="O67" s="166" t="str">
        <f t="shared" si="20"/>
        <v/>
      </c>
      <c r="P67" s="167" t="str">
        <f t="shared" si="21"/>
        <v/>
      </c>
      <c r="Q67" s="188" t="str">
        <f t="shared" si="22"/>
        <v/>
      </c>
      <c r="R67" s="166" t="str">
        <f t="shared" si="23"/>
        <v/>
      </c>
      <c r="S67" s="166" t="str">
        <f t="shared" si="24"/>
        <v/>
      </c>
      <c r="T67" s="167" t="str">
        <f t="shared" si="25"/>
        <v/>
      </c>
      <c r="U67" s="167" t="str">
        <f t="shared" si="26"/>
        <v/>
      </c>
      <c r="V67" s="168" t="str">
        <f t="shared" si="27"/>
        <v/>
      </c>
      <c r="W67" s="168" t="str">
        <f t="shared" si="28"/>
        <v/>
      </c>
      <c r="X67" s="167" t="str">
        <f t="shared" si="29"/>
        <v/>
      </c>
      <c r="Y67" s="167" t="str">
        <f t="shared" si="30"/>
        <v/>
      </c>
      <c r="Z67" s="169" t="str">
        <f t="shared" si="31"/>
        <v/>
      </c>
      <c r="AA67" s="170" t="str">
        <f t="shared" si="32"/>
        <v/>
      </c>
      <c r="AB67" s="169" t="str">
        <f t="shared" si="33"/>
        <v/>
      </c>
      <c r="AC67" s="169" t="str">
        <f t="shared" si="34"/>
        <v/>
      </c>
      <c r="AD67" s="174" t="str">
        <f t="shared" si="38"/>
        <v/>
      </c>
      <c r="AE67" s="174" t="str">
        <f t="shared" si="35"/>
        <v/>
      </c>
      <c r="AF67" s="174"/>
      <c r="AG67" s="174"/>
      <c r="AI67" s="21"/>
      <c r="AJ67" s="21"/>
      <c r="AK67" s="21"/>
      <c r="AL67" s="21"/>
      <c r="AM67" s="21"/>
    </row>
    <row r="68" spans="1:39" s="158" customFormat="1" ht="16.8" hidden="1" x14ac:dyDescent="0.25">
      <c r="A68" s="154"/>
      <c r="B68" s="25">
        <v>14</v>
      </c>
      <c r="C68" s="25" t="str">
        <f t="shared" si="36"/>
        <v/>
      </c>
      <c r="D68" s="25" t="str">
        <f t="shared" si="37"/>
        <v/>
      </c>
      <c r="E68" s="25" t="str">
        <f t="shared" si="10"/>
        <v/>
      </c>
      <c r="F68" s="25" t="str">
        <f t="shared" si="11"/>
        <v/>
      </c>
      <c r="G68" s="45" t="str">
        <f t="shared" si="12"/>
        <v/>
      </c>
      <c r="H68" s="45" t="str">
        <f t="shared" si="13"/>
        <v/>
      </c>
      <c r="I68" s="45" t="str">
        <f t="shared" si="14"/>
        <v/>
      </c>
      <c r="J68" s="187" t="str">
        <f t="shared" si="15"/>
        <v/>
      </c>
      <c r="K68" s="25" t="str">
        <f t="shared" si="16"/>
        <v/>
      </c>
      <c r="L68" s="25" t="str">
        <f t="shared" si="17"/>
        <v/>
      </c>
      <c r="M68" s="45" t="str">
        <f t="shared" si="18"/>
        <v/>
      </c>
      <c r="N68" s="166" t="str">
        <f t="shared" si="19"/>
        <v/>
      </c>
      <c r="O68" s="166" t="str">
        <f t="shared" si="20"/>
        <v/>
      </c>
      <c r="P68" s="167" t="str">
        <f t="shared" si="21"/>
        <v/>
      </c>
      <c r="Q68" s="188" t="str">
        <f t="shared" si="22"/>
        <v/>
      </c>
      <c r="R68" s="166" t="str">
        <f t="shared" si="23"/>
        <v/>
      </c>
      <c r="S68" s="166" t="str">
        <f t="shared" si="24"/>
        <v/>
      </c>
      <c r="T68" s="167" t="str">
        <f t="shared" si="25"/>
        <v/>
      </c>
      <c r="U68" s="167" t="str">
        <f t="shared" si="26"/>
        <v/>
      </c>
      <c r="V68" s="168" t="str">
        <f t="shared" si="27"/>
        <v/>
      </c>
      <c r="W68" s="168" t="str">
        <f t="shared" si="28"/>
        <v/>
      </c>
      <c r="X68" s="167" t="str">
        <f t="shared" si="29"/>
        <v/>
      </c>
      <c r="Y68" s="167" t="str">
        <f t="shared" si="30"/>
        <v/>
      </c>
      <c r="Z68" s="169" t="str">
        <f t="shared" si="31"/>
        <v/>
      </c>
      <c r="AA68" s="170" t="str">
        <f t="shared" si="32"/>
        <v/>
      </c>
      <c r="AB68" s="169" t="str">
        <f t="shared" si="33"/>
        <v/>
      </c>
      <c r="AC68" s="169" t="str">
        <f t="shared" si="34"/>
        <v/>
      </c>
      <c r="AD68" s="174" t="str">
        <f t="shared" si="38"/>
        <v/>
      </c>
      <c r="AE68" s="174" t="str">
        <f t="shared" si="35"/>
        <v/>
      </c>
      <c r="AF68" s="174"/>
      <c r="AG68" s="174"/>
      <c r="AI68" s="21"/>
      <c r="AJ68" s="21"/>
      <c r="AK68" s="21"/>
      <c r="AL68" s="21"/>
      <c r="AM68" s="21"/>
    </row>
    <row r="69" spans="1:39" s="158" customFormat="1" ht="16.8" hidden="1" x14ac:dyDescent="0.25">
      <c r="A69" s="154"/>
      <c r="B69" s="25">
        <v>15</v>
      </c>
      <c r="C69" s="25" t="str">
        <f t="shared" si="36"/>
        <v/>
      </c>
      <c r="D69" s="25" t="str">
        <f t="shared" si="37"/>
        <v/>
      </c>
      <c r="E69" s="25" t="str">
        <f t="shared" si="10"/>
        <v/>
      </c>
      <c r="F69" s="25" t="str">
        <f t="shared" si="11"/>
        <v/>
      </c>
      <c r="G69" s="45" t="str">
        <f t="shared" si="12"/>
        <v/>
      </c>
      <c r="H69" s="45" t="str">
        <f t="shared" si="13"/>
        <v/>
      </c>
      <c r="I69" s="45" t="str">
        <f t="shared" si="14"/>
        <v/>
      </c>
      <c r="J69" s="187" t="str">
        <f t="shared" si="15"/>
        <v/>
      </c>
      <c r="K69" s="25" t="str">
        <f t="shared" si="16"/>
        <v/>
      </c>
      <c r="L69" s="25" t="str">
        <f t="shared" si="17"/>
        <v/>
      </c>
      <c r="M69" s="45" t="str">
        <f t="shared" si="18"/>
        <v/>
      </c>
      <c r="N69" s="166" t="str">
        <f t="shared" si="19"/>
        <v/>
      </c>
      <c r="O69" s="166" t="str">
        <f t="shared" si="20"/>
        <v/>
      </c>
      <c r="P69" s="167" t="str">
        <f t="shared" si="21"/>
        <v/>
      </c>
      <c r="Q69" s="188" t="str">
        <f t="shared" si="22"/>
        <v/>
      </c>
      <c r="R69" s="166" t="str">
        <f t="shared" si="23"/>
        <v/>
      </c>
      <c r="S69" s="166" t="str">
        <f t="shared" si="24"/>
        <v/>
      </c>
      <c r="T69" s="167" t="str">
        <f t="shared" si="25"/>
        <v/>
      </c>
      <c r="U69" s="167" t="str">
        <f t="shared" si="26"/>
        <v/>
      </c>
      <c r="V69" s="168" t="str">
        <f t="shared" si="27"/>
        <v/>
      </c>
      <c r="W69" s="168" t="str">
        <f t="shared" si="28"/>
        <v/>
      </c>
      <c r="X69" s="167" t="str">
        <f t="shared" si="29"/>
        <v/>
      </c>
      <c r="Y69" s="167" t="str">
        <f t="shared" si="30"/>
        <v/>
      </c>
      <c r="Z69" s="169" t="str">
        <f t="shared" si="31"/>
        <v/>
      </c>
      <c r="AA69" s="170" t="str">
        <f t="shared" si="32"/>
        <v/>
      </c>
      <c r="AB69" s="169" t="str">
        <f t="shared" si="33"/>
        <v/>
      </c>
      <c r="AC69" s="169" t="str">
        <f t="shared" si="34"/>
        <v/>
      </c>
      <c r="AD69" s="174" t="str">
        <f t="shared" si="38"/>
        <v/>
      </c>
      <c r="AE69" s="174" t="str">
        <f t="shared" si="35"/>
        <v/>
      </c>
      <c r="AF69" s="174"/>
      <c r="AG69" s="174"/>
      <c r="AI69" s="21"/>
      <c r="AJ69" s="21"/>
      <c r="AK69" s="21"/>
      <c r="AL69" s="21"/>
      <c r="AM69" s="21"/>
    </row>
    <row r="70" spans="1:39" s="158" customFormat="1" ht="16.8" hidden="1" x14ac:dyDescent="0.25">
      <c r="A70" s="154"/>
      <c r="B70" s="25">
        <v>16</v>
      </c>
      <c r="C70" s="25" t="str">
        <f t="shared" si="36"/>
        <v/>
      </c>
      <c r="D70" s="25" t="str">
        <f t="shared" si="37"/>
        <v/>
      </c>
      <c r="E70" s="25" t="str">
        <f t="shared" si="10"/>
        <v/>
      </c>
      <c r="F70" s="25" t="str">
        <f t="shared" si="11"/>
        <v/>
      </c>
      <c r="G70" s="45" t="str">
        <f t="shared" si="12"/>
        <v/>
      </c>
      <c r="H70" s="45" t="str">
        <f t="shared" si="13"/>
        <v/>
      </c>
      <c r="I70" s="45" t="str">
        <f t="shared" si="14"/>
        <v/>
      </c>
      <c r="J70" s="187" t="str">
        <f t="shared" si="15"/>
        <v/>
      </c>
      <c r="K70" s="25" t="str">
        <f t="shared" si="16"/>
        <v/>
      </c>
      <c r="L70" s="25" t="str">
        <f t="shared" si="17"/>
        <v/>
      </c>
      <c r="M70" s="45" t="str">
        <f t="shared" si="18"/>
        <v/>
      </c>
      <c r="N70" s="166" t="str">
        <f t="shared" si="19"/>
        <v/>
      </c>
      <c r="O70" s="166" t="str">
        <f t="shared" si="20"/>
        <v/>
      </c>
      <c r="P70" s="167" t="str">
        <f t="shared" si="21"/>
        <v/>
      </c>
      <c r="Q70" s="188" t="str">
        <f t="shared" si="22"/>
        <v/>
      </c>
      <c r="R70" s="166" t="str">
        <f t="shared" si="23"/>
        <v/>
      </c>
      <c r="S70" s="166" t="str">
        <f t="shared" si="24"/>
        <v/>
      </c>
      <c r="T70" s="167" t="str">
        <f t="shared" si="25"/>
        <v/>
      </c>
      <c r="U70" s="167" t="str">
        <f t="shared" si="26"/>
        <v/>
      </c>
      <c r="V70" s="168" t="str">
        <f t="shared" si="27"/>
        <v/>
      </c>
      <c r="W70" s="168" t="str">
        <f t="shared" si="28"/>
        <v/>
      </c>
      <c r="X70" s="167" t="str">
        <f t="shared" si="29"/>
        <v/>
      </c>
      <c r="Y70" s="167" t="str">
        <f t="shared" si="30"/>
        <v/>
      </c>
      <c r="Z70" s="169" t="str">
        <f t="shared" si="31"/>
        <v/>
      </c>
      <c r="AA70" s="170" t="str">
        <f t="shared" si="32"/>
        <v/>
      </c>
      <c r="AB70" s="169" t="str">
        <f t="shared" si="33"/>
        <v/>
      </c>
      <c r="AC70" s="169" t="str">
        <f t="shared" si="34"/>
        <v/>
      </c>
      <c r="AD70" s="174" t="str">
        <f t="shared" si="38"/>
        <v/>
      </c>
      <c r="AE70" s="174" t="str">
        <f t="shared" si="35"/>
        <v/>
      </c>
      <c r="AF70" s="174"/>
      <c r="AG70" s="174"/>
      <c r="AI70" s="21"/>
      <c r="AJ70" s="21"/>
      <c r="AK70" s="21"/>
      <c r="AL70" s="21"/>
      <c r="AM70" s="21"/>
    </row>
    <row r="71" spans="1:39" s="158" customFormat="1" ht="16.8" hidden="1" x14ac:dyDescent="0.25">
      <c r="A71" s="154"/>
      <c r="B71" s="25">
        <v>17</v>
      </c>
      <c r="C71" s="25" t="str">
        <f t="shared" si="36"/>
        <v/>
      </c>
      <c r="D71" s="25" t="str">
        <f t="shared" si="37"/>
        <v/>
      </c>
      <c r="E71" s="25" t="str">
        <f t="shared" si="10"/>
        <v/>
      </c>
      <c r="F71" s="25" t="str">
        <f t="shared" si="11"/>
        <v/>
      </c>
      <c r="G71" s="45" t="str">
        <f t="shared" si="12"/>
        <v/>
      </c>
      <c r="H71" s="45" t="str">
        <f t="shared" si="13"/>
        <v/>
      </c>
      <c r="I71" s="45" t="str">
        <f t="shared" si="14"/>
        <v/>
      </c>
      <c r="J71" s="187" t="str">
        <f t="shared" si="15"/>
        <v/>
      </c>
      <c r="K71" s="25" t="str">
        <f t="shared" si="16"/>
        <v/>
      </c>
      <c r="L71" s="25" t="str">
        <f t="shared" si="17"/>
        <v/>
      </c>
      <c r="M71" s="45" t="str">
        <f t="shared" si="18"/>
        <v/>
      </c>
      <c r="N71" s="166" t="str">
        <f t="shared" si="19"/>
        <v/>
      </c>
      <c r="O71" s="166" t="str">
        <f t="shared" si="20"/>
        <v/>
      </c>
      <c r="P71" s="167" t="str">
        <f t="shared" si="21"/>
        <v/>
      </c>
      <c r="Q71" s="188" t="str">
        <f t="shared" si="22"/>
        <v/>
      </c>
      <c r="R71" s="166" t="str">
        <f t="shared" si="23"/>
        <v/>
      </c>
      <c r="S71" s="166" t="str">
        <f t="shared" si="24"/>
        <v/>
      </c>
      <c r="T71" s="167" t="str">
        <f t="shared" si="25"/>
        <v/>
      </c>
      <c r="U71" s="167" t="str">
        <f t="shared" si="26"/>
        <v/>
      </c>
      <c r="V71" s="168" t="str">
        <f t="shared" si="27"/>
        <v/>
      </c>
      <c r="W71" s="168" t="str">
        <f t="shared" si="28"/>
        <v/>
      </c>
      <c r="X71" s="167" t="str">
        <f t="shared" si="29"/>
        <v/>
      </c>
      <c r="Y71" s="167" t="str">
        <f t="shared" si="30"/>
        <v/>
      </c>
      <c r="Z71" s="169" t="str">
        <f t="shared" si="31"/>
        <v/>
      </c>
      <c r="AA71" s="170" t="str">
        <f t="shared" si="32"/>
        <v/>
      </c>
      <c r="AB71" s="169" t="str">
        <f t="shared" si="33"/>
        <v/>
      </c>
      <c r="AC71" s="169" t="str">
        <f t="shared" si="34"/>
        <v/>
      </c>
      <c r="AD71" s="174" t="str">
        <f t="shared" si="38"/>
        <v/>
      </c>
      <c r="AE71" s="174" t="str">
        <f t="shared" si="35"/>
        <v/>
      </c>
      <c r="AF71" s="174"/>
      <c r="AG71" s="174"/>
      <c r="AI71" s="21"/>
      <c r="AJ71" s="21"/>
      <c r="AK71" s="21"/>
      <c r="AL71" s="21"/>
      <c r="AM71" s="21"/>
    </row>
    <row r="72" spans="1:39" s="158" customFormat="1" ht="16.8" hidden="1" x14ac:dyDescent="0.25">
      <c r="A72" s="154"/>
      <c r="B72" s="25">
        <v>18</v>
      </c>
      <c r="C72" s="25" t="str">
        <f t="shared" si="36"/>
        <v/>
      </c>
      <c r="D72" s="25" t="str">
        <f t="shared" si="37"/>
        <v/>
      </c>
      <c r="E72" s="25" t="str">
        <f t="shared" si="10"/>
        <v/>
      </c>
      <c r="F72" s="25" t="str">
        <f t="shared" si="11"/>
        <v/>
      </c>
      <c r="G72" s="45" t="str">
        <f t="shared" si="12"/>
        <v/>
      </c>
      <c r="H72" s="45" t="str">
        <f t="shared" si="13"/>
        <v/>
      </c>
      <c r="I72" s="45" t="str">
        <f t="shared" si="14"/>
        <v/>
      </c>
      <c r="J72" s="187" t="str">
        <f t="shared" si="15"/>
        <v/>
      </c>
      <c r="K72" s="25" t="str">
        <f t="shared" si="16"/>
        <v/>
      </c>
      <c r="L72" s="25" t="str">
        <f t="shared" si="17"/>
        <v/>
      </c>
      <c r="M72" s="45" t="str">
        <f t="shared" si="18"/>
        <v/>
      </c>
      <c r="N72" s="166" t="str">
        <f t="shared" si="19"/>
        <v/>
      </c>
      <c r="O72" s="166" t="str">
        <f t="shared" si="20"/>
        <v/>
      </c>
      <c r="P72" s="167" t="str">
        <f t="shared" si="21"/>
        <v/>
      </c>
      <c r="Q72" s="188" t="str">
        <f t="shared" si="22"/>
        <v/>
      </c>
      <c r="R72" s="166" t="str">
        <f t="shared" si="23"/>
        <v/>
      </c>
      <c r="S72" s="166" t="str">
        <f t="shared" si="24"/>
        <v/>
      </c>
      <c r="T72" s="167" t="str">
        <f t="shared" si="25"/>
        <v/>
      </c>
      <c r="U72" s="167" t="str">
        <f t="shared" si="26"/>
        <v/>
      </c>
      <c r="V72" s="168" t="str">
        <f t="shared" si="27"/>
        <v/>
      </c>
      <c r="W72" s="168" t="str">
        <f t="shared" si="28"/>
        <v/>
      </c>
      <c r="X72" s="167" t="str">
        <f t="shared" si="29"/>
        <v/>
      </c>
      <c r="Y72" s="167" t="str">
        <f t="shared" si="30"/>
        <v/>
      </c>
      <c r="Z72" s="169" t="str">
        <f t="shared" si="31"/>
        <v/>
      </c>
      <c r="AA72" s="170" t="str">
        <f t="shared" si="32"/>
        <v/>
      </c>
      <c r="AB72" s="169" t="str">
        <f t="shared" si="33"/>
        <v/>
      </c>
      <c r="AC72" s="169" t="str">
        <f t="shared" si="34"/>
        <v/>
      </c>
      <c r="AD72" s="174" t="str">
        <f t="shared" si="38"/>
        <v/>
      </c>
      <c r="AE72" s="174" t="str">
        <f t="shared" si="35"/>
        <v/>
      </c>
      <c r="AF72" s="174"/>
      <c r="AG72" s="174"/>
      <c r="AI72" s="21"/>
      <c r="AJ72" s="21"/>
      <c r="AK72" s="21"/>
      <c r="AL72" s="21"/>
      <c r="AM72" s="21"/>
    </row>
    <row r="73" spans="1:39" s="158" customFormat="1" ht="16.8" hidden="1" x14ac:dyDescent="0.25">
      <c r="A73" s="154"/>
      <c r="B73" s="25">
        <v>19</v>
      </c>
      <c r="C73" s="25" t="str">
        <f t="shared" si="36"/>
        <v/>
      </c>
      <c r="D73" s="25" t="str">
        <f t="shared" si="37"/>
        <v/>
      </c>
      <c r="E73" s="25" t="str">
        <f t="shared" si="10"/>
        <v/>
      </c>
      <c r="F73" s="25" t="str">
        <f t="shared" si="11"/>
        <v/>
      </c>
      <c r="G73" s="45" t="str">
        <f t="shared" si="12"/>
        <v/>
      </c>
      <c r="H73" s="45" t="str">
        <f t="shared" si="13"/>
        <v/>
      </c>
      <c r="I73" s="45" t="str">
        <f t="shared" si="14"/>
        <v/>
      </c>
      <c r="J73" s="187" t="str">
        <f t="shared" si="15"/>
        <v/>
      </c>
      <c r="K73" s="25" t="str">
        <f t="shared" si="16"/>
        <v/>
      </c>
      <c r="L73" s="25" t="str">
        <f t="shared" si="17"/>
        <v/>
      </c>
      <c r="M73" s="45" t="str">
        <f t="shared" si="18"/>
        <v/>
      </c>
      <c r="N73" s="166" t="str">
        <f t="shared" si="19"/>
        <v/>
      </c>
      <c r="O73" s="166" t="str">
        <f t="shared" si="20"/>
        <v/>
      </c>
      <c r="P73" s="167" t="str">
        <f t="shared" si="21"/>
        <v/>
      </c>
      <c r="Q73" s="188" t="str">
        <f t="shared" si="22"/>
        <v/>
      </c>
      <c r="R73" s="166" t="str">
        <f t="shared" si="23"/>
        <v/>
      </c>
      <c r="S73" s="166" t="str">
        <f t="shared" si="24"/>
        <v/>
      </c>
      <c r="T73" s="167" t="str">
        <f t="shared" si="25"/>
        <v/>
      </c>
      <c r="U73" s="167" t="str">
        <f t="shared" si="26"/>
        <v/>
      </c>
      <c r="V73" s="168" t="str">
        <f t="shared" si="27"/>
        <v/>
      </c>
      <c r="W73" s="168" t="str">
        <f t="shared" si="28"/>
        <v/>
      </c>
      <c r="X73" s="167" t="str">
        <f t="shared" si="29"/>
        <v/>
      </c>
      <c r="Y73" s="167" t="str">
        <f t="shared" si="30"/>
        <v/>
      </c>
      <c r="Z73" s="169" t="str">
        <f t="shared" si="31"/>
        <v/>
      </c>
      <c r="AA73" s="170" t="str">
        <f t="shared" si="32"/>
        <v/>
      </c>
      <c r="AB73" s="169" t="str">
        <f t="shared" si="33"/>
        <v/>
      </c>
      <c r="AC73" s="169" t="str">
        <f t="shared" si="34"/>
        <v/>
      </c>
      <c r="AD73" s="174" t="str">
        <f t="shared" si="38"/>
        <v/>
      </c>
      <c r="AE73" s="174" t="str">
        <f t="shared" si="35"/>
        <v/>
      </c>
      <c r="AF73" s="174"/>
      <c r="AG73" s="174"/>
      <c r="AI73" s="21"/>
      <c r="AJ73" s="21"/>
      <c r="AK73" s="21"/>
      <c r="AL73" s="21"/>
      <c r="AM73" s="21"/>
    </row>
    <row r="74" spans="1:39" s="158" customFormat="1" ht="16.8" hidden="1" x14ac:dyDescent="0.25">
      <c r="A74" s="154"/>
      <c r="B74" s="25">
        <v>20</v>
      </c>
      <c r="C74" s="25" t="str">
        <f t="shared" si="36"/>
        <v/>
      </c>
      <c r="D74" s="25" t="str">
        <f t="shared" si="37"/>
        <v/>
      </c>
      <c r="E74" s="25" t="str">
        <f t="shared" si="10"/>
        <v/>
      </c>
      <c r="F74" s="25" t="str">
        <f t="shared" si="11"/>
        <v/>
      </c>
      <c r="G74" s="45" t="str">
        <f t="shared" si="12"/>
        <v/>
      </c>
      <c r="H74" s="45" t="str">
        <f t="shared" si="13"/>
        <v/>
      </c>
      <c r="I74" s="45" t="str">
        <f t="shared" si="14"/>
        <v/>
      </c>
      <c r="J74" s="187" t="str">
        <f t="shared" si="15"/>
        <v/>
      </c>
      <c r="K74" s="25" t="str">
        <f t="shared" si="16"/>
        <v/>
      </c>
      <c r="L74" s="25" t="str">
        <f t="shared" si="17"/>
        <v/>
      </c>
      <c r="M74" s="45" t="str">
        <f t="shared" si="18"/>
        <v/>
      </c>
      <c r="N74" s="166" t="str">
        <f t="shared" si="19"/>
        <v/>
      </c>
      <c r="O74" s="166" t="str">
        <f t="shared" si="20"/>
        <v/>
      </c>
      <c r="P74" s="167" t="str">
        <f t="shared" si="21"/>
        <v/>
      </c>
      <c r="Q74" s="188" t="str">
        <f t="shared" si="22"/>
        <v/>
      </c>
      <c r="R74" s="166" t="str">
        <f t="shared" si="23"/>
        <v/>
      </c>
      <c r="S74" s="166" t="str">
        <f t="shared" si="24"/>
        <v/>
      </c>
      <c r="T74" s="167" t="str">
        <f t="shared" si="25"/>
        <v/>
      </c>
      <c r="U74" s="167" t="str">
        <f t="shared" si="26"/>
        <v/>
      </c>
      <c r="V74" s="168" t="str">
        <f t="shared" si="27"/>
        <v/>
      </c>
      <c r="W74" s="168" t="str">
        <f t="shared" si="28"/>
        <v/>
      </c>
      <c r="X74" s="167" t="str">
        <f t="shared" si="29"/>
        <v/>
      </c>
      <c r="Y74" s="167" t="str">
        <f t="shared" si="30"/>
        <v/>
      </c>
      <c r="Z74" s="169" t="str">
        <f t="shared" si="31"/>
        <v/>
      </c>
      <c r="AA74" s="170" t="str">
        <f t="shared" si="32"/>
        <v/>
      </c>
      <c r="AB74" s="169" t="str">
        <f t="shared" si="33"/>
        <v/>
      </c>
      <c r="AC74" s="169" t="str">
        <f t="shared" si="34"/>
        <v/>
      </c>
      <c r="AD74" s="174" t="str">
        <f t="shared" si="38"/>
        <v/>
      </c>
      <c r="AE74" s="174" t="str">
        <f t="shared" si="35"/>
        <v/>
      </c>
      <c r="AF74" s="174"/>
      <c r="AG74" s="174"/>
      <c r="AI74" s="21"/>
      <c r="AJ74" s="21"/>
      <c r="AK74" s="21"/>
      <c r="AL74" s="21"/>
      <c r="AM74" s="21"/>
    </row>
    <row r="75" spans="1:39" s="158" customFormat="1" ht="16.8" hidden="1" x14ac:dyDescent="0.25">
      <c r="A75" s="154"/>
      <c r="B75" s="25">
        <v>21</v>
      </c>
      <c r="C75" s="25" t="str">
        <f t="shared" si="36"/>
        <v/>
      </c>
      <c r="D75" s="25" t="str">
        <f t="shared" si="37"/>
        <v/>
      </c>
      <c r="E75" s="25" t="str">
        <f t="shared" si="10"/>
        <v/>
      </c>
      <c r="F75" s="25" t="str">
        <f t="shared" si="11"/>
        <v/>
      </c>
      <c r="G75" s="45" t="str">
        <f t="shared" si="12"/>
        <v/>
      </c>
      <c r="H75" s="45" t="str">
        <f t="shared" si="13"/>
        <v/>
      </c>
      <c r="I75" s="45" t="str">
        <f t="shared" si="14"/>
        <v/>
      </c>
      <c r="J75" s="187" t="str">
        <f t="shared" si="15"/>
        <v/>
      </c>
      <c r="K75" s="25" t="str">
        <f t="shared" si="16"/>
        <v/>
      </c>
      <c r="L75" s="25" t="str">
        <f t="shared" si="17"/>
        <v/>
      </c>
      <c r="M75" s="45" t="str">
        <f t="shared" si="18"/>
        <v/>
      </c>
      <c r="N75" s="166" t="str">
        <f t="shared" si="19"/>
        <v/>
      </c>
      <c r="O75" s="166" t="str">
        <f t="shared" si="20"/>
        <v/>
      </c>
      <c r="P75" s="167" t="str">
        <f t="shared" si="21"/>
        <v/>
      </c>
      <c r="Q75" s="188" t="str">
        <f t="shared" si="22"/>
        <v/>
      </c>
      <c r="R75" s="166" t="str">
        <f t="shared" si="23"/>
        <v/>
      </c>
      <c r="S75" s="166" t="str">
        <f t="shared" si="24"/>
        <v/>
      </c>
      <c r="T75" s="167" t="str">
        <f t="shared" si="25"/>
        <v/>
      </c>
      <c r="U75" s="167" t="str">
        <f t="shared" si="26"/>
        <v/>
      </c>
      <c r="V75" s="168" t="str">
        <f t="shared" si="27"/>
        <v/>
      </c>
      <c r="W75" s="168" t="str">
        <f t="shared" si="28"/>
        <v/>
      </c>
      <c r="X75" s="167" t="str">
        <f t="shared" si="29"/>
        <v/>
      </c>
      <c r="Y75" s="167" t="str">
        <f t="shared" si="30"/>
        <v/>
      </c>
      <c r="Z75" s="169" t="str">
        <f t="shared" si="31"/>
        <v/>
      </c>
      <c r="AA75" s="170" t="str">
        <f t="shared" si="32"/>
        <v/>
      </c>
      <c r="AB75" s="169" t="str">
        <f t="shared" si="33"/>
        <v/>
      </c>
      <c r="AC75" s="169" t="str">
        <f t="shared" si="34"/>
        <v/>
      </c>
      <c r="AD75" s="174" t="str">
        <f t="shared" si="38"/>
        <v/>
      </c>
      <c r="AE75" s="174" t="str">
        <f t="shared" si="35"/>
        <v/>
      </c>
      <c r="AF75" s="174"/>
      <c r="AG75" s="174"/>
      <c r="AI75" s="21"/>
      <c r="AJ75" s="21"/>
      <c r="AK75" s="21"/>
      <c r="AL75" s="21"/>
      <c r="AM75" s="21"/>
    </row>
    <row r="76" spans="1:39" s="158" customFormat="1" ht="16.8" hidden="1" x14ac:dyDescent="0.25">
      <c r="A76" s="154"/>
      <c r="B76" s="25">
        <v>22</v>
      </c>
      <c r="C76" s="25" t="str">
        <f t="shared" si="36"/>
        <v/>
      </c>
      <c r="D76" s="25" t="str">
        <f t="shared" si="37"/>
        <v/>
      </c>
      <c r="E76" s="25" t="str">
        <f t="shared" si="10"/>
        <v/>
      </c>
      <c r="F76" s="25" t="str">
        <f t="shared" si="11"/>
        <v/>
      </c>
      <c r="G76" s="45" t="str">
        <f t="shared" si="12"/>
        <v/>
      </c>
      <c r="H76" s="45" t="str">
        <f t="shared" si="13"/>
        <v/>
      </c>
      <c r="I76" s="45" t="str">
        <f t="shared" si="14"/>
        <v/>
      </c>
      <c r="J76" s="187" t="str">
        <f t="shared" si="15"/>
        <v/>
      </c>
      <c r="K76" s="25" t="str">
        <f t="shared" si="16"/>
        <v/>
      </c>
      <c r="L76" s="25" t="str">
        <f t="shared" si="17"/>
        <v/>
      </c>
      <c r="M76" s="45" t="str">
        <f t="shared" si="18"/>
        <v/>
      </c>
      <c r="N76" s="166" t="str">
        <f t="shared" si="19"/>
        <v/>
      </c>
      <c r="O76" s="166" t="str">
        <f t="shared" si="20"/>
        <v/>
      </c>
      <c r="P76" s="167" t="str">
        <f t="shared" si="21"/>
        <v/>
      </c>
      <c r="Q76" s="188" t="str">
        <f t="shared" si="22"/>
        <v/>
      </c>
      <c r="R76" s="166" t="str">
        <f t="shared" si="23"/>
        <v/>
      </c>
      <c r="S76" s="166" t="str">
        <f t="shared" si="24"/>
        <v/>
      </c>
      <c r="T76" s="167" t="str">
        <f t="shared" si="25"/>
        <v/>
      </c>
      <c r="U76" s="167" t="str">
        <f t="shared" si="26"/>
        <v/>
      </c>
      <c r="V76" s="168" t="str">
        <f t="shared" si="27"/>
        <v/>
      </c>
      <c r="W76" s="168" t="str">
        <f t="shared" si="28"/>
        <v/>
      </c>
      <c r="X76" s="167" t="str">
        <f t="shared" si="29"/>
        <v/>
      </c>
      <c r="Y76" s="167" t="str">
        <f t="shared" si="30"/>
        <v/>
      </c>
      <c r="Z76" s="169" t="str">
        <f t="shared" si="31"/>
        <v/>
      </c>
      <c r="AA76" s="170" t="str">
        <f t="shared" si="32"/>
        <v/>
      </c>
      <c r="AB76" s="169" t="str">
        <f t="shared" si="33"/>
        <v/>
      </c>
      <c r="AC76" s="169" t="str">
        <f t="shared" si="34"/>
        <v/>
      </c>
      <c r="AD76" s="174" t="str">
        <f t="shared" si="38"/>
        <v/>
      </c>
      <c r="AE76" s="174" t="str">
        <f t="shared" si="35"/>
        <v/>
      </c>
      <c r="AF76" s="174"/>
      <c r="AG76" s="174"/>
      <c r="AI76" s="21"/>
      <c r="AJ76" s="21"/>
      <c r="AK76" s="21"/>
      <c r="AL76" s="21"/>
      <c r="AM76" s="21"/>
    </row>
    <row r="77" spans="1:39" s="158" customFormat="1" ht="16.8" hidden="1" x14ac:dyDescent="0.25">
      <c r="A77" s="154"/>
      <c r="B77" s="25">
        <v>23</v>
      </c>
      <c r="C77" s="25" t="str">
        <f t="shared" si="36"/>
        <v/>
      </c>
      <c r="D77" s="25" t="str">
        <f t="shared" si="37"/>
        <v/>
      </c>
      <c r="E77" s="25" t="str">
        <f t="shared" si="10"/>
        <v/>
      </c>
      <c r="F77" s="25" t="str">
        <f t="shared" si="11"/>
        <v/>
      </c>
      <c r="G77" s="45" t="str">
        <f t="shared" si="12"/>
        <v/>
      </c>
      <c r="H77" s="45" t="str">
        <f t="shared" si="13"/>
        <v/>
      </c>
      <c r="I77" s="45" t="str">
        <f t="shared" si="14"/>
        <v/>
      </c>
      <c r="J77" s="187" t="str">
        <f t="shared" si="15"/>
        <v/>
      </c>
      <c r="K77" s="25" t="str">
        <f t="shared" si="16"/>
        <v/>
      </c>
      <c r="L77" s="25" t="str">
        <f t="shared" si="17"/>
        <v/>
      </c>
      <c r="M77" s="45" t="str">
        <f t="shared" si="18"/>
        <v/>
      </c>
      <c r="N77" s="166" t="str">
        <f t="shared" si="19"/>
        <v/>
      </c>
      <c r="O77" s="166" t="str">
        <f t="shared" si="20"/>
        <v/>
      </c>
      <c r="P77" s="167" t="str">
        <f t="shared" si="21"/>
        <v/>
      </c>
      <c r="Q77" s="188" t="str">
        <f t="shared" si="22"/>
        <v/>
      </c>
      <c r="R77" s="166" t="str">
        <f t="shared" si="23"/>
        <v/>
      </c>
      <c r="S77" s="166" t="str">
        <f t="shared" si="24"/>
        <v/>
      </c>
      <c r="T77" s="167" t="str">
        <f t="shared" si="25"/>
        <v/>
      </c>
      <c r="U77" s="167" t="str">
        <f t="shared" si="26"/>
        <v/>
      </c>
      <c r="V77" s="168" t="str">
        <f t="shared" si="27"/>
        <v/>
      </c>
      <c r="W77" s="168" t="str">
        <f t="shared" si="28"/>
        <v/>
      </c>
      <c r="X77" s="167" t="str">
        <f t="shared" si="29"/>
        <v/>
      </c>
      <c r="Y77" s="167" t="str">
        <f t="shared" si="30"/>
        <v/>
      </c>
      <c r="Z77" s="169" t="str">
        <f t="shared" si="31"/>
        <v/>
      </c>
      <c r="AA77" s="170" t="str">
        <f t="shared" si="32"/>
        <v/>
      </c>
      <c r="AB77" s="169" t="str">
        <f t="shared" si="33"/>
        <v/>
      </c>
      <c r="AC77" s="169" t="str">
        <f t="shared" si="34"/>
        <v/>
      </c>
      <c r="AD77" s="174" t="str">
        <f t="shared" si="38"/>
        <v/>
      </c>
      <c r="AE77" s="174" t="str">
        <f t="shared" si="35"/>
        <v/>
      </c>
      <c r="AF77" s="174"/>
      <c r="AG77" s="174"/>
      <c r="AI77" s="21"/>
      <c r="AJ77" s="21"/>
      <c r="AK77" s="21"/>
      <c r="AL77" s="21"/>
      <c r="AM77" s="21"/>
    </row>
    <row r="78" spans="1:39" s="158" customFormat="1" ht="16.8" hidden="1" x14ac:dyDescent="0.25">
      <c r="A78" s="154"/>
      <c r="B78" s="25">
        <v>24</v>
      </c>
      <c r="C78" s="25" t="str">
        <f t="shared" si="36"/>
        <v/>
      </c>
      <c r="D78" s="25" t="str">
        <f t="shared" si="37"/>
        <v/>
      </c>
      <c r="E78" s="25" t="str">
        <f t="shared" si="10"/>
        <v/>
      </c>
      <c r="F78" s="25" t="str">
        <f t="shared" si="11"/>
        <v/>
      </c>
      <c r="G78" s="45" t="str">
        <f t="shared" si="12"/>
        <v/>
      </c>
      <c r="H78" s="45" t="str">
        <f t="shared" si="13"/>
        <v/>
      </c>
      <c r="I78" s="45" t="str">
        <f t="shared" si="14"/>
        <v/>
      </c>
      <c r="J78" s="187" t="str">
        <f t="shared" si="15"/>
        <v/>
      </c>
      <c r="K78" s="25" t="str">
        <f t="shared" si="16"/>
        <v/>
      </c>
      <c r="L78" s="25" t="str">
        <f t="shared" si="17"/>
        <v/>
      </c>
      <c r="M78" s="45" t="str">
        <f t="shared" si="18"/>
        <v/>
      </c>
      <c r="N78" s="166" t="str">
        <f t="shared" si="19"/>
        <v/>
      </c>
      <c r="O78" s="166" t="str">
        <f t="shared" si="20"/>
        <v/>
      </c>
      <c r="P78" s="167" t="str">
        <f t="shared" si="21"/>
        <v/>
      </c>
      <c r="Q78" s="188" t="str">
        <f t="shared" si="22"/>
        <v/>
      </c>
      <c r="R78" s="166" t="str">
        <f t="shared" si="23"/>
        <v/>
      </c>
      <c r="S78" s="166" t="str">
        <f t="shared" si="24"/>
        <v/>
      </c>
      <c r="T78" s="167" t="str">
        <f t="shared" si="25"/>
        <v/>
      </c>
      <c r="U78" s="167" t="str">
        <f t="shared" si="26"/>
        <v/>
      </c>
      <c r="V78" s="168" t="str">
        <f t="shared" si="27"/>
        <v/>
      </c>
      <c r="W78" s="168" t="str">
        <f t="shared" si="28"/>
        <v/>
      </c>
      <c r="X78" s="167" t="str">
        <f t="shared" si="29"/>
        <v/>
      </c>
      <c r="Y78" s="167" t="str">
        <f t="shared" si="30"/>
        <v/>
      </c>
      <c r="Z78" s="169" t="str">
        <f t="shared" si="31"/>
        <v/>
      </c>
      <c r="AA78" s="170" t="str">
        <f t="shared" si="32"/>
        <v/>
      </c>
      <c r="AB78" s="169" t="str">
        <f t="shared" si="33"/>
        <v/>
      </c>
      <c r="AC78" s="169" t="str">
        <f t="shared" si="34"/>
        <v/>
      </c>
      <c r="AD78" s="174" t="str">
        <f t="shared" si="38"/>
        <v/>
      </c>
      <c r="AE78" s="174" t="str">
        <f t="shared" si="35"/>
        <v/>
      </c>
      <c r="AF78" s="174"/>
      <c r="AG78" s="174"/>
      <c r="AI78" s="21"/>
      <c r="AJ78" s="21"/>
      <c r="AK78" s="21"/>
      <c r="AL78" s="21"/>
      <c r="AM78" s="21"/>
    </row>
    <row r="79" spans="1:39" s="158" customFormat="1" ht="16.8" hidden="1" x14ac:dyDescent="0.25">
      <c r="A79" s="154"/>
      <c r="B79" s="25">
        <v>25</v>
      </c>
      <c r="C79" s="25" t="str">
        <f t="shared" si="36"/>
        <v/>
      </c>
      <c r="D79" s="25" t="str">
        <f t="shared" si="37"/>
        <v/>
      </c>
      <c r="E79" s="25" t="str">
        <f t="shared" si="10"/>
        <v/>
      </c>
      <c r="F79" s="25" t="str">
        <f t="shared" si="11"/>
        <v/>
      </c>
      <c r="G79" s="45" t="str">
        <f t="shared" si="12"/>
        <v/>
      </c>
      <c r="H79" s="45" t="str">
        <f t="shared" si="13"/>
        <v/>
      </c>
      <c r="I79" s="45" t="str">
        <f t="shared" si="14"/>
        <v/>
      </c>
      <c r="J79" s="187" t="str">
        <f t="shared" si="15"/>
        <v/>
      </c>
      <c r="K79" s="25" t="str">
        <f t="shared" si="16"/>
        <v/>
      </c>
      <c r="L79" s="25" t="str">
        <f t="shared" si="17"/>
        <v/>
      </c>
      <c r="M79" s="45" t="str">
        <f t="shared" si="18"/>
        <v/>
      </c>
      <c r="N79" s="166" t="str">
        <f t="shared" si="19"/>
        <v/>
      </c>
      <c r="O79" s="166" t="str">
        <f t="shared" si="20"/>
        <v/>
      </c>
      <c r="P79" s="167" t="str">
        <f t="shared" si="21"/>
        <v/>
      </c>
      <c r="Q79" s="188" t="str">
        <f t="shared" si="22"/>
        <v/>
      </c>
      <c r="R79" s="166" t="str">
        <f t="shared" si="23"/>
        <v/>
      </c>
      <c r="S79" s="166" t="str">
        <f t="shared" si="24"/>
        <v/>
      </c>
      <c r="T79" s="167" t="str">
        <f t="shared" si="25"/>
        <v/>
      </c>
      <c r="U79" s="167" t="str">
        <f t="shared" si="26"/>
        <v/>
      </c>
      <c r="V79" s="168" t="str">
        <f t="shared" si="27"/>
        <v/>
      </c>
      <c r="W79" s="168" t="str">
        <f t="shared" si="28"/>
        <v/>
      </c>
      <c r="X79" s="167" t="str">
        <f t="shared" si="29"/>
        <v/>
      </c>
      <c r="Y79" s="167" t="str">
        <f t="shared" si="30"/>
        <v/>
      </c>
      <c r="Z79" s="169" t="str">
        <f t="shared" si="31"/>
        <v/>
      </c>
      <c r="AA79" s="170" t="str">
        <f t="shared" si="32"/>
        <v/>
      </c>
      <c r="AB79" s="169" t="str">
        <f t="shared" si="33"/>
        <v/>
      </c>
      <c r="AC79" s="169" t="str">
        <f t="shared" si="34"/>
        <v/>
      </c>
      <c r="AD79" s="174" t="str">
        <f t="shared" si="38"/>
        <v/>
      </c>
      <c r="AE79" s="174" t="str">
        <f t="shared" si="35"/>
        <v/>
      </c>
      <c r="AF79" s="174"/>
      <c r="AG79" s="174"/>
      <c r="AI79" s="21"/>
      <c r="AJ79" s="21"/>
      <c r="AK79" s="21"/>
      <c r="AL79" s="21"/>
      <c r="AM79" s="21"/>
    </row>
    <row r="80" spans="1:39" s="158" customFormat="1" ht="16.8" hidden="1" x14ac:dyDescent="0.25">
      <c r="A80" s="154"/>
      <c r="B80" s="25">
        <v>26</v>
      </c>
      <c r="C80" s="25" t="str">
        <f t="shared" si="36"/>
        <v/>
      </c>
      <c r="D80" s="25" t="str">
        <f t="shared" si="37"/>
        <v/>
      </c>
      <c r="E80" s="25" t="str">
        <f t="shared" si="10"/>
        <v/>
      </c>
      <c r="F80" s="25" t="str">
        <f t="shared" si="11"/>
        <v/>
      </c>
      <c r="G80" s="45" t="str">
        <f t="shared" si="12"/>
        <v/>
      </c>
      <c r="H80" s="45" t="str">
        <f t="shared" si="13"/>
        <v/>
      </c>
      <c r="I80" s="45" t="str">
        <f t="shared" si="14"/>
        <v/>
      </c>
      <c r="J80" s="187" t="str">
        <f t="shared" si="15"/>
        <v/>
      </c>
      <c r="K80" s="25" t="str">
        <f t="shared" si="16"/>
        <v/>
      </c>
      <c r="L80" s="25" t="str">
        <f t="shared" si="17"/>
        <v/>
      </c>
      <c r="M80" s="45" t="str">
        <f t="shared" si="18"/>
        <v/>
      </c>
      <c r="N80" s="166" t="str">
        <f t="shared" si="19"/>
        <v/>
      </c>
      <c r="O80" s="166" t="str">
        <f t="shared" si="20"/>
        <v/>
      </c>
      <c r="P80" s="167" t="str">
        <f t="shared" si="21"/>
        <v/>
      </c>
      <c r="Q80" s="188" t="str">
        <f t="shared" si="22"/>
        <v/>
      </c>
      <c r="R80" s="166" t="str">
        <f t="shared" si="23"/>
        <v/>
      </c>
      <c r="S80" s="166" t="str">
        <f t="shared" si="24"/>
        <v/>
      </c>
      <c r="T80" s="167" t="str">
        <f t="shared" si="25"/>
        <v/>
      </c>
      <c r="U80" s="167" t="str">
        <f t="shared" si="26"/>
        <v/>
      </c>
      <c r="V80" s="168" t="str">
        <f t="shared" si="27"/>
        <v/>
      </c>
      <c r="W80" s="168" t="str">
        <f t="shared" si="28"/>
        <v/>
      </c>
      <c r="X80" s="167" t="str">
        <f t="shared" si="29"/>
        <v/>
      </c>
      <c r="Y80" s="167" t="str">
        <f t="shared" si="30"/>
        <v/>
      </c>
      <c r="Z80" s="169" t="str">
        <f t="shared" si="31"/>
        <v/>
      </c>
      <c r="AA80" s="170" t="str">
        <f t="shared" si="32"/>
        <v/>
      </c>
      <c r="AB80" s="169" t="str">
        <f t="shared" si="33"/>
        <v/>
      </c>
      <c r="AC80" s="169" t="str">
        <f t="shared" si="34"/>
        <v/>
      </c>
      <c r="AD80" s="174" t="str">
        <f t="shared" si="38"/>
        <v/>
      </c>
      <c r="AE80" s="174" t="str">
        <f t="shared" si="35"/>
        <v/>
      </c>
      <c r="AF80" s="174"/>
      <c r="AG80" s="174"/>
      <c r="AI80" s="21"/>
      <c r="AJ80" s="21"/>
      <c r="AK80" s="21"/>
      <c r="AL80" s="21"/>
      <c r="AM80" s="21"/>
    </row>
    <row r="81" spans="1:39" s="158" customFormat="1" ht="16.8" hidden="1" x14ac:dyDescent="0.25">
      <c r="A81" s="154"/>
      <c r="B81" s="25">
        <v>27</v>
      </c>
      <c r="C81" s="25" t="str">
        <f t="shared" si="36"/>
        <v/>
      </c>
      <c r="D81" s="25" t="str">
        <f t="shared" si="37"/>
        <v/>
      </c>
      <c r="E81" s="25" t="str">
        <f t="shared" si="10"/>
        <v/>
      </c>
      <c r="F81" s="25" t="str">
        <f t="shared" si="11"/>
        <v/>
      </c>
      <c r="G81" s="45" t="str">
        <f t="shared" si="12"/>
        <v/>
      </c>
      <c r="H81" s="45" t="str">
        <f t="shared" si="13"/>
        <v/>
      </c>
      <c r="I81" s="45" t="str">
        <f t="shared" si="14"/>
        <v/>
      </c>
      <c r="J81" s="187" t="str">
        <f t="shared" si="15"/>
        <v/>
      </c>
      <c r="K81" s="25" t="str">
        <f t="shared" si="16"/>
        <v/>
      </c>
      <c r="L81" s="25" t="str">
        <f t="shared" si="17"/>
        <v/>
      </c>
      <c r="M81" s="45" t="str">
        <f t="shared" si="18"/>
        <v/>
      </c>
      <c r="N81" s="166" t="str">
        <f t="shared" si="19"/>
        <v/>
      </c>
      <c r="O81" s="166" t="str">
        <f t="shared" si="20"/>
        <v/>
      </c>
      <c r="P81" s="167" t="str">
        <f t="shared" si="21"/>
        <v/>
      </c>
      <c r="Q81" s="188" t="str">
        <f t="shared" si="22"/>
        <v/>
      </c>
      <c r="R81" s="166" t="str">
        <f t="shared" si="23"/>
        <v/>
      </c>
      <c r="S81" s="166" t="str">
        <f t="shared" si="24"/>
        <v/>
      </c>
      <c r="T81" s="167" t="str">
        <f t="shared" si="25"/>
        <v/>
      </c>
      <c r="U81" s="167" t="str">
        <f t="shared" si="26"/>
        <v/>
      </c>
      <c r="V81" s="168" t="str">
        <f t="shared" si="27"/>
        <v/>
      </c>
      <c r="W81" s="168" t="str">
        <f t="shared" si="28"/>
        <v/>
      </c>
      <c r="X81" s="167" t="str">
        <f t="shared" si="29"/>
        <v/>
      </c>
      <c r="Y81" s="167" t="str">
        <f t="shared" si="30"/>
        <v/>
      </c>
      <c r="Z81" s="169" t="str">
        <f t="shared" si="31"/>
        <v/>
      </c>
      <c r="AA81" s="170" t="str">
        <f t="shared" si="32"/>
        <v/>
      </c>
      <c r="AB81" s="169" t="str">
        <f t="shared" si="33"/>
        <v/>
      </c>
      <c r="AC81" s="169" t="str">
        <f t="shared" si="34"/>
        <v/>
      </c>
      <c r="AD81" s="174" t="str">
        <f t="shared" si="38"/>
        <v/>
      </c>
      <c r="AE81" s="174" t="str">
        <f t="shared" si="35"/>
        <v/>
      </c>
      <c r="AF81" s="174"/>
      <c r="AG81" s="174"/>
      <c r="AI81" s="21"/>
      <c r="AJ81" s="21"/>
      <c r="AK81" s="21"/>
      <c r="AL81" s="21"/>
      <c r="AM81" s="21"/>
    </row>
    <row r="82" spans="1:39" s="158" customFormat="1" ht="16.8" hidden="1" x14ac:dyDescent="0.25">
      <c r="A82" s="154"/>
      <c r="B82" s="25">
        <v>28</v>
      </c>
      <c r="C82" s="25" t="str">
        <f t="shared" si="36"/>
        <v/>
      </c>
      <c r="D82" s="25" t="str">
        <f t="shared" si="37"/>
        <v/>
      </c>
      <c r="E82" s="25" t="str">
        <f t="shared" si="10"/>
        <v/>
      </c>
      <c r="F82" s="25" t="str">
        <f t="shared" si="11"/>
        <v/>
      </c>
      <c r="G82" s="45" t="str">
        <f t="shared" si="12"/>
        <v/>
      </c>
      <c r="H82" s="45" t="str">
        <f t="shared" si="13"/>
        <v/>
      </c>
      <c r="I82" s="45" t="str">
        <f t="shared" si="14"/>
        <v/>
      </c>
      <c r="J82" s="187" t="str">
        <f t="shared" si="15"/>
        <v/>
      </c>
      <c r="K82" s="25" t="str">
        <f t="shared" si="16"/>
        <v/>
      </c>
      <c r="L82" s="25" t="str">
        <f t="shared" si="17"/>
        <v/>
      </c>
      <c r="M82" s="45" t="str">
        <f t="shared" si="18"/>
        <v/>
      </c>
      <c r="N82" s="166" t="str">
        <f t="shared" si="19"/>
        <v/>
      </c>
      <c r="O82" s="166" t="str">
        <f t="shared" si="20"/>
        <v/>
      </c>
      <c r="P82" s="167" t="str">
        <f t="shared" si="21"/>
        <v/>
      </c>
      <c r="Q82" s="188" t="str">
        <f t="shared" si="22"/>
        <v/>
      </c>
      <c r="R82" s="166" t="str">
        <f t="shared" si="23"/>
        <v/>
      </c>
      <c r="S82" s="166" t="str">
        <f t="shared" si="24"/>
        <v/>
      </c>
      <c r="T82" s="167" t="str">
        <f t="shared" si="25"/>
        <v/>
      </c>
      <c r="U82" s="167" t="str">
        <f t="shared" si="26"/>
        <v/>
      </c>
      <c r="V82" s="168" t="str">
        <f t="shared" si="27"/>
        <v/>
      </c>
      <c r="W82" s="168" t="str">
        <f t="shared" si="28"/>
        <v/>
      </c>
      <c r="X82" s="167" t="str">
        <f t="shared" si="29"/>
        <v/>
      </c>
      <c r="Y82" s="167" t="str">
        <f t="shared" si="30"/>
        <v/>
      </c>
      <c r="Z82" s="169" t="str">
        <f t="shared" si="31"/>
        <v/>
      </c>
      <c r="AA82" s="170" t="str">
        <f t="shared" si="32"/>
        <v/>
      </c>
      <c r="AB82" s="169" t="str">
        <f t="shared" si="33"/>
        <v/>
      </c>
      <c r="AC82" s="169" t="str">
        <f t="shared" si="34"/>
        <v/>
      </c>
      <c r="AD82" s="174" t="str">
        <f t="shared" si="38"/>
        <v/>
      </c>
      <c r="AE82" s="174" t="str">
        <f t="shared" si="35"/>
        <v/>
      </c>
      <c r="AF82" s="174"/>
      <c r="AG82" s="174"/>
      <c r="AI82" s="21"/>
      <c r="AJ82" s="21"/>
      <c r="AK82" s="21"/>
      <c r="AL82" s="21"/>
      <c r="AM82" s="21"/>
    </row>
    <row r="83" spans="1:39" s="158" customFormat="1" ht="16.8" hidden="1" x14ac:dyDescent="0.25">
      <c r="A83" s="154"/>
      <c r="B83" s="25">
        <v>29</v>
      </c>
      <c r="C83" s="25" t="str">
        <f t="shared" si="36"/>
        <v/>
      </c>
      <c r="D83" s="25" t="str">
        <f t="shared" si="37"/>
        <v/>
      </c>
      <c r="E83" s="25" t="str">
        <f t="shared" si="10"/>
        <v/>
      </c>
      <c r="F83" s="25" t="str">
        <f t="shared" si="11"/>
        <v/>
      </c>
      <c r="G83" s="45" t="str">
        <f t="shared" si="12"/>
        <v/>
      </c>
      <c r="H83" s="45" t="str">
        <f t="shared" si="13"/>
        <v/>
      </c>
      <c r="I83" s="45" t="str">
        <f t="shared" si="14"/>
        <v/>
      </c>
      <c r="J83" s="187" t="str">
        <f t="shared" si="15"/>
        <v/>
      </c>
      <c r="K83" s="25" t="str">
        <f t="shared" si="16"/>
        <v/>
      </c>
      <c r="L83" s="25" t="str">
        <f t="shared" si="17"/>
        <v/>
      </c>
      <c r="M83" s="45" t="str">
        <f t="shared" si="18"/>
        <v/>
      </c>
      <c r="N83" s="166" t="str">
        <f t="shared" si="19"/>
        <v/>
      </c>
      <c r="O83" s="166" t="str">
        <f t="shared" si="20"/>
        <v/>
      </c>
      <c r="P83" s="167" t="str">
        <f t="shared" si="21"/>
        <v/>
      </c>
      <c r="Q83" s="188" t="str">
        <f t="shared" si="22"/>
        <v/>
      </c>
      <c r="R83" s="166" t="str">
        <f t="shared" si="23"/>
        <v/>
      </c>
      <c r="S83" s="166" t="str">
        <f t="shared" si="24"/>
        <v/>
      </c>
      <c r="T83" s="167" t="str">
        <f t="shared" si="25"/>
        <v/>
      </c>
      <c r="U83" s="167" t="str">
        <f t="shared" si="26"/>
        <v/>
      </c>
      <c r="V83" s="168" t="str">
        <f t="shared" si="27"/>
        <v/>
      </c>
      <c r="W83" s="168" t="str">
        <f t="shared" si="28"/>
        <v/>
      </c>
      <c r="X83" s="167" t="str">
        <f t="shared" si="29"/>
        <v/>
      </c>
      <c r="Y83" s="167" t="str">
        <f t="shared" si="30"/>
        <v/>
      </c>
      <c r="Z83" s="169" t="str">
        <f t="shared" si="31"/>
        <v/>
      </c>
      <c r="AA83" s="170" t="str">
        <f t="shared" si="32"/>
        <v/>
      </c>
      <c r="AB83" s="169" t="str">
        <f t="shared" si="33"/>
        <v/>
      </c>
      <c r="AC83" s="169" t="str">
        <f t="shared" si="34"/>
        <v/>
      </c>
      <c r="AD83" s="174" t="str">
        <f t="shared" si="38"/>
        <v/>
      </c>
      <c r="AE83" s="174" t="str">
        <f t="shared" si="35"/>
        <v/>
      </c>
      <c r="AF83" s="174"/>
      <c r="AG83" s="174"/>
      <c r="AI83" s="21"/>
      <c r="AJ83" s="21"/>
      <c r="AK83" s="21"/>
      <c r="AL83" s="21"/>
      <c r="AM83" s="21"/>
    </row>
    <row r="84" spans="1:39" s="158" customFormat="1" ht="16.8" hidden="1" x14ac:dyDescent="0.25">
      <c r="A84" s="154"/>
      <c r="B84" s="25">
        <v>30</v>
      </c>
      <c r="C84" s="25" t="str">
        <f t="shared" si="36"/>
        <v/>
      </c>
      <c r="D84" s="25" t="str">
        <f t="shared" si="37"/>
        <v/>
      </c>
      <c r="E84" s="25" t="str">
        <f t="shared" si="10"/>
        <v/>
      </c>
      <c r="F84" s="25" t="str">
        <f t="shared" si="11"/>
        <v/>
      </c>
      <c r="G84" s="45" t="str">
        <f t="shared" si="12"/>
        <v/>
      </c>
      <c r="H84" s="45" t="str">
        <f t="shared" si="13"/>
        <v/>
      </c>
      <c r="I84" s="45" t="str">
        <f t="shared" si="14"/>
        <v/>
      </c>
      <c r="J84" s="187" t="str">
        <f t="shared" si="15"/>
        <v/>
      </c>
      <c r="K84" s="25" t="str">
        <f t="shared" si="16"/>
        <v/>
      </c>
      <c r="L84" s="25" t="str">
        <f t="shared" si="17"/>
        <v/>
      </c>
      <c r="M84" s="45" t="str">
        <f t="shared" si="18"/>
        <v/>
      </c>
      <c r="N84" s="166" t="str">
        <f t="shared" si="19"/>
        <v/>
      </c>
      <c r="O84" s="166" t="str">
        <f t="shared" si="20"/>
        <v/>
      </c>
      <c r="P84" s="167" t="str">
        <f t="shared" si="21"/>
        <v/>
      </c>
      <c r="Q84" s="188" t="str">
        <f t="shared" si="22"/>
        <v/>
      </c>
      <c r="R84" s="166" t="str">
        <f t="shared" si="23"/>
        <v/>
      </c>
      <c r="S84" s="166" t="str">
        <f t="shared" si="24"/>
        <v/>
      </c>
      <c r="T84" s="167" t="str">
        <f t="shared" si="25"/>
        <v/>
      </c>
      <c r="U84" s="167" t="str">
        <f t="shared" si="26"/>
        <v/>
      </c>
      <c r="V84" s="168" t="str">
        <f t="shared" si="27"/>
        <v/>
      </c>
      <c r="W84" s="168" t="str">
        <f t="shared" si="28"/>
        <v/>
      </c>
      <c r="X84" s="167" t="str">
        <f t="shared" si="29"/>
        <v/>
      </c>
      <c r="Y84" s="167" t="str">
        <f t="shared" si="30"/>
        <v/>
      </c>
      <c r="Z84" s="169" t="str">
        <f t="shared" si="31"/>
        <v/>
      </c>
      <c r="AA84" s="170" t="str">
        <f t="shared" si="32"/>
        <v/>
      </c>
      <c r="AB84" s="169" t="str">
        <f t="shared" si="33"/>
        <v/>
      </c>
      <c r="AC84" s="169" t="str">
        <f t="shared" si="34"/>
        <v/>
      </c>
      <c r="AD84" s="174" t="str">
        <f t="shared" si="38"/>
        <v/>
      </c>
      <c r="AE84" s="174" t="str">
        <f t="shared" si="35"/>
        <v/>
      </c>
      <c r="AF84" s="174"/>
      <c r="AG84" s="174"/>
      <c r="AI84" s="21"/>
      <c r="AJ84" s="21"/>
      <c r="AK84" s="21"/>
      <c r="AL84" s="21"/>
      <c r="AM84" s="21"/>
    </row>
    <row r="85" spans="1:39" s="158" customFormat="1" ht="16.8" hidden="1" x14ac:dyDescent="0.25">
      <c r="A85" s="154"/>
      <c r="B85" s="25">
        <v>31</v>
      </c>
      <c r="C85" s="25" t="str">
        <f t="shared" si="36"/>
        <v/>
      </c>
      <c r="D85" s="25" t="str">
        <f t="shared" si="37"/>
        <v/>
      </c>
      <c r="E85" s="25" t="str">
        <f t="shared" si="10"/>
        <v/>
      </c>
      <c r="F85" s="25" t="str">
        <f t="shared" si="11"/>
        <v/>
      </c>
      <c r="G85" s="45" t="str">
        <f t="shared" si="12"/>
        <v/>
      </c>
      <c r="H85" s="45" t="str">
        <f t="shared" si="13"/>
        <v/>
      </c>
      <c r="I85" s="45" t="str">
        <f t="shared" si="14"/>
        <v/>
      </c>
      <c r="J85" s="187" t="str">
        <f t="shared" si="15"/>
        <v/>
      </c>
      <c r="K85" s="25" t="str">
        <f t="shared" si="16"/>
        <v/>
      </c>
      <c r="L85" s="25" t="str">
        <f t="shared" si="17"/>
        <v/>
      </c>
      <c r="M85" s="45" t="str">
        <f t="shared" si="18"/>
        <v/>
      </c>
      <c r="N85" s="166" t="str">
        <f t="shared" si="19"/>
        <v/>
      </c>
      <c r="O85" s="166" t="str">
        <f t="shared" si="20"/>
        <v/>
      </c>
      <c r="P85" s="167" t="str">
        <f t="shared" si="21"/>
        <v/>
      </c>
      <c r="Q85" s="188" t="str">
        <f t="shared" si="22"/>
        <v/>
      </c>
      <c r="R85" s="166" t="str">
        <f t="shared" si="23"/>
        <v/>
      </c>
      <c r="S85" s="166" t="str">
        <f t="shared" si="24"/>
        <v/>
      </c>
      <c r="T85" s="167" t="str">
        <f t="shared" si="25"/>
        <v/>
      </c>
      <c r="U85" s="167" t="str">
        <f t="shared" si="26"/>
        <v/>
      </c>
      <c r="V85" s="168" t="str">
        <f t="shared" si="27"/>
        <v/>
      </c>
      <c r="W85" s="168" t="str">
        <f t="shared" si="28"/>
        <v/>
      </c>
      <c r="X85" s="167" t="str">
        <f t="shared" si="29"/>
        <v/>
      </c>
      <c r="Y85" s="167" t="str">
        <f t="shared" si="30"/>
        <v/>
      </c>
      <c r="Z85" s="169" t="str">
        <f t="shared" si="31"/>
        <v/>
      </c>
      <c r="AA85" s="170" t="str">
        <f t="shared" si="32"/>
        <v/>
      </c>
      <c r="AB85" s="169" t="str">
        <f t="shared" si="33"/>
        <v/>
      </c>
      <c r="AC85" s="169" t="str">
        <f t="shared" si="34"/>
        <v/>
      </c>
      <c r="AD85" s="174" t="str">
        <f t="shared" si="38"/>
        <v/>
      </c>
      <c r="AE85" s="174" t="str">
        <f t="shared" si="35"/>
        <v/>
      </c>
      <c r="AF85" s="174"/>
      <c r="AG85" s="174"/>
      <c r="AI85" s="21"/>
      <c r="AJ85" s="21"/>
      <c r="AK85" s="21"/>
      <c r="AL85" s="21"/>
      <c r="AM85" s="21"/>
    </row>
    <row r="86" spans="1:39" s="158" customFormat="1" ht="16.8" hidden="1" x14ac:dyDescent="0.25">
      <c r="A86" s="154"/>
      <c r="B86" s="25">
        <v>32</v>
      </c>
      <c r="C86" s="25" t="str">
        <f t="shared" si="36"/>
        <v/>
      </c>
      <c r="D86" s="25" t="str">
        <f t="shared" si="37"/>
        <v/>
      </c>
      <c r="E86" s="25" t="str">
        <f t="shared" si="10"/>
        <v/>
      </c>
      <c r="F86" s="25" t="str">
        <f t="shared" si="11"/>
        <v/>
      </c>
      <c r="G86" s="45" t="str">
        <f t="shared" si="12"/>
        <v/>
      </c>
      <c r="H86" s="45" t="str">
        <f t="shared" si="13"/>
        <v/>
      </c>
      <c r="I86" s="45" t="str">
        <f t="shared" si="14"/>
        <v/>
      </c>
      <c r="J86" s="187" t="str">
        <f t="shared" si="15"/>
        <v/>
      </c>
      <c r="K86" s="25" t="str">
        <f t="shared" si="16"/>
        <v/>
      </c>
      <c r="L86" s="25" t="str">
        <f t="shared" si="17"/>
        <v/>
      </c>
      <c r="M86" s="45" t="str">
        <f t="shared" si="18"/>
        <v/>
      </c>
      <c r="N86" s="166" t="str">
        <f t="shared" si="19"/>
        <v/>
      </c>
      <c r="O86" s="166" t="str">
        <f t="shared" si="20"/>
        <v/>
      </c>
      <c r="P86" s="167" t="str">
        <f t="shared" si="21"/>
        <v/>
      </c>
      <c r="Q86" s="188" t="str">
        <f t="shared" si="22"/>
        <v/>
      </c>
      <c r="R86" s="166" t="str">
        <f t="shared" si="23"/>
        <v/>
      </c>
      <c r="S86" s="166" t="str">
        <f t="shared" si="24"/>
        <v/>
      </c>
      <c r="T86" s="167" t="str">
        <f t="shared" si="25"/>
        <v/>
      </c>
      <c r="U86" s="167" t="str">
        <f t="shared" si="26"/>
        <v/>
      </c>
      <c r="V86" s="168" t="str">
        <f t="shared" si="27"/>
        <v/>
      </c>
      <c r="W86" s="168" t="str">
        <f t="shared" si="28"/>
        <v/>
      </c>
      <c r="X86" s="167" t="str">
        <f t="shared" si="29"/>
        <v/>
      </c>
      <c r="Y86" s="167" t="str">
        <f t="shared" si="30"/>
        <v/>
      </c>
      <c r="Z86" s="169" t="str">
        <f t="shared" si="31"/>
        <v/>
      </c>
      <c r="AA86" s="170" t="str">
        <f t="shared" si="32"/>
        <v/>
      </c>
      <c r="AB86" s="169" t="str">
        <f t="shared" si="33"/>
        <v/>
      </c>
      <c r="AC86" s="169" t="str">
        <f t="shared" si="34"/>
        <v/>
      </c>
      <c r="AD86" s="174" t="str">
        <f t="shared" si="38"/>
        <v/>
      </c>
      <c r="AE86" s="174" t="str">
        <f t="shared" si="35"/>
        <v/>
      </c>
      <c r="AF86" s="174"/>
      <c r="AG86" s="174"/>
      <c r="AI86" s="21"/>
      <c r="AJ86" s="21"/>
      <c r="AK86" s="21"/>
      <c r="AL86" s="21"/>
      <c r="AM86" s="21"/>
    </row>
    <row r="87" spans="1:39" s="158" customFormat="1" ht="16.8" hidden="1" x14ac:dyDescent="0.25">
      <c r="A87" s="154"/>
      <c r="B87" s="25">
        <v>33</v>
      </c>
      <c r="C87" s="25" t="str">
        <f t="shared" si="36"/>
        <v/>
      </c>
      <c r="D87" s="25" t="str">
        <f t="shared" si="37"/>
        <v/>
      </c>
      <c r="E87" s="25" t="str">
        <f t="shared" si="10"/>
        <v/>
      </c>
      <c r="F87" s="25" t="str">
        <f t="shared" si="11"/>
        <v/>
      </c>
      <c r="G87" s="45" t="str">
        <f t="shared" si="12"/>
        <v/>
      </c>
      <c r="H87" s="45" t="str">
        <f t="shared" si="13"/>
        <v/>
      </c>
      <c r="I87" s="45" t="str">
        <f t="shared" si="14"/>
        <v/>
      </c>
      <c r="J87" s="187" t="str">
        <f t="shared" si="15"/>
        <v/>
      </c>
      <c r="K87" s="25" t="str">
        <f t="shared" si="16"/>
        <v/>
      </c>
      <c r="L87" s="25" t="str">
        <f t="shared" si="17"/>
        <v/>
      </c>
      <c r="M87" s="45" t="str">
        <f t="shared" si="18"/>
        <v/>
      </c>
      <c r="N87" s="166" t="str">
        <f t="shared" si="19"/>
        <v/>
      </c>
      <c r="O87" s="166" t="str">
        <f t="shared" si="20"/>
        <v/>
      </c>
      <c r="P87" s="167" t="str">
        <f t="shared" si="21"/>
        <v/>
      </c>
      <c r="Q87" s="188" t="str">
        <f t="shared" si="22"/>
        <v/>
      </c>
      <c r="R87" s="166" t="str">
        <f t="shared" si="23"/>
        <v/>
      </c>
      <c r="S87" s="166" t="str">
        <f t="shared" si="24"/>
        <v/>
      </c>
      <c r="T87" s="167" t="str">
        <f t="shared" si="25"/>
        <v/>
      </c>
      <c r="U87" s="167" t="str">
        <f t="shared" si="26"/>
        <v/>
      </c>
      <c r="V87" s="168" t="str">
        <f t="shared" si="27"/>
        <v/>
      </c>
      <c r="W87" s="168" t="str">
        <f t="shared" si="28"/>
        <v/>
      </c>
      <c r="X87" s="167" t="str">
        <f t="shared" si="29"/>
        <v/>
      </c>
      <c r="Y87" s="167" t="str">
        <f t="shared" si="30"/>
        <v/>
      </c>
      <c r="Z87" s="169" t="str">
        <f t="shared" si="31"/>
        <v/>
      </c>
      <c r="AA87" s="170" t="str">
        <f t="shared" si="32"/>
        <v/>
      </c>
      <c r="AB87" s="169" t="str">
        <f t="shared" si="33"/>
        <v/>
      </c>
      <c r="AC87" s="169" t="str">
        <f t="shared" si="34"/>
        <v/>
      </c>
      <c r="AD87" s="174" t="str">
        <f t="shared" si="38"/>
        <v/>
      </c>
      <c r="AE87" s="174" t="str">
        <f t="shared" si="35"/>
        <v/>
      </c>
      <c r="AF87" s="174"/>
      <c r="AG87" s="174"/>
      <c r="AI87" s="21"/>
      <c r="AJ87" s="21"/>
      <c r="AK87" s="21"/>
      <c r="AL87" s="21"/>
      <c r="AM87" s="21"/>
    </row>
    <row r="88" spans="1:39" s="158" customFormat="1" ht="16.8" hidden="1" x14ac:dyDescent="0.25">
      <c r="A88" s="154"/>
      <c r="B88" s="25">
        <v>34</v>
      </c>
      <c r="C88" s="25" t="str">
        <f t="shared" si="36"/>
        <v/>
      </c>
      <c r="D88" s="25" t="str">
        <f t="shared" si="37"/>
        <v/>
      </c>
      <c r="E88" s="25" t="str">
        <f t="shared" si="10"/>
        <v/>
      </c>
      <c r="F88" s="25" t="str">
        <f t="shared" si="11"/>
        <v/>
      </c>
      <c r="G88" s="45" t="str">
        <f t="shared" si="12"/>
        <v/>
      </c>
      <c r="H88" s="45" t="str">
        <f t="shared" si="13"/>
        <v/>
      </c>
      <c r="I88" s="45" t="str">
        <f t="shared" si="14"/>
        <v/>
      </c>
      <c r="J88" s="187" t="str">
        <f t="shared" si="15"/>
        <v/>
      </c>
      <c r="K88" s="25" t="str">
        <f t="shared" si="16"/>
        <v/>
      </c>
      <c r="L88" s="25" t="str">
        <f t="shared" si="17"/>
        <v/>
      </c>
      <c r="M88" s="45" t="str">
        <f t="shared" si="18"/>
        <v/>
      </c>
      <c r="N88" s="166" t="str">
        <f t="shared" si="19"/>
        <v/>
      </c>
      <c r="O88" s="166" t="str">
        <f t="shared" si="20"/>
        <v/>
      </c>
      <c r="P88" s="167" t="str">
        <f t="shared" si="21"/>
        <v/>
      </c>
      <c r="Q88" s="188" t="str">
        <f t="shared" si="22"/>
        <v/>
      </c>
      <c r="R88" s="166" t="str">
        <f t="shared" si="23"/>
        <v/>
      </c>
      <c r="S88" s="166" t="str">
        <f t="shared" si="24"/>
        <v/>
      </c>
      <c r="T88" s="167" t="str">
        <f t="shared" si="25"/>
        <v/>
      </c>
      <c r="U88" s="167" t="str">
        <f t="shared" si="26"/>
        <v/>
      </c>
      <c r="V88" s="168" t="str">
        <f t="shared" si="27"/>
        <v/>
      </c>
      <c r="W88" s="168" t="str">
        <f t="shared" si="28"/>
        <v/>
      </c>
      <c r="X88" s="167" t="str">
        <f t="shared" si="29"/>
        <v/>
      </c>
      <c r="Y88" s="167" t="str">
        <f t="shared" si="30"/>
        <v/>
      </c>
      <c r="Z88" s="169" t="str">
        <f t="shared" si="31"/>
        <v/>
      </c>
      <c r="AA88" s="170" t="str">
        <f t="shared" si="32"/>
        <v/>
      </c>
      <c r="AB88" s="169" t="str">
        <f t="shared" si="33"/>
        <v/>
      </c>
      <c r="AC88" s="169" t="str">
        <f t="shared" si="34"/>
        <v/>
      </c>
      <c r="AD88" s="174" t="str">
        <f t="shared" si="38"/>
        <v/>
      </c>
      <c r="AE88" s="174" t="str">
        <f t="shared" si="35"/>
        <v/>
      </c>
      <c r="AF88" s="174"/>
      <c r="AG88" s="174"/>
      <c r="AI88" s="21"/>
      <c r="AJ88" s="21"/>
      <c r="AK88" s="21"/>
      <c r="AL88" s="21"/>
      <c r="AM88" s="21"/>
    </row>
    <row r="89" spans="1:39" s="158" customFormat="1" ht="16.8" hidden="1" x14ac:dyDescent="0.25">
      <c r="A89" s="154"/>
      <c r="B89" s="25">
        <v>35</v>
      </c>
      <c r="C89" s="25" t="str">
        <f t="shared" si="36"/>
        <v/>
      </c>
      <c r="D89" s="25" t="str">
        <f t="shared" si="37"/>
        <v/>
      </c>
      <c r="E89" s="25" t="str">
        <f t="shared" si="10"/>
        <v/>
      </c>
      <c r="F89" s="25" t="str">
        <f t="shared" si="11"/>
        <v/>
      </c>
      <c r="G89" s="45" t="str">
        <f t="shared" si="12"/>
        <v/>
      </c>
      <c r="H89" s="45" t="str">
        <f t="shared" si="13"/>
        <v/>
      </c>
      <c r="I89" s="45" t="str">
        <f t="shared" si="14"/>
        <v/>
      </c>
      <c r="J89" s="187" t="str">
        <f t="shared" si="15"/>
        <v/>
      </c>
      <c r="K89" s="25" t="str">
        <f t="shared" si="16"/>
        <v/>
      </c>
      <c r="L89" s="25" t="str">
        <f t="shared" si="17"/>
        <v/>
      </c>
      <c r="M89" s="45" t="str">
        <f t="shared" si="18"/>
        <v/>
      </c>
      <c r="N89" s="166" t="str">
        <f t="shared" si="19"/>
        <v/>
      </c>
      <c r="O89" s="166" t="str">
        <f t="shared" si="20"/>
        <v/>
      </c>
      <c r="P89" s="167" t="str">
        <f t="shared" si="21"/>
        <v/>
      </c>
      <c r="Q89" s="188" t="str">
        <f t="shared" si="22"/>
        <v/>
      </c>
      <c r="R89" s="166" t="str">
        <f t="shared" si="23"/>
        <v/>
      </c>
      <c r="S89" s="166" t="str">
        <f t="shared" si="24"/>
        <v/>
      </c>
      <c r="T89" s="167" t="str">
        <f t="shared" si="25"/>
        <v/>
      </c>
      <c r="U89" s="167" t="str">
        <f t="shared" si="26"/>
        <v/>
      </c>
      <c r="V89" s="168" t="str">
        <f t="shared" si="27"/>
        <v/>
      </c>
      <c r="W89" s="168" t="str">
        <f t="shared" si="28"/>
        <v/>
      </c>
      <c r="X89" s="167" t="str">
        <f t="shared" si="29"/>
        <v/>
      </c>
      <c r="Y89" s="167" t="str">
        <f t="shared" si="30"/>
        <v/>
      </c>
      <c r="Z89" s="169" t="str">
        <f t="shared" si="31"/>
        <v/>
      </c>
      <c r="AA89" s="170" t="str">
        <f t="shared" si="32"/>
        <v/>
      </c>
      <c r="AB89" s="169" t="str">
        <f t="shared" si="33"/>
        <v/>
      </c>
      <c r="AC89" s="169" t="str">
        <f t="shared" si="34"/>
        <v/>
      </c>
      <c r="AD89" s="174" t="str">
        <f t="shared" si="38"/>
        <v/>
      </c>
      <c r="AE89" s="174" t="str">
        <f t="shared" si="35"/>
        <v/>
      </c>
      <c r="AF89" s="174"/>
      <c r="AG89" s="174"/>
      <c r="AI89" s="21"/>
      <c r="AJ89" s="21"/>
      <c r="AK89" s="21"/>
      <c r="AL89" s="21"/>
      <c r="AM89" s="21"/>
    </row>
    <row r="90" spans="1:39" s="158" customFormat="1" ht="16.8" hidden="1" x14ac:dyDescent="0.25">
      <c r="A90" s="154"/>
      <c r="B90" s="25">
        <v>36</v>
      </c>
      <c r="C90" s="25" t="str">
        <f t="shared" si="36"/>
        <v/>
      </c>
      <c r="D90" s="25" t="str">
        <f t="shared" si="37"/>
        <v/>
      </c>
      <c r="E90" s="25" t="str">
        <f t="shared" si="10"/>
        <v/>
      </c>
      <c r="F90" s="25" t="str">
        <f t="shared" si="11"/>
        <v/>
      </c>
      <c r="G90" s="45" t="str">
        <f t="shared" si="12"/>
        <v/>
      </c>
      <c r="H90" s="45" t="str">
        <f t="shared" si="13"/>
        <v/>
      </c>
      <c r="I90" s="45" t="str">
        <f t="shared" si="14"/>
        <v/>
      </c>
      <c r="J90" s="187" t="str">
        <f t="shared" si="15"/>
        <v/>
      </c>
      <c r="K90" s="25" t="str">
        <f t="shared" si="16"/>
        <v/>
      </c>
      <c r="L90" s="25" t="str">
        <f t="shared" si="17"/>
        <v/>
      </c>
      <c r="M90" s="45" t="str">
        <f t="shared" si="18"/>
        <v/>
      </c>
      <c r="N90" s="166" t="str">
        <f t="shared" si="19"/>
        <v/>
      </c>
      <c r="O90" s="166" t="str">
        <f t="shared" si="20"/>
        <v/>
      </c>
      <c r="P90" s="167" t="str">
        <f t="shared" si="21"/>
        <v/>
      </c>
      <c r="Q90" s="188" t="str">
        <f t="shared" si="22"/>
        <v/>
      </c>
      <c r="R90" s="166" t="str">
        <f t="shared" si="23"/>
        <v/>
      </c>
      <c r="S90" s="166" t="str">
        <f t="shared" si="24"/>
        <v/>
      </c>
      <c r="T90" s="167" t="str">
        <f t="shared" si="25"/>
        <v/>
      </c>
      <c r="U90" s="167" t="str">
        <f t="shared" si="26"/>
        <v/>
      </c>
      <c r="V90" s="168" t="str">
        <f t="shared" si="27"/>
        <v/>
      </c>
      <c r="W90" s="168" t="str">
        <f t="shared" si="28"/>
        <v/>
      </c>
      <c r="X90" s="167" t="str">
        <f t="shared" si="29"/>
        <v/>
      </c>
      <c r="Y90" s="167" t="str">
        <f t="shared" si="30"/>
        <v/>
      </c>
      <c r="Z90" s="169" t="str">
        <f t="shared" si="31"/>
        <v/>
      </c>
      <c r="AA90" s="170" t="str">
        <f t="shared" si="32"/>
        <v/>
      </c>
      <c r="AB90" s="169" t="str">
        <f t="shared" si="33"/>
        <v/>
      </c>
      <c r="AC90" s="169" t="str">
        <f t="shared" si="34"/>
        <v/>
      </c>
      <c r="AD90" s="174" t="str">
        <f t="shared" si="38"/>
        <v/>
      </c>
      <c r="AE90" s="174" t="str">
        <f t="shared" si="35"/>
        <v/>
      </c>
      <c r="AF90" s="174"/>
      <c r="AG90" s="174"/>
      <c r="AI90" s="21"/>
      <c r="AJ90" s="21"/>
      <c r="AK90" s="21"/>
      <c r="AL90" s="21"/>
      <c r="AM90" s="21"/>
    </row>
    <row r="91" spans="1:39" s="158" customFormat="1" ht="16.8" hidden="1" x14ac:dyDescent="0.25">
      <c r="A91" s="154"/>
      <c r="B91" s="25">
        <v>37</v>
      </c>
      <c r="C91" s="25" t="str">
        <f t="shared" si="36"/>
        <v/>
      </c>
      <c r="D91" s="25" t="str">
        <f t="shared" si="37"/>
        <v/>
      </c>
      <c r="E91" s="25" t="str">
        <f t="shared" si="10"/>
        <v/>
      </c>
      <c r="F91" s="25" t="str">
        <f t="shared" si="11"/>
        <v/>
      </c>
      <c r="G91" s="45" t="str">
        <f t="shared" si="12"/>
        <v/>
      </c>
      <c r="H91" s="45" t="str">
        <f t="shared" si="13"/>
        <v/>
      </c>
      <c r="I91" s="45" t="str">
        <f t="shared" si="14"/>
        <v/>
      </c>
      <c r="J91" s="187" t="str">
        <f t="shared" si="15"/>
        <v/>
      </c>
      <c r="K91" s="25" t="str">
        <f t="shared" si="16"/>
        <v/>
      </c>
      <c r="L91" s="25" t="str">
        <f t="shared" si="17"/>
        <v/>
      </c>
      <c r="M91" s="45" t="str">
        <f t="shared" si="18"/>
        <v/>
      </c>
      <c r="N91" s="166" t="str">
        <f t="shared" si="19"/>
        <v/>
      </c>
      <c r="O91" s="166" t="str">
        <f t="shared" si="20"/>
        <v/>
      </c>
      <c r="P91" s="167" t="str">
        <f t="shared" si="21"/>
        <v/>
      </c>
      <c r="Q91" s="188" t="str">
        <f t="shared" si="22"/>
        <v/>
      </c>
      <c r="R91" s="166" t="str">
        <f t="shared" si="23"/>
        <v/>
      </c>
      <c r="S91" s="166" t="str">
        <f t="shared" si="24"/>
        <v/>
      </c>
      <c r="T91" s="167" t="str">
        <f t="shared" si="25"/>
        <v/>
      </c>
      <c r="U91" s="167" t="str">
        <f t="shared" si="26"/>
        <v/>
      </c>
      <c r="V91" s="168" t="str">
        <f t="shared" si="27"/>
        <v/>
      </c>
      <c r="W91" s="168" t="str">
        <f t="shared" si="28"/>
        <v/>
      </c>
      <c r="X91" s="167" t="str">
        <f t="shared" si="29"/>
        <v/>
      </c>
      <c r="Y91" s="167" t="str">
        <f t="shared" si="30"/>
        <v/>
      </c>
      <c r="Z91" s="169" t="str">
        <f t="shared" si="31"/>
        <v/>
      </c>
      <c r="AA91" s="170" t="str">
        <f t="shared" si="32"/>
        <v/>
      </c>
      <c r="AB91" s="169" t="str">
        <f t="shared" si="33"/>
        <v/>
      </c>
      <c r="AC91" s="169" t="str">
        <f t="shared" si="34"/>
        <v/>
      </c>
      <c r="AD91" s="174" t="str">
        <f t="shared" si="38"/>
        <v/>
      </c>
      <c r="AE91" s="174" t="str">
        <f t="shared" si="35"/>
        <v/>
      </c>
      <c r="AF91" s="174"/>
      <c r="AG91" s="174"/>
      <c r="AI91" s="21"/>
      <c r="AJ91" s="21"/>
      <c r="AK91" s="21"/>
      <c r="AL91" s="21"/>
      <c r="AM91" s="21"/>
    </row>
    <row r="92" spans="1:39" s="158" customFormat="1" ht="16.8" hidden="1" x14ac:dyDescent="0.25">
      <c r="A92" s="154"/>
      <c r="B92" s="25">
        <v>38</v>
      </c>
      <c r="C92" s="25" t="str">
        <f t="shared" si="36"/>
        <v/>
      </c>
      <c r="D92" s="25" t="str">
        <f t="shared" si="37"/>
        <v/>
      </c>
      <c r="E92" s="25" t="str">
        <f t="shared" si="10"/>
        <v/>
      </c>
      <c r="F92" s="25" t="str">
        <f t="shared" si="11"/>
        <v/>
      </c>
      <c r="G92" s="45" t="str">
        <f t="shared" si="12"/>
        <v/>
      </c>
      <c r="H92" s="45" t="str">
        <f t="shared" si="13"/>
        <v/>
      </c>
      <c r="I92" s="45" t="str">
        <f t="shared" si="14"/>
        <v/>
      </c>
      <c r="J92" s="187" t="str">
        <f t="shared" si="15"/>
        <v/>
      </c>
      <c r="K92" s="25" t="str">
        <f t="shared" si="16"/>
        <v/>
      </c>
      <c r="L92" s="25" t="str">
        <f t="shared" si="17"/>
        <v/>
      </c>
      <c r="M92" s="45" t="str">
        <f t="shared" si="18"/>
        <v/>
      </c>
      <c r="N92" s="166" t="str">
        <f t="shared" si="19"/>
        <v/>
      </c>
      <c r="O92" s="166" t="str">
        <f t="shared" si="20"/>
        <v/>
      </c>
      <c r="P92" s="167" t="str">
        <f t="shared" si="21"/>
        <v/>
      </c>
      <c r="Q92" s="188" t="str">
        <f t="shared" si="22"/>
        <v/>
      </c>
      <c r="R92" s="166" t="str">
        <f t="shared" si="23"/>
        <v/>
      </c>
      <c r="S92" s="166" t="str">
        <f t="shared" si="24"/>
        <v/>
      </c>
      <c r="T92" s="167" t="str">
        <f t="shared" si="25"/>
        <v/>
      </c>
      <c r="U92" s="167" t="str">
        <f t="shared" si="26"/>
        <v/>
      </c>
      <c r="V92" s="168" t="str">
        <f t="shared" si="27"/>
        <v/>
      </c>
      <c r="W92" s="168" t="str">
        <f t="shared" si="28"/>
        <v/>
      </c>
      <c r="X92" s="167" t="str">
        <f t="shared" si="29"/>
        <v/>
      </c>
      <c r="Y92" s="167" t="str">
        <f t="shared" si="30"/>
        <v/>
      </c>
      <c r="Z92" s="169" t="str">
        <f t="shared" si="31"/>
        <v/>
      </c>
      <c r="AA92" s="170" t="str">
        <f t="shared" si="32"/>
        <v/>
      </c>
      <c r="AB92" s="169" t="str">
        <f t="shared" si="33"/>
        <v/>
      </c>
      <c r="AC92" s="169" t="str">
        <f t="shared" si="34"/>
        <v/>
      </c>
      <c r="AD92" s="174" t="str">
        <f t="shared" si="38"/>
        <v/>
      </c>
      <c r="AE92" s="174" t="str">
        <f t="shared" si="35"/>
        <v/>
      </c>
      <c r="AF92" s="174"/>
      <c r="AG92" s="174"/>
      <c r="AI92" s="21"/>
      <c r="AJ92" s="21"/>
      <c r="AK92" s="21"/>
      <c r="AL92" s="21"/>
      <c r="AM92" s="21"/>
    </row>
    <row r="93" spans="1:39" s="158" customFormat="1" ht="16.8" hidden="1" x14ac:dyDescent="0.25">
      <c r="A93" s="154"/>
      <c r="B93" s="25">
        <v>39</v>
      </c>
      <c r="C93" s="25" t="str">
        <f t="shared" si="36"/>
        <v/>
      </c>
      <c r="D93" s="25" t="str">
        <f t="shared" si="37"/>
        <v/>
      </c>
      <c r="E93" s="25" t="str">
        <f t="shared" si="10"/>
        <v/>
      </c>
      <c r="F93" s="25" t="str">
        <f t="shared" si="11"/>
        <v/>
      </c>
      <c r="G93" s="45" t="str">
        <f t="shared" si="12"/>
        <v/>
      </c>
      <c r="H93" s="45" t="str">
        <f t="shared" si="13"/>
        <v/>
      </c>
      <c r="I93" s="45" t="str">
        <f t="shared" si="14"/>
        <v/>
      </c>
      <c r="J93" s="187" t="str">
        <f t="shared" si="15"/>
        <v/>
      </c>
      <c r="K93" s="25" t="str">
        <f t="shared" si="16"/>
        <v/>
      </c>
      <c r="L93" s="25" t="str">
        <f t="shared" si="17"/>
        <v/>
      </c>
      <c r="M93" s="45" t="str">
        <f t="shared" si="18"/>
        <v/>
      </c>
      <c r="N93" s="166" t="str">
        <f t="shared" si="19"/>
        <v/>
      </c>
      <c r="O93" s="166" t="str">
        <f t="shared" si="20"/>
        <v/>
      </c>
      <c r="P93" s="167" t="str">
        <f t="shared" si="21"/>
        <v/>
      </c>
      <c r="Q93" s="188" t="str">
        <f t="shared" si="22"/>
        <v/>
      </c>
      <c r="R93" s="166" t="str">
        <f t="shared" si="23"/>
        <v/>
      </c>
      <c r="S93" s="166" t="str">
        <f t="shared" si="24"/>
        <v/>
      </c>
      <c r="T93" s="167" t="str">
        <f t="shared" si="25"/>
        <v/>
      </c>
      <c r="U93" s="167" t="str">
        <f t="shared" si="26"/>
        <v/>
      </c>
      <c r="V93" s="168" t="str">
        <f t="shared" si="27"/>
        <v/>
      </c>
      <c r="W93" s="168" t="str">
        <f t="shared" si="28"/>
        <v/>
      </c>
      <c r="X93" s="167" t="str">
        <f t="shared" si="29"/>
        <v/>
      </c>
      <c r="Y93" s="167" t="str">
        <f t="shared" si="30"/>
        <v/>
      </c>
      <c r="Z93" s="169" t="str">
        <f t="shared" si="31"/>
        <v/>
      </c>
      <c r="AA93" s="170" t="str">
        <f t="shared" si="32"/>
        <v/>
      </c>
      <c r="AB93" s="169" t="str">
        <f t="shared" si="33"/>
        <v/>
      </c>
      <c r="AC93" s="169" t="str">
        <f t="shared" si="34"/>
        <v/>
      </c>
      <c r="AD93" s="174" t="str">
        <f t="shared" si="38"/>
        <v/>
      </c>
      <c r="AE93" s="174" t="str">
        <f t="shared" si="35"/>
        <v/>
      </c>
      <c r="AF93" s="174"/>
      <c r="AG93" s="174"/>
      <c r="AI93" s="21"/>
      <c r="AJ93" s="21"/>
      <c r="AK93" s="21"/>
      <c r="AL93" s="21"/>
      <c r="AM93" s="21"/>
    </row>
    <row r="94" spans="1:39" s="158" customFormat="1" ht="16.8" hidden="1" x14ac:dyDescent="0.25">
      <c r="A94" s="154"/>
      <c r="B94" s="25">
        <v>40</v>
      </c>
      <c r="C94" s="25" t="str">
        <f t="shared" si="36"/>
        <v/>
      </c>
      <c r="D94" s="25"/>
      <c r="E94" s="25"/>
      <c r="F94" s="25"/>
      <c r="G94" s="45"/>
      <c r="H94" s="45"/>
      <c r="I94" s="45"/>
      <c r="J94" s="187"/>
      <c r="K94" s="25"/>
      <c r="L94" s="25"/>
      <c r="M94" s="45"/>
      <c r="N94" s="166" t="str">
        <f t="shared" si="19"/>
        <v/>
      </c>
      <c r="O94" s="166" t="str">
        <f t="shared" si="20"/>
        <v/>
      </c>
      <c r="P94" s="167" t="str">
        <f t="shared" si="21"/>
        <v/>
      </c>
      <c r="Q94" s="188" t="str">
        <f t="shared" si="22"/>
        <v/>
      </c>
      <c r="R94" s="166" t="str">
        <f t="shared" si="23"/>
        <v/>
      </c>
      <c r="S94" s="166" t="str">
        <f t="shared" si="24"/>
        <v/>
      </c>
      <c r="T94" s="167" t="str">
        <f t="shared" si="25"/>
        <v/>
      </c>
      <c r="U94" s="167" t="str">
        <f t="shared" si="26"/>
        <v/>
      </c>
      <c r="V94" s="168" t="str">
        <f t="shared" si="27"/>
        <v/>
      </c>
      <c r="W94" s="168" t="str">
        <f t="shared" si="28"/>
        <v/>
      </c>
      <c r="X94" s="167" t="str">
        <f t="shared" si="29"/>
        <v/>
      </c>
      <c r="Y94" s="167" t="str">
        <f t="shared" si="30"/>
        <v/>
      </c>
      <c r="Z94" s="169" t="str">
        <f t="shared" si="31"/>
        <v/>
      </c>
      <c r="AA94" s="170" t="str">
        <f t="shared" si="32"/>
        <v/>
      </c>
      <c r="AB94" s="169" t="str">
        <f t="shared" si="33"/>
        <v/>
      </c>
      <c r="AC94" s="169" t="str">
        <f t="shared" si="34"/>
        <v/>
      </c>
      <c r="AD94" s="174" t="str">
        <f t="shared" si="38"/>
        <v/>
      </c>
      <c r="AE94" s="174" t="str">
        <f t="shared" si="35"/>
        <v/>
      </c>
      <c r="AF94" s="174"/>
      <c r="AG94" s="174"/>
      <c r="AI94" s="21"/>
      <c r="AJ94" s="21"/>
      <c r="AK94" s="21"/>
      <c r="AL94" s="21"/>
      <c r="AM94" s="21"/>
    </row>
    <row r="95" spans="1:39" s="194" customFormat="1" ht="25.2" hidden="1" thickBot="1" x14ac:dyDescent="0.3">
      <c r="A95" s="154"/>
      <c r="B95" s="1480" t="s">
        <v>219</v>
      </c>
      <c r="C95" s="1481"/>
      <c r="D95" s="1481"/>
      <c r="E95" s="1481"/>
      <c r="F95" s="1481"/>
      <c r="G95" s="1481"/>
      <c r="H95" s="1482"/>
      <c r="I95" s="1483" t="str">
        <f>"RANK WISE RESULT  "&amp;DASHBOARD!B4</f>
        <v>RANK WISE RESULT  SESSION    -  2025-26</v>
      </c>
      <c r="J95" s="1484"/>
      <c r="K95" s="1484"/>
      <c r="L95" s="1484"/>
      <c r="M95" s="1484"/>
      <c r="N95" s="1484"/>
      <c r="O95" s="1484"/>
      <c r="P95" s="1484"/>
      <c r="Q95" s="1484"/>
      <c r="R95" s="1484"/>
      <c r="S95" s="1484"/>
      <c r="T95" s="1484"/>
      <c r="U95" s="1484"/>
      <c r="V95" s="1484"/>
      <c r="W95" s="1484"/>
      <c r="X95" s="1484"/>
      <c r="Y95" s="1484"/>
      <c r="Z95" s="1484"/>
      <c r="AA95" s="1484"/>
      <c r="AB95" s="1484"/>
      <c r="AC95" s="1484"/>
      <c r="AD95" s="1484"/>
      <c r="AE95" s="1484"/>
      <c r="AF95" s="1485"/>
      <c r="AG95" s="190" t="str">
        <f>IF(AE95="","",SMALL($AE$55:$AE$95,B95))</f>
        <v/>
      </c>
      <c r="AH95" s="191"/>
      <c r="AI95" s="192"/>
      <c r="AJ95" s="192"/>
      <c r="AK95" s="193"/>
    </row>
    <row r="96" spans="1:39" s="194" customFormat="1" ht="73.5" customHeight="1" x14ac:dyDescent="0.25">
      <c r="A96" s="154"/>
      <c r="B96" s="195" t="str">
        <f>B6</f>
        <v>S.NO.</v>
      </c>
      <c r="C96" s="195" t="str">
        <f t="shared" ref="C96:M96" si="39">C6</f>
        <v>RANK</v>
      </c>
      <c r="D96" s="195" t="str">
        <f t="shared" si="39"/>
        <v>RANK</v>
      </c>
      <c r="E96" s="195" t="str">
        <f t="shared" si="39"/>
        <v>ROLL NO.</v>
      </c>
      <c r="F96" s="195" t="str">
        <f t="shared" si="39"/>
        <v>S.R.NO.</v>
      </c>
      <c r="G96" s="196" t="str">
        <f t="shared" si="39"/>
        <v xml:space="preserve">NAME </v>
      </c>
      <c r="H96" s="196" t="str">
        <f t="shared" si="39"/>
        <v>F'NAME</v>
      </c>
      <c r="I96" s="196" t="str">
        <f t="shared" si="39"/>
        <v>M'NAME</v>
      </c>
      <c r="J96" s="197" t="str">
        <f t="shared" si="39"/>
        <v>DOB</v>
      </c>
      <c r="K96" s="195" t="str">
        <f t="shared" si="39"/>
        <v>BOY/GIRL</v>
      </c>
      <c r="L96" s="195" t="str">
        <f t="shared" si="39"/>
        <v>CATEGORY</v>
      </c>
      <c r="M96" s="196" t="str">
        <f t="shared" si="39"/>
        <v>ADDRESS</v>
      </c>
      <c r="N96" s="166">
        <f>IF(N6="","",N6)</f>
        <v>100</v>
      </c>
      <c r="O96" s="166" t="str">
        <f t="shared" ref="O96:Y96" si="40">IF(O6="","",O6)</f>
        <v>A1</v>
      </c>
      <c r="P96" s="167">
        <f t="shared" si="40"/>
        <v>100</v>
      </c>
      <c r="Q96" s="188" t="str">
        <f t="shared" si="40"/>
        <v>A1</v>
      </c>
      <c r="R96" s="166">
        <f t="shared" si="40"/>
        <v>100</v>
      </c>
      <c r="S96" s="166" t="str">
        <f t="shared" si="40"/>
        <v>A1</v>
      </c>
      <c r="T96" s="167">
        <f t="shared" si="40"/>
        <v>100</v>
      </c>
      <c r="U96" s="167" t="str">
        <f t="shared" si="40"/>
        <v>A1</v>
      </c>
      <c r="V96" s="168">
        <f t="shared" si="40"/>
        <v>100</v>
      </c>
      <c r="W96" s="168" t="str">
        <f t="shared" si="40"/>
        <v>A1</v>
      </c>
      <c r="X96" s="167">
        <f t="shared" si="40"/>
        <v>100</v>
      </c>
      <c r="Y96" s="167" t="str">
        <f t="shared" si="40"/>
        <v>A1</v>
      </c>
      <c r="Z96" s="189" t="str">
        <f>Z54</f>
        <v xml:space="preserve">GRAND TOTAL MARKS </v>
      </c>
      <c r="AA96" s="189" t="str">
        <f t="shared" ref="AA96:AF96" si="41">AA54</f>
        <v>PERCENT</v>
      </c>
      <c r="AB96" s="189" t="str">
        <f t="shared" si="41"/>
        <v xml:space="preserve">OVERALL GRADE </v>
      </c>
      <c r="AC96" s="189" t="str">
        <f t="shared" si="41"/>
        <v xml:space="preserve">POSITION IN CLASS </v>
      </c>
      <c r="AD96" s="189" t="str">
        <f t="shared" si="41"/>
        <v>RANK</v>
      </c>
      <c r="AE96" s="198" t="str">
        <f t="shared" si="41"/>
        <v>H1</v>
      </c>
      <c r="AF96" s="198">
        <f t="shared" si="41"/>
        <v>0</v>
      </c>
      <c r="AG96" s="172" t="s">
        <v>221</v>
      </c>
      <c r="AH96" s="191"/>
      <c r="AI96" s="199"/>
      <c r="AJ96" s="199"/>
      <c r="AK96" s="193"/>
    </row>
    <row r="97" spans="1:37" s="194" customFormat="1" ht="16.8" x14ac:dyDescent="0.25">
      <c r="A97" s="154"/>
      <c r="B97" s="195">
        <v>1</v>
      </c>
      <c r="C97" s="25" t="str">
        <f>IF(AE55="","",ROUND(AE55,0))</f>
        <v/>
      </c>
      <c r="D97" s="25" t="str">
        <f>IF(C97="","",VLOOKUP(C97,$D$55:$AC$94,1,FALSE))</f>
        <v/>
      </c>
      <c r="E97" s="25" t="str">
        <f>IF(C97="","",VLOOKUP(C97,$D$55:$AC$94,2,FALSE))</f>
        <v/>
      </c>
      <c r="F97" s="25" t="str">
        <f>IF(C97="","",VLOOKUP(C97,$D$55:$AC$94,3,FALSE))</f>
        <v/>
      </c>
      <c r="G97" s="45" t="str">
        <f>IF(C97="","",VLOOKUP(C97,$D$55:$AC$94,4,FALSE))</f>
        <v/>
      </c>
      <c r="H97" s="45" t="str">
        <f>IF(C97="","",VLOOKUP(C97,$D$55:$AC$94,5,FALSE))</f>
        <v/>
      </c>
      <c r="I97" s="45" t="str">
        <f t="shared" ref="I97:I126" si="42">IF(C97="","",VLOOKUP(C97,$C$7:$AC$51,7,FALSE))</f>
        <v/>
      </c>
      <c r="J97" s="187" t="str">
        <f t="shared" ref="J97:J126" si="43">IF(C97="","",VLOOKUP(C97,$C$7:$AC$51,8,FALSE))</f>
        <v/>
      </c>
      <c r="K97" s="25" t="str">
        <f>IF(C97="","",VLOOKUP(C97,$D$55:$AC$94,8,FALSE))</f>
        <v/>
      </c>
      <c r="L97" s="25" t="str">
        <f>IF(C97="","",VLOOKUP(C97,$D$55:$AC$94,9,FALSE))</f>
        <v/>
      </c>
      <c r="M97" s="45" t="str">
        <f>IF(C97="","",VLOOKUP(C97,$D$55:$AC$94,10,FALSE))</f>
        <v/>
      </c>
      <c r="N97" s="166" t="str">
        <f>IF(C97="","",VLOOKUP(C97,$D$55:$AC$94,11,FALSE))</f>
        <v/>
      </c>
      <c r="O97" s="166" t="str">
        <f t="shared" ref="O97:O126" si="44">IF(N97="","",IF(N97&lt;33,"E",IF(AND(N97&gt;=33,N97&lt;41),"D",IF(AND(N97&gt;=41,N97&lt;51),"C2",IF(AND(N97&gt;=51,N97&lt;61),"C1",IF(AND(N97&gt;=61,N97&lt;71),"B2",IF(AND(N97&gt;=71,N97&lt;81),"B1",IF(AND(N97&gt;=81,N97&lt;91),"A2",IF(AND(N97&gt;=91,N97&lt;=100),"A1")))))))))</f>
        <v/>
      </c>
      <c r="P97" s="167" t="str">
        <f>IF(C97="","",VLOOKUP(C97,$D$55:$AC$94,13,FALSE))</f>
        <v/>
      </c>
      <c r="Q97" s="188" t="str">
        <f t="shared" ref="Q97:Q126" si="45">IF(P97="","",IF(P97&lt;33,"E",IF(AND(P97&gt;=33,P97&lt;41),"D",IF(AND(P97&gt;=41,P97&lt;51),"C2",IF(AND(P97&gt;=51,P97&lt;61),"C1",IF(AND(P97&gt;=61,P97&lt;71),"B2",IF(AND(P97&gt;=71,P97&lt;81),"B1",IF(AND(P97&gt;=81,P97&lt;91),"A2",IF(AND(P97&gt;=91,P97&lt;=100),"A1")))))))))</f>
        <v/>
      </c>
      <c r="R97" s="166" t="str">
        <f>IF(C97="","",VLOOKUP(C97,$D$55:$AC$94,15,FALSE))</f>
        <v/>
      </c>
      <c r="S97" s="166" t="str">
        <f t="shared" ref="S97:S126" si="46">IF(R97="","",IF(R97&lt;33,"E",IF(AND(R97&gt;=33,R97&lt;41),"D",IF(AND(R97&gt;=41,R97&lt;51),"C2",IF(AND(R97&gt;=51,R97&lt;61),"C1",IF(AND(R97&gt;=61,R97&lt;71),"B2",IF(AND(R97&gt;=71,R97&lt;81),"B1",IF(AND(R97&gt;=81,R97&lt;91),"A2",IF(AND(R97&gt;=91,R97&lt;=100),"A1")))))))))</f>
        <v/>
      </c>
      <c r="T97" s="167" t="str">
        <f>IF(C97="","",VLOOKUP(C97,$D$55:$AC$94,17,FALSE))</f>
        <v/>
      </c>
      <c r="U97" s="167" t="str">
        <f t="shared" ref="U97:U126" si="47">IF(T97="","",IF(T97&lt;33,"E",IF(AND(T97&gt;=33,T97&lt;41),"D",IF(AND(T97&gt;=41,T97&lt;51),"C2",IF(AND(T97&gt;=51,T97&lt;61),"C1",IF(AND(T97&gt;=61,T97&lt;71),"B2",IF(AND(T97&gt;=71,T97&lt;81),"B1",IF(AND(T97&gt;=81,T97&lt;91),"A2",IF(AND(T97&gt;=91,T97&lt;=100),"A1")))))))))</f>
        <v/>
      </c>
      <c r="V97" s="168" t="str">
        <f>IF(C97="","",VLOOKUP(C97,$D$55:$AC$94,19,FALSE))</f>
        <v/>
      </c>
      <c r="W97" s="168" t="str">
        <f t="shared" ref="W97:W126" si="48">IF(V97="","",IF(V97&lt;33,"E",IF(AND(V97&gt;=33,V97&lt;41),"D",IF(AND(V97&gt;=41,V97&lt;51),"C2",IF(AND(V97&gt;=51,V97&lt;61),"C1",IF(AND(V97&gt;=61,V97&lt;71),"B2",IF(AND(V97&gt;=71,V97&lt;81),"B1",IF(AND(V97&gt;=81,V97&lt;91),"A2",IF(AND(V97&gt;=91,V97&lt;=100),"A1")))))))))</f>
        <v/>
      </c>
      <c r="X97" s="167" t="str">
        <f>IF(C97="","",VLOOKUP(C97,$D$55:$AC$94,21,FALSE))</f>
        <v/>
      </c>
      <c r="Y97" s="167" t="str">
        <f t="shared" ref="Y97:Y126" si="49">IF(X97="","",IF(X97&lt;33,"E",IF(AND(X97&gt;=33,X97&lt;41),"D",IF(AND(X97&gt;=41,X97&lt;51),"C2",IF(AND(X97&gt;=51,X97&lt;61),"C1",IF(AND(X97&gt;=61,X97&lt;71),"B2",IF(AND(X97&gt;=71,X97&lt;81),"B1",IF(AND(X97&gt;=81,X97&lt;91),"A2",IF(AND(X97&gt;=91,X97&lt;=100),"A1")))))))))</f>
        <v/>
      </c>
      <c r="Z97" s="169" t="str">
        <f>IF(C97="","",VLOOKUP(C97,$D$55:$AC$94,23,FALSE))</f>
        <v/>
      </c>
      <c r="AA97" s="170" t="str">
        <f>IF(C97="","",VLOOKUP(C97,$D$55:$AC$94,24,FALSE)&amp;" %")</f>
        <v/>
      </c>
      <c r="AB97" s="169" t="str">
        <f>IF(C97="","",VLOOKUP(C97,$D$55:$AC$94,25,FALSE))</f>
        <v/>
      </c>
      <c r="AC97" s="169" t="str">
        <f>IF(C97="","",VLOOKUP(C97,$D$55:$AC$94,26,FALSE))</f>
        <v/>
      </c>
      <c r="AD97" s="198" t="str">
        <f t="shared" ref="AD97:AD126" si="50">IF(C97="","",VLOOKUP(C97,$D$55:$AF$95,27,FALSE))</f>
        <v/>
      </c>
      <c r="AE97" s="198" t="str">
        <f t="shared" ref="AE97:AE126" si="51">IF(C97="","",VLOOKUP(C97,$D$55:$AF$95,28,FALSE))</f>
        <v/>
      </c>
      <c r="AF97" s="198" t="str">
        <f t="shared" ref="AF97:AF126" si="52">IF(C97="","",VLOOKUP(C97,$D$55:$AF$95,29,FALSE))</f>
        <v/>
      </c>
      <c r="AG97" s="174"/>
      <c r="AH97" s="191"/>
      <c r="AI97" s="192"/>
      <c r="AJ97" s="192"/>
      <c r="AK97" s="193"/>
    </row>
    <row r="98" spans="1:37" s="194" customFormat="1" ht="16.8" x14ac:dyDescent="0.25">
      <c r="A98" s="154"/>
      <c r="B98" s="25">
        <v>2</v>
      </c>
      <c r="C98" s="25" t="str">
        <f t="shared" ref="C98:C126" si="53">IF(AE56="","",ROUND(AE56,0))</f>
        <v/>
      </c>
      <c r="D98" s="25" t="str">
        <f t="shared" ref="D98:D126" si="54">IF(C98="","",VLOOKUP(C98,$D$55:$AC$94,1,FALSE))</f>
        <v/>
      </c>
      <c r="E98" s="25" t="str">
        <f t="shared" ref="E98:E126" si="55">IF(C98="","",VLOOKUP(C98,$D$55:$AC$94,2,FALSE))</f>
        <v/>
      </c>
      <c r="F98" s="25" t="str">
        <f t="shared" ref="F98:F126" si="56">IF(C98="","",VLOOKUP(C98,$D$55:$AC$94,3,FALSE))</f>
        <v/>
      </c>
      <c r="G98" s="45" t="str">
        <f t="shared" ref="G98:G126" si="57">IF(C98="","",VLOOKUP(C98,$D$55:$AC$94,4,FALSE))</f>
        <v/>
      </c>
      <c r="H98" s="45" t="str">
        <f t="shared" ref="H98:H126" si="58">IF(C98="","",VLOOKUP(C98,$D$55:$AC$94,5,FALSE))</f>
        <v/>
      </c>
      <c r="I98" s="45" t="str">
        <f t="shared" si="42"/>
        <v/>
      </c>
      <c r="J98" s="187" t="str">
        <f t="shared" si="43"/>
        <v/>
      </c>
      <c r="K98" s="25" t="str">
        <f t="shared" ref="K98:K126" si="59">IF(C98="","",VLOOKUP(C98,$D$55:$AC$94,8,FALSE))</f>
        <v/>
      </c>
      <c r="L98" s="25" t="str">
        <f t="shared" ref="L98:L126" si="60">IF(C98="","",VLOOKUP(C98,$D$55:$AC$94,9,FALSE))</f>
        <v/>
      </c>
      <c r="M98" s="45" t="str">
        <f t="shared" ref="M98:M126" si="61">IF(C98="","",VLOOKUP(C98,$D$55:$AC$94,10,FALSE))</f>
        <v/>
      </c>
      <c r="N98" s="166" t="str">
        <f t="shared" ref="N98:N126" si="62">IF(C98="","",VLOOKUP(C98,$D$55:$AC$94,11,FALSE))</f>
        <v/>
      </c>
      <c r="O98" s="166" t="str">
        <f t="shared" si="44"/>
        <v/>
      </c>
      <c r="P98" s="167" t="str">
        <f t="shared" ref="P98:P126" si="63">IF(C98="","",VLOOKUP(C98,$D$55:$AC$94,13,FALSE))</f>
        <v/>
      </c>
      <c r="Q98" s="188" t="str">
        <f t="shared" si="45"/>
        <v/>
      </c>
      <c r="R98" s="166" t="str">
        <f t="shared" ref="R98:R126" si="64">IF(C98="","",VLOOKUP(C98,$D$55:$AC$94,15,FALSE))</f>
        <v/>
      </c>
      <c r="S98" s="166" t="str">
        <f t="shared" si="46"/>
        <v/>
      </c>
      <c r="T98" s="167" t="str">
        <f t="shared" ref="T98:T126" si="65">IF(C98="","",VLOOKUP(C98,$D$55:$AC$94,17,FALSE))</f>
        <v/>
      </c>
      <c r="U98" s="167" t="str">
        <f t="shared" si="47"/>
        <v/>
      </c>
      <c r="V98" s="168" t="str">
        <f t="shared" ref="V98:V126" si="66">IF(C98="","",VLOOKUP(C98,$D$55:$AC$94,19,FALSE))</f>
        <v/>
      </c>
      <c r="W98" s="168" t="str">
        <f t="shared" si="48"/>
        <v/>
      </c>
      <c r="X98" s="167" t="str">
        <f t="shared" ref="X98:X126" si="67">IF(C98="","",VLOOKUP(C98,$D$55:$AC$94,21,FALSE))</f>
        <v/>
      </c>
      <c r="Y98" s="167" t="str">
        <f t="shared" si="49"/>
        <v/>
      </c>
      <c r="Z98" s="169" t="str">
        <f t="shared" ref="Z98:Z126" si="68">IF(C98="","",VLOOKUP(C98,$D$55:$AC$94,23,FALSE))</f>
        <v/>
      </c>
      <c r="AA98" s="170" t="str">
        <f t="shared" ref="AA98:AA126" si="69">IF(C98="","",VLOOKUP(C98,$D$55:$AC$94,24,FALSE)&amp;" %")</f>
        <v/>
      </c>
      <c r="AB98" s="169" t="str">
        <f t="shared" ref="AB98:AB126" si="70">IF(C98="","",VLOOKUP(C98,$D$55:$AC$94,25,FALSE))</f>
        <v/>
      </c>
      <c r="AC98" s="169" t="str">
        <f t="shared" ref="AC98:AC126" si="71">IF(C98="","",VLOOKUP(C98,$D$55:$AC$94,26,FALSE))</f>
        <v/>
      </c>
      <c r="AD98" s="169" t="str">
        <f t="shared" si="50"/>
        <v/>
      </c>
      <c r="AE98" s="169" t="str">
        <f t="shared" si="51"/>
        <v/>
      </c>
      <c r="AF98" s="169" t="str">
        <f t="shared" si="52"/>
        <v/>
      </c>
      <c r="AG98" s="174"/>
      <c r="AH98" s="191"/>
      <c r="AI98" s="192"/>
      <c r="AJ98" s="192"/>
      <c r="AK98" s="193"/>
    </row>
    <row r="99" spans="1:37" s="194" customFormat="1" ht="16.8" x14ac:dyDescent="0.25">
      <c r="A99" s="154"/>
      <c r="B99" s="25">
        <v>3</v>
      </c>
      <c r="C99" s="25" t="str">
        <f t="shared" si="53"/>
        <v/>
      </c>
      <c r="D99" s="25" t="str">
        <f t="shared" si="54"/>
        <v/>
      </c>
      <c r="E99" s="25" t="str">
        <f t="shared" si="55"/>
        <v/>
      </c>
      <c r="F99" s="25" t="str">
        <f t="shared" si="56"/>
        <v/>
      </c>
      <c r="G99" s="45" t="str">
        <f t="shared" si="57"/>
        <v/>
      </c>
      <c r="H99" s="45" t="str">
        <f t="shared" si="58"/>
        <v/>
      </c>
      <c r="I99" s="45" t="str">
        <f t="shared" si="42"/>
        <v/>
      </c>
      <c r="J99" s="187" t="str">
        <f t="shared" si="43"/>
        <v/>
      </c>
      <c r="K99" s="25" t="str">
        <f t="shared" si="59"/>
        <v/>
      </c>
      <c r="L99" s="25" t="str">
        <f t="shared" si="60"/>
        <v/>
      </c>
      <c r="M99" s="45" t="str">
        <f t="shared" si="61"/>
        <v/>
      </c>
      <c r="N99" s="166" t="str">
        <f t="shared" si="62"/>
        <v/>
      </c>
      <c r="O99" s="166" t="str">
        <f t="shared" si="44"/>
        <v/>
      </c>
      <c r="P99" s="167" t="str">
        <f t="shared" si="63"/>
        <v/>
      </c>
      <c r="Q99" s="188" t="str">
        <f t="shared" si="45"/>
        <v/>
      </c>
      <c r="R99" s="166" t="str">
        <f t="shared" si="64"/>
        <v/>
      </c>
      <c r="S99" s="166" t="str">
        <f t="shared" si="46"/>
        <v/>
      </c>
      <c r="T99" s="167" t="str">
        <f t="shared" si="65"/>
        <v/>
      </c>
      <c r="U99" s="167" t="str">
        <f t="shared" si="47"/>
        <v/>
      </c>
      <c r="V99" s="168" t="str">
        <f t="shared" si="66"/>
        <v/>
      </c>
      <c r="W99" s="168" t="str">
        <f t="shared" si="48"/>
        <v/>
      </c>
      <c r="X99" s="167" t="str">
        <f t="shared" si="67"/>
        <v/>
      </c>
      <c r="Y99" s="167" t="str">
        <f t="shared" si="49"/>
        <v/>
      </c>
      <c r="Z99" s="169" t="str">
        <f t="shared" si="68"/>
        <v/>
      </c>
      <c r="AA99" s="170" t="str">
        <f t="shared" si="69"/>
        <v/>
      </c>
      <c r="AB99" s="169" t="str">
        <f t="shared" si="70"/>
        <v/>
      </c>
      <c r="AC99" s="169" t="str">
        <f t="shared" si="71"/>
        <v/>
      </c>
      <c r="AD99" s="169" t="str">
        <f t="shared" si="50"/>
        <v/>
      </c>
      <c r="AE99" s="169" t="str">
        <f t="shared" si="51"/>
        <v/>
      </c>
      <c r="AF99" s="169" t="str">
        <f t="shared" si="52"/>
        <v/>
      </c>
      <c r="AG99" s="174"/>
      <c r="AH99" s="191"/>
      <c r="AI99" s="192"/>
      <c r="AJ99" s="192"/>
      <c r="AK99" s="193"/>
    </row>
    <row r="100" spans="1:37" s="194" customFormat="1" ht="16.8" x14ac:dyDescent="0.25">
      <c r="A100" s="154"/>
      <c r="B100" s="25">
        <v>4</v>
      </c>
      <c r="C100" s="25" t="str">
        <f t="shared" si="53"/>
        <v/>
      </c>
      <c r="D100" s="25" t="str">
        <f t="shared" si="54"/>
        <v/>
      </c>
      <c r="E100" s="25" t="str">
        <f t="shared" si="55"/>
        <v/>
      </c>
      <c r="F100" s="25" t="str">
        <f t="shared" si="56"/>
        <v/>
      </c>
      <c r="G100" s="45" t="str">
        <f t="shared" si="57"/>
        <v/>
      </c>
      <c r="H100" s="45" t="str">
        <f t="shared" si="58"/>
        <v/>
      </c>
      <c r="I100" s="45" t="str">
        <f t="shared" si="42"/>
        <v/>
      </c>
      <c r="J100" s="187" t="str">
        <f t="shared" si="43"/>
        <v/>
      </c>
      <c r="K100" s="25" t="str">
        <f t="shared" si="59"/>
        <v/>
      </c>
      <c r="L100" s="25" t="str">
        <f t="shared" si="60"/>
        <v/>
      </c>
      <c r="M100" s="45" t="str">
        <f t="shared" si="61"/>
        <v/>
      </c>
      <c r="N100" s="166" t="str">
        <f t="shared" si="62"/>
        <v/>
      </c>
      <c r="O100" s="166" t="str">
        <f t="shared" si="44"/>
        <v/>
      </c>
      <c r="P100" s="167" t="str">
        <f t="shared" si="63"/>
        <v/>
      </c>
      <c r="Q100" s="188" t="str">
        <f t="shared" si="45"/>
        <v/>
      </c>
      <c r="R100" s="166" t="str">
        <f t="shared" si="64"/>
        <v/>
      </c>
      <c r="S100" s="166" t="str">
        <f t="shared" si="46"/>
        <v/>
      </c>
      <c r="T100" s="167" t="str">
        <f t="shared" si="65"/>
        <v/>
      </c>
      <c r="U100" s="167" t="str">
        <f t="shared" si="47"/>
        <v/>
      </c>
      <c r="V100" s="168" t="str">
        <f t="shared" si="66"/>
        <v/>
      </c>
      <c r="W100" s="168" t="str">
        <f t="shared" si="48"/>
        <v/>
      </c>
      <c r="X100" s="167" t="str">
        <f t="shared" si="67"/>
        <v/>
      </c>
      <c r="Y100" s="167" t="str">
        <f t="shared" si="49"/>
        <v/>
      </c>
      <c r="Z100" s="169" t="str">
        <f t="shared" si="68"/>
        <v/>
      </c>
      <c r="AA100" s="170" t="str">
        <f t="shared" si="69"/>
        <v/>
      </c>
      <c r="AB100" s="169" t="str">
        <f t="shared" si="70"/>
        <v/>
      </c>
      <c r="AC100" s="169" t="str">
        <f t="shared" si="71"/>
        <v/>
      </c>
      <c r="AD100" s="169" t="str">
        <f t="shared" si="50"/>
        <v/>
      </c>
      <c r="AE100" s="169" t="str">
        <f t="shared" si="51"/>
        <v/>
      </c>
      <c r="AF100" s="169" t="str">
        <f t="shared" si="52"/>
        <v/>
      </c>
      <c r="AG100" s="174"/>
      <c r="AH100" s="191"/>
      <c r="AI100" s="192"/>
      <c r="AJ100" s="192"/>
      <c r="AK100" s="193"/>
    </row>
    <row r="101" spans="1:37" s="194" customFormat="1" ht="16.8" x14ac:dyDescent="0.25">
      <c r="A101" s="154"/>
      <c r="B101" s="25">
        <v>5</v>
      </c>
      <c r="C101" s="25" t="str">
        <f t="shared" si="53"/>
        <v/>
      </c>
      <c r="D101" s="25" t="str">
        <f t="shared" si="54"/>
        <v/>
      </c>
      <c r="E101" s="25" t="str">
        <f t="shared" si="55"/>
        <v/>
      </c>
      <c r="F101" s="25" t="str">
        <f t="shared" si="56"/>
        <v/>
      </c>
      <c r="G101" s="45" t="str">
        <f t="shared" si="57"/>
        <v/>
      </c>
      <c r="H101" s="45" t="str">
        <f t="shared" si="58"/>
        <v/>
      </c>
      <c r="I101" s="45" t="str">
        <f t="shared" si="42"/>
        <v/>
      </c>
      <c r="J101" s="187" t="str">
        <f t="shared" si="43"/>
        <v/>
      </c>
      <c r="K101" s="25" t="str">
        <f t="shared" si="59"/>
        <v/>
      </c>
      <c r="L101" s="25" t="str">
        <f t="shared" si="60"/>
        <v/>
      </c>
      <c r="M101" s="45" t="str">
        <f t="shared" si="61"/>
        <v/>
      </c>
      <c r="N101" s="166" t="str">
        <f t="shared" si="62"/>
        <v/>
      </c>
      <c r="O101" s="166" t="str">
        <f t="shared" si="44"/>
        <v/>
      </c>
      <c r="P101" s="167" t="str">
        <f t="shared" si="63"/>
        <v/>
      </c>
      <c r="Q101" s="188" t="str">
        <f t="shared" si="45"/>
        <v/>
      </c>
      <c r="R101" s="166" t="str">
        <f t="shared" si="64"/>
        <v/>
      </c>
      <c r="S101" s="166" t="str">
        <f t="shared" si="46"/>
        <v/>
      </c>
      <c r="T101" s="167" t="str">
        <f t="shared" si="65"/>
        <v/>
      </c>
      <c r="U101" s="167" t="str">
        <f t="shared" si="47"/>
        <v/>
      </c>
      <c r="V101" s="168" t="str">
        <f t="shared" si="66"/>
        <v/>
      </c>
      <c r="W101" s="168" t="str">
        <f t="shared" si="48"/>
        <v/>
      </c>
      <c r="X101" s="167" t="str">
        <f t="shared" si="67"/>
        <v/>
      </c>
      <c r="Y101" s="167" t="str">
        <f t="shared" si="49"/>
        <v/>
      </c>
      <c r="Z101" s="169" t="str">
        <f t="shared" si="68"/>
        <v/>
      </c>
      <c r="AA101" s="170" t="str">
        <f t="shared" si="69"/>
        <v/>
      </c>
      <c r="AB101" s="169" t="str">
        <f t="shared" si="70"/>
        <v/>
      </c>
      <c r="AC101" s="169" t="str">
        <f t="shared" si="71"/>
        <v/>
      </c>
      <c r="AD101" s="169" t="str">
        <f t="shared" si="50"/>
        <v/>
      </c>
      <c r="AE101" s="169" t="str">
        <f t="shared" si="51"/>
        <v/>
      </c>
      <c r="AF101" s="169" t="str">
        <f t="shared" si="52"/>
        <v/>
      </c>
      <c r="AG101" s="174"/>
      <c r="AH101" s="191"/>
      <c r="AI101" s="192"/>
      <c r="AJ101" s="192"/>
      <c r="AK101" s="193"/>
    </row>
    <row r="102" spans="1:37" s="194" customFormat="1" ht="16.8" x14ac:dyDescent="0.25">
      <c r="A102" s="154"/>
      <c r="B102" s="25">
        <v>6</v>
      </c>
      <c r="C102" s="25" t="str">
        <f t="shared" si="53"/>
        <v/>
      </c>
      <c r="D102" s="25" t="str">
        <f t="shared" si="54"/>
        <v/>
      </c>
      <c r="E102" s="25" t="str">
        <f t="shared" si="55"/>
        <v/>
      </c>
      <c r="F102" s="25" t="str">
        <f t="shared" si="56"/>
        <v/>
      </c>
      <c r="G102" s="45" t="str">
        <f t="shared" si="57"/>
        <v/>
      </c>
      <c r="H102" s="45" t="str">
        <f t="shared" si="58"/>
        <v/>
      </c>
      <c r="I102" s="45" t="str">
        <f t="shared" si="42"/>
        <v/>
      </c>
      <c r="J102" s="187" t="str">
        <f t="shared" si="43"/>
        <v/>
      </c>
      <c r="K102" s="25" t="str">
        <f t="shared" si="59"/>
        <v/>
      </c>
      <c r="L102" s="25" t="str">
        <f t="shared" si="60"/>
        <v/>
      </c>
      <c r="M102" s="45" t="str">
        <f t="shared" si="61"/>
        <v/>
      </c>
      <c r="N102" s="166" t="str">
        <f t="shared" si="62"/>
        <v/>
      </c>
      <c r="O102" s="166" t="str">
        <f t="shared" si="44"/>
        <v/>
      </c>
      <c r="P102" s="167" t="str">
        <f t="shared" si="63"/>
        <v/>
      </c>
      <c r="Q102" s="188" t="str">
        <f t="shared" si="45"/>
        <v/>
      </c>
      <c r="R102" s="166" t="str">
        <f t="shared" si="64"/>
        <v/>
      </c>
      <c r="S102" s="166" t="str">
        <f t="shared" si="46"/>
        <v/>
      </c>
      <c r="T102" s="167" t="str">
        <f t="shared" si="65"/>
        <v/>
      </c>
      <c r="U102" s="167" t="str">
        <f t="shared" si="47"/>
        <v/>
      </c>
      <c r="V102" s="168" t="str">
        <f t="shared" si="66"/>
        <v/>
      </c>
      <c r="W102" s="168" t="str">
        <f t="shared" si="48"/>
        <v/>
      </c>
      <c r="X102" s="167" t="str">
        <f t="shared" si="67"/>
        <v/>
      </c>
      <c r="Y102" s="167" t="str">
        <f t="shared" si="49"/>
        <v/>
      </c>
      <c r="Z102" s="169" t="str">
        <f t="shared" si="68"/>
        <v/>
      </c>
      <c r="AA102" s="170" t="str">
        <f t="shared" si="69"/>
        <v/>
      </c>
      <c r="AB102" s="169" t="str">
        <f t="shared" si="70"/>
        <v/>
      </c>
      <c r="AC102" s="169" t="str">
        <f t="shared" si="71"/>
        <v/>
      </c>
      <c r="AD102" s="169" t="str">
        <f t="shared" si="50"/>
        <v/>
      </c>
      <c r="AE102" s="169" t="str">
        <f t="shared" si="51"/>
        <v/>
      </c>
      <c r="AF102" s="169" t="str">
        <f t="shared" si="52"/>
        <v/>
      </c>
      <c r="AG102" s="174"/>
      <c r="AH102" s="191"/>
      <c r="AI102" s="192"/>
      <c r="AJ102" s="192"/>
      <c r="AK102" s="193"/>
    </row>
    <row r="103" spans="1:37" s="194" customFormat="1" ht="16.8" x14ac:dyDescent="0.25">
      <c r="A103" s="154"/>
      <c r="B103" s="25">
        <v>7</v>
      </c>
      <c r="C103" s="25" t="str">
        <f t="shared" si="53"/>
        <v/>
      </c>
      <c r="D103" s="25" t="str">
        <f t="shared" si="54"/>
        <v/>
      </c>
      <c r="E103" s="25" t="str">
        <f t="shared" si="55"/>
        <v/>
      </c>
      <c r="F103" s="25" t="str">
        <f t="shared" si="56"/>
        <v/>
      </c>
      <c r="G103" s="45" t="str">
        <f t="shared" si="57"/>
        <v/>
      </c>
      <c r="H103" s="45" t="str">
        <f t="shared" si="58"/>
        <v/>
      </c>
      <c r="I103" s="45" t="str">
        <f t="shared" si="42"/>
        <v/>
      </c>
      <c r="J103" s="187" t="str">
        <f t="shared" si="43"/>
        <v/>
      </c>
      <c r="K103" s="25" t="str">
        <f t="shared" si="59"/>
        <v/>
      </c>
      <c r="L103" s="25" t="str">
        <f t="shared" si="60"/>
        <v/>
      </c>
      <c r="M103" s="45" t="str">
        <f t="shared" si="61"/>
        <v/>
      </c>
      <c r="N103" s="166" t="str">
        <f t="shared" si="62"/>
        <v/>
      </c>
      <c r="O103" s="166" t="str">
        <f t="shared" si="44"/>
        <v/>
      </c>
      <c r="P103" s="167" t="str">
        <f t="shared" si="63"/>
        <v/>
      </c>
      <c r="Q103" s="188" t="str">
        <f t="shared" si="45"/>
        <v/>
      </c>
      <c r="R103" s="166" t="str">
        <f t="shared" si="64"/>
        <v/>
      </c>
      <c r="S103" s="166" t="str">
        <f t="shared" si="46"/>
        <v/>
      </c>
      <c r="T103" s="167" t="str">
        <f t="shared" si="65"/>
        <v/>
      </c>
      <c r="U103" s="167" t="str">
        <f t="shared" si="47"/>
        <v/>
      </c>
      <c r="V103" s="168" t="str">
        <f t="shared" si="66"/>
        <v/>
      </c>
      <c r="W103" s="168" t="str">
        <f t="shared" si="48"/>
        <v/>
      </c>
      <c r="X103" s="167" t="str">
        <f t="shared" si="67"/>
        <v/>
      </c>
      <c r="Y103" s="167" t="str">
        <f t="shared" si="49"/>
        <v/>
      </c>
      <c r="Z103" s="169" t="str">
        <f t="shared" si="68"/>
        <v/>
      </c>
      <c r="AA103" s="170" t="str">
        <f t="shared" si="69"/>
        <v/>
      </c>
      <c r="AB103" s="169" t="str">
        <f t="shared" si="70"/>
        <v/>
      </c>
      <c r="AC103" s="169" t="str">
        <f t="shared" si="71"/>
        <v/>
      </c>
      <c r="AD103" s="169" t="str">
        <f t="shared" si="50"/>
        <v/>
      </c>
      <c r="AE103" s="169" t="str">
        <f t="shared" si="51"/>
        <v/>
      </c>
      <c r="AF103" s="169" t="str">
        <f t="shared" si="52"/>
        <v/>
      </c>
      <c r="AG103" s="174"/>
      <c r="AH103" s="191"/>
      <c r="AI103" s="192"/>
      <c r="AJ103" s="192"/>
      <c r="AK103" s="193"/>
    </row>
    <row r="104" spans="1:37" s="194" customFormat="1" ht="16.8" x14ac:dyDescent="0.25">
      <c r="A104" s="154"/>
      <c r="B104" s="25">
        <v>8</v>
      </c>
      <c r="C104" s="25" t="str">
        <f t="shared" si="53"/>
        <v/>
      </c>
      <c r="D104" s="25" t="str">
        <f t="shared" si="54"/>
        <v/>
      </c>
      <c r="E104" s="25" t="str">
        <f t="shared" si="55"/>
        <v/>
      </c>
      <c r="F104" s="25" t="str">
        <f t="shared" si="56"/>
        <v/>
      </c>
      <c r="G104" s="45" t="str">
        <f t="shared" si="57"/>
        <v/>
      </c>
      <c r="H104" s="45" t="str">
        <f t="shared" si="58"/>
        <v/>
      </c>
      <c r="I104" s="45" t="str">
        <f t="shared" si="42"/>
        <v/>
      </c>
      <c r="J104" s="187" t="str">
        <f t="shared" si="43"/>
        <v/>
      </c>
      <c r="K104" s="25" t="str">
        <f t="shared" si="59"/>
        <v/>
      </c>
      <c r="L104" s="25" t="str">
        <f t="shared" si="60"/>
        <v/>
      </c>
      <c r="M104" s="45" t="str">
        <f t="shared" si="61"/>
        <v/>
      </c>
      <c r="N104" s="166" t="str">
        <f t="shared" si="62"/>
        <v/>
      </c>
      <c r="O104" s="166" t="str">
        <f t="shared" si="44"/>
        <v/>
      </c>
      <c r="P104" s="167" t="str">
        <f t="shared" si="63"/>
        <v/>
      </c>
      <c r="Q104" s="188" t="str">
        <f t="shared" si="45"/>
        <v/>
      </c>
      <c r="R104" s="166" t="str">
        <f t="shared" si="64"/>
        <v/>
      </c>
      <c r="S104" s="166" t="str">
        <f t="shared" si="46"/>
        <v/>
      </c>
      <c r="T104" s="167" t="str">
        <f t="shared" si="65"/>
        <v/>
      </c>
      <c r="U104" s="167" t="str">
        <f t="shared" si="47"/>
        <v/>
      </c>
      <c r="V104" s="168" t="str">
        <f t="shared" si="66"/>
        <v/>
      </c>
      <c r="W104" s="168" t="str">
        <f t="shared" si="48"/>
        <v/>
      </c>
      <c r="X104" s="167" t="str">
        <f t="shared" si="67"/>
        <v/>
      </c>
      <c r="Y104" s="167" t="str">
        <f t="shared" si="49"/>
        <v/>
      </c>
      <c r="Z104" s="169" t="str">
        <f t="shared" si="68"/>
        <v/>
      </c>
      <c r="AA104" s="170" t="str">
        <f t="shared" si="69"/>
        <v/>
      </c>
      <c r="AB104" s="169" t="str">
        <f t="shared" si="70"/>
        <v/>
      </c>
      <c r="AC104" s="169" t="str">
        <f t="shared" si="71"/>
        <v/>
      </c>
      <c r="AD104" s="169" t="str">
        <f t="shared" si="50"/>
        <v/>
      </c>
      <c r="AE104" s="169" t="str">
        <f t="shared" si="51"/>
        <v/>
      </c>
      <c r="AF104" s="169" t="str">
        <f t="shared" si="52"/>
        <v/>
      </c>
      <c r="AG104" s="174"/>
      <c r="AH104" s="191"/>
      <c r="AI104" s="192"/>
      <c r="AJ104" s="192"/>
      <c r="AK104" s="193"/>
    </row>
    <row r="105" spans="1:37" s="194" customFormat="1" ht="16.8" x14ac:dyDescent="0.25">
      <c r="A105" s="154"/>
      <c r="B105" s="25">
        <v>9</v>
      </c>
      <c r="C105" s="25" t="str">
        <f t="shared" si="53"/>
        <v/>
      </c>
      <c r="D105" s="25" t="str">
        <f t="shared" si="54"/>
        <v/>
      </c>
      <c r="E105" s="25" t="str">
        <f t="shared" si="55"/>
        <v/>
      </c>
      <c r="F105" s="25" t="str">
        <f t="shared" si="56"/>
        <v/>
      </c>
      <c r="G105" s="45" t="str">
        <f t="shared" si="57"/>
        <v/>
      </c>
      <c r="H105" s="45" t="str">
        <f t="shared" si="58"/>
        <v/>
      </c>
      <c r="I105" s="45" t="str">
        <f t="shared" si="42"/>
        <v/>
      </c>
      <c r="J105" s="187" t="str">
        <f t="shared" si="43"/>
        <v/>
      </c>
      <c r="K105" s="25" t="str">
        <f t="shared" si="59"/>
        <v/>
      </c>
      <c r="L105" s="25" t="str">
        <f t="shared" si="60"/>
        <v/>
      </c>
      <c r="M105" s="45" t="str">
        <f t="shared" si="61"/>
        <v/>
      </c>
      <c r="N105" s="166" t="str">
        <f t="shared" si="62"/>
        <v/>
      </c>
      <c r="O105" s="166" t="str">
        <f t="shared" si="44"/>
        <v/>
      </c>
      <c r="P105" s="167" t="str">
        <f t="shared" si="63"/>
        <v/>
      </c>
      <c r="Q105" s="188" t="str">
        <f t="shared" si="45"/>
        <v/>
      </c>
      <c r="R105" s="166" t="str">
        <f t="shared" si="64"/>
        <v/>
      </c>
      <c r="S105" s="166" t="str">
        <f t="shared" si="46"/>
        <v/>
      </c>
      <c r="T105" s="167" t="str">
        <f t="shared" si="65"/>
        <v/>
      </c>
      <c r="U105" s="167" t="str">
        <f t="shared" si="47"/>
        <v/>
      </c>
      <c r="V105" s="168" t="str">
        <f t="shared" si="66"/>
        <v/>
      </c>
      <c r="W105" s="168" t="str">
        <f t="shared" si="48"/>
        <v/>
      </c>
      <c r="X105" s="167" t="str">
        <f t="shared" si="67"/>
        <v/>
      </c>
      <c r="Y105" s="167" t="str">
        <f t="shared" si="49"/>
        <v/>
      </c>
      <c r="Z105" s="169" t="str">
        <f t="shared" si="68"/>
        <v/>
      </c>
      <c r="AA105" s="170" t="str">
        <f t="shared" si="69"/>
        <v/>
      </c>
      <c r="AB105" s="169" t="str">
        <f t="shared" si="70"/>
        <v/>
      </c>
      <c r="AC105" s="169" t="str">
        <f t="shared" si="71"/>
        <v/>
      </c>
      <c r="AD105" s="169" t="str">
        <f t="shared" si="50"/>
        <v/>
      </c>
      <c r="AE105" s="169" t="str">
        <f t="shared" si="51"/>
        <v/>
      </c>
      <c r="AF105" s="169" t="str">
        <f t="shared" si="52"/>
        <v/>
      </c>
      <c r="AG105" s="174"/>
      <c r="AH105" s="191"/>
      <c r="AI105" s="192"/>
      <c r="AJ105" s="192"/>
      <c r="AK105" s="193"/>
    </row>
    <row r="106" spans="1:37" s="194" customFormat="1" ht="16.8" x14ac:dyDescent="0.25">
      <c r="A106" s="154"/>
      <c r="B106" s="25">
        <v>10</v>
      </c>
      <c r="C106" s="25" t="str">
        <f t="shared" si="53"/>
        <v/>
      </c>
      <c r="D106" s="25" t="str">
        <f t="shared" si="54"/>
        <v/>
      </c>
      <c r="E106" s="25" t="str">
        <f t="shared" si="55"/>
        <v/>
      </c>
      <c r="F106" s="25" t="str">
        <f t="shared" si="56"/>
        <v/>
      </c>
      <c r="G106" s="45" t="str">
        <f t="shared" si="57"/>
        <v/>
      </c>
      <c r="H106" s="45" t="str">
        <f t="shared" si="58"/>
        <v/>
      </c>
      <c r="I106" s="45" t="str">
        <f t="shared" si="42"/>
        <v/>
      </c>
      <c r="J106" s="187" t="str">
        <f t="shared" si="43"/>
        <v/>
      </c>
      <c r="K106" s="25" t="str">
        <f t="shared" si="59"/>
        <v/>
      </c>
      <c r="L106" s="25" t="str">
        <f t="shared" si="60"/>
        <v/>
      </c>
      <c r="M106" s="45" t="str">
        <f t="shared" si="61"/>
        <v/>
      </c>
      <c r="N106" s="166" t="str">
        <f t="shared" si="62"/>
        <v/>
      </c>
      <c r="O106" s="166" t="str">
        <f t="shared" si="44"/>
        <v/>
      </c>
      <c r="P106" s="167" t="str">
        <f t="shared" si="63"/>
        <v/>
      </c>
      <c r="Q106" s="188" t="str">
        <f t="shared" si="45"/>
        <v/>
      </c>
      <c r="R106" s="166" t="str">
        <f t="shared" si="64"/>
        <v/>
      </c>
      <c r="S106" s="166" t="str">
        <f t="shared" si="46"/>
        <v/>
      </c>
      <c r="T106" s="167" t="str">
        <f t="shared" si="65"/>
        <v/>
      </c>
      <c r="U106" s="167" t="str">
        <f t="shared" si="47"/>
        <v/>
      </c>
      <c r="V106" s="168" t="str">
        <f t="shared" si="66"/>
        <v/>
      </c>
      <c r="W106" s="168" t="str">
        <f t="shared" si="48"/>
        <v/>
      </c>
      <c r="X106" s="167" t="str">
        <f t="shared" si="67"/>
        <v/>
      </c>
      <c r="Y106" s="167" t="str">
        <f t="shared" si="49"/>
        <v/>
      </c>
      <c r="Z106" s="169" t="str">
        <f t="shared" si="68"/>
        <v/>
      </c>
      <c r="AA106" s="170" t="str">
        <f t="shared" si="69"/>
        <v/>
      </c>
      <c r="AB106" s="169" t="str">
        <f t="shared" si="70"/>
        <v/>
      </c>
      <c r="AC106" s="169" t="str">
        <f t="shared" si="71"/>
        <v/>
      </c>
      <c r="AD106" s="169" t="str">
        <f t="shared" si="50"/>
        <v/>
      </c>
      <c r="AE106" s="169" t="str">
        <f t="shared" si="51"/>
        <v/>
      </c>
      <c r="AF106" s="169" t="str">
        <f t="shared" si="52"/>
        <v/>
      </c>
      <c r="AG106" s="174"/>
      <c r="AH106" s="191"/>
      <c r="AI106" s="192"/>
      <c r="AJ106" s="192"/>
      <c r="AK106" s="193"/>
    </row>
    <row r="107" spans="1:37" s="194" customFormat="1" ht="16.8" x14ac:dyDescent="0.25">
      <c r="A107" s="154"/>
      <c r="B107" s="25">
        <v>11</v>
      </c>
      <c r="C107" s="25" t="str">
        <f t="shared" si="53"/>
        <v/>
      </c>
      <c r="D107" s="25" t="str">
        <f t="shared" si="54"/>
        <v/>
      </c>
      <c r="E107" s="25" t="str">
        <f t="shared" si="55"/>
        <v/>
      </c>
      <c r="F107" s="25" t="str">
        <f t="shared" si="56"/>
        <v/>
      </c>
      <c r="G107" s="45" t="str">
        <f t="shared" si="57"/>
        <v/>
      </c>
      <c r="H107" s="45" t="str">
        <f t="shared" si="58"/>
        <v/>
      </c>
      <c r="I107" s="45" t="str">
        <f t="shared" si="42"/>
        <v/>
      </c>
      <c r="J107" s="187" t="str">
        <f t="shared" si="43"/>
        <v/>
      </c>
      <c r="K107" s="25" t="str">
        <f t="shared" si="59"/>
        <v/>
      </c>
      <c r="L107" s="25" t="str">
        <f t="shared" si="60"/>
        <v/>
      </c>
      <c r="M107" s="45" t="str">
        <f t="shared" si="61"/>
        <v/>
      </c>
      <c r="N107" s="166" t="str">
        <f t="shared" si="62"/>
        <v/>
      </c>
      <c r="O107" s="166" t="str">
        <f t="shared" si="44"/>
        <v/>
      </c>
      <c r="P107" s="167" t="str">
        <f t="shared" si="63"/>
        <v/>
      </c>
      <c r="Q107" s="188" t="str">
        <f t="shared" si="45"/>
        <v/>
      </c>
      <c r="R107" s="166" t="str">
        <f t="shared" si="64"/>
        <v/>
      </c>
      <c r="S107" s="166" t="str">
        <f t="shared" si="46"/>
        <v/>
      </c>
      <c r="T107" s="167" t="str">
        <f t="shared" si="65"/>
        <v/>
      </c>
      <c r="U107" s="167" t="str">
        <f t="shared" si="47"/>
        <v/>
      </c>
      <c r="V107" s="168" t="str">
        <f t="shared" si="66"/>
        <v/>
      </c>
      <c r="W107" s="168" t="str">
        <f t="shared" si="48"/>
        <v/>
      </c>
      <c r="X107" s="167" t="str">
        <f t="shared" si="67"/>
        <v/>
      </c>
      <c r="Y107" s="167" t="str">
        <f t="shared" si="49"/>
        <v/>
      </c>
      <c r="Z107" s="169" t="str">
        <f t="shared" si="68"/>
        <v/>
      </c>
      <c r="AA107" s="170" t="str">
        <f t="shared" si="69"/>
        <v/>
      </c>
      <c r="AB107" s="169" t="str">
        <f t="shared" si="70"/>
        <v/>
      </c>
      <c r="AC107" s="169" t="str">
        <f t="shared" si="71"/>
        <v/>
      </c>
      <c r="AD107" s="169" t="str">
        <f t="shared" si="50"/>
        <v/>
      </c>
      <c r="AE107" s="169" t="str">
        <f t="shared" si="51"/>
        <v/>
      </c>
      <c r="AF107" s="169" t="str">
        <f t="shared" si="52"/>
        <v/>
      </c>
      <c r="AG107" s="174"/>
      <c r="AH107" s="191"/>
      <c r="AI107" s="192"/>
      <c r="AJ107" s="192"/>
      <c r="AK107" s="193"/>
    </row>
    <row r="108" spans="1:37" s="194" customFormat="1" ht="16.8" x14ac:dyDescent="0.25">
      <c r="A108" s="154"/>
      <c r="B108" s="25">
        <v>12</v>
      </c>
      <c r="C108" s="25" t="str">
        <f t="shared" si="53"/>
        <v/>
      </c>
      <c r="D108" s="25" t="str">
        <f t="shared" si="54"/>
        <v/>
      </c>
      <c r="E108" s="25" t="str">
        <f t="shared" si="55"/>
        <v/>
      </c>
      <c r="F108" s="25" t="str">
        <f t="shared" si="56"/>
        <v/>
      </c>
      <c r="G108" s="45" t="str">
        <f t="shared" si="57"/>
        <v/>
      </c>
      <c r="H108" s="45" t="str">
        <f t="shared" si="58"/>
        <v/>
      </c>
      <c r="I108" s="45" t="str">
        <f t="shared" si="42"/>
        <v/>
      </c>
      <c r="J108" s="187" t="str">
        <f t="shared" si="43"/>
        <v/>
      </c>
      <c r="K108" s="25" t="str">
        <f t="shared" si="59"/>
        <v/>
      </c>
      <c r="L108" s="25" t="str">
        <f t="shared" si="60"/>
        <v/>
      </c>
      <c r="M108" s="45" t="str">
        <f t="shared" si="61"/>
        <v/>
      </c>
      <c r="N108" s="166" t="str">
        <f t="shared" si="62"/>
        <v/>
      </c>
      <c r="O108" s="166" t="str">
        <f t="shared" si="44"/>
        <v/>
      </c>
      <c r="P108" s="167" t="str">
        <f t="shared" si="63"/>
        <v/>
      </c>
      <c r="Q108" s="188" t="str">
        <f t="shared" si="45"/>
        <v/>
      </c>
      <c r="R108" s="166" t="str">
        <f t="shared" si="64"/>
        <v/>
      </c>
      <c r="S108" s="166" t="str">
        <f t="shared" si="46"/>
        <v/>
      </c>
      <c r="T108" s="167" t="str">
        <f t="shared" si="65"/>
        <v/>
      </c>
      <c r="U108" s="167" t="str">
        <f t="shared" si="47"/>
        <v/>
      </c>
      <c r="V108" s="168" t="str">
        <f t="shared" si="66"/>
        <v/>
      </c>
      <c r="W108" s="168" t="str">
        <f t="shared" si="48"/>
        <v/>
      </c>
      <c r="X108" s="167" t="str">
        <f t="shared" si="67"/>
        <v/>
      </c>
      <c r="Y108" s="167" t="str">
        <f t="shared" si="49"/>
        <v/>
      </c>
      <c r="Z108" s="169" t="str">
        <f t="shared" si="68"/>
        <v/>
      </c>
      <c r="AA108" s="170" t="str">
        <f t="shared" si="69"/>
        <v/>
      </c>
      <c r="AB108" s="169" t="str">
        <f t="shared" si="70"/>
        <v/>
      </c>
      <c r="AC108" s="169" t="str">
        <f t="shared" si="71"/>
        <v/>
      </c>
      <c r="AD108" s="169" t="str">
        <f t="shared" si="50"/>
        <v/>
      </c>
      <c r="AE108" s="169" t="str">
        <f t="shared" si="51"/>
        <v/>
      </c>
      <c r="AF108" s="169" t="str">
        <f t="shared" si="52"/>
        <v/>
      </c>
      <c r="AG108" s="174"/>
      <c r="AH108" s="191"/>
      <c r="AI108" s="192"/>
      <c r="AJ108" s="192"/>
      <c r="AK108" s="193"/>
    </row>
    <row r="109" spans="1:37" s="194" customFormat="1" ht="16.8" x14ac:dyDescent="0.25">
      <c r="A109" s="154"/>
      <c r="B109" s="25">
        <v>13</v>
      </c>
      <c r="C109" s="25" t="str">
        <f t="shared" si="53"/>
        <v/>
      </c>
      <c r="D109" s="25" t="str">
        <f t="shared" si="54"/>
        <v/>
      </c>
      <c r="E109" s="25" t="str">
        <f t="shared" si="55"/>
        <v/>
      </c>
      <c r="F109" s="25" t="str">
        <f t="shared" si="56"/>
        <v/>
      </c>
      <c r="G109" s="45" t="str">
        <f t="shared" si="57"/>
        <v/>
      </c>
      <c r="H109" s="45" t="str">
        <f t="shared" si="58"/>
        <v/>
      </c>
      <c r="I109" s="45" t="str">
        <f t="shared" si="42"/>
        <v/>
      </c>
      <c r="J109" s="187" t="str">
        <f t="shared" si="43"/>
        <v/>
      </c>
      <c r="K109" s="25" t="str">
        <f t="shared" si="59"/>
        <v/>
      </c>
      <c r="L109" s="25" t="str">
        <f t="shared" si="60"/>
        <v/>
      </c>
      <c r="M109" s="45" t="str">
        <f t="shared" si="61"/>
        <v/>
      </c>
      <c r="N109" s="166" t="str">
        <f t="shared" si="62"/>
        <v/>
      </c>
      <c r="O109" s="166" t="str">
        <f t="shared" si="44"/>
        <v/>
      </c>
      <c r="P109" s="167" t="str">
        <f t="shared" si="63"/>
        <v/>
      </c>
      <c r="Q109" s="188" t="str">
        <f t="shared" si="45"/>
        <v/>
      </c>
      <c r="R109" s="166" t="str">
        <f t="shared" si="64"/>
        <v/>
      </c>
      <c r="S109" s="166" t="str">
        <f t="shared" si="46"/>
        <v/>
      </c>
      <c r="T109" s="167" t="str">
        <f t="shared" si="65"/>
        <v/>
      </c>
      <c r="U109" s="167" t="str">
        <f t="shared" si="47"/>
        <v/>
      </c>
      <c r="V109" s="168" t="str">
        <f t="shared" si="66"/>
        <v/>
      </c>
      <c r="W109" s="168" t="str">
        <f t="shared" si="48"/>
        <v/>
      </c>
      <c r="X109" s="167" t="str">
        <f t="shared" si="67"/>
        <v/>
      </c>
      <c r="Y109" s="167" t="str">
        <f t="shared" si="49"/>
        <v/>
      </c>
      <c r="Z109" s="169" t="str">
        <f t="shared" si="68"/>
        <v/>
      </c>
      <c r="AA109" s="170" t="str">
        <f t="shared" si="69"/>
        <v/>
      </c>
      <c r="AB109" s="169" t="str">
        <f t="shared" si="70"/>
        <v/>
      </c>
      <c r="AC109" s="169" t="str">
        <f t="shared" si="71"/>
        <v/>
      </c>
      <c r="AD109" s="169" t="str">
        <f t="shared" si="50"/>
        <v/>
      </c>
      <c r="AE109" s="169" t="str">
        <f t="shared" si="51"/>
        <v/>
      </c>
      <c r="AF109" s="169" t="str">
        <f t="shared" si="52"/>
        <v/>
      </c>
      <c r="AG109" s="174"/>
      <c r="AH109" s="191"/>
      <c r="AI109" s="192"/>
      <c r="AJ109" s="192"/>
      <c r="AK109" s="193"/>
    </row>
    <row r="110" spans="1:37" s="194" customFormat="1" ht="16.8" x14ac:dyDescent="0.25">
      <c r="A110" s="154"/>
      <c r="B110" s="25">
        <v>14</v>
      </c>
      <c r="C110" s="25" t="str">
        <f t="shared" si="53"/>
        <v/>
      </c>
      <c r="D110" s="25" t="str">
        <f t="shared" si="54"/>
        <v/>
      </c>
      <c r="E110" s="25" t="str">
        <f t="shared" si="55"/>
        <v/>
      </c>
      <c r="F110" s="25" t="str">
        <f t="shared" si="56"/>
        <v/>
      </c>
      <c r="G110" s="45" t="str">
        <f t="shared" si="57"/>
        <v/>
      </c>
      <c r="H110" s="45" t="str">
        <f t="shared" si="58"/>
        <v/>
      </c>
      <c r="I110" s="45" t="str">
        <f t="shared" si="42"/>
        <v/>
      </c>
      <c r="J110" s="187" t="str">
        <f t="shared" si="43"/>
        <v/>
      </c>
      <c r="K110" s="25" t="str">
        <f t="shared" si="59"/>
        <v/>
      </c>
      <c r="L110" s="25" t="str">
        <f t="shared" si="60"/>
        <v/>
      </c>
      <c r="M110" s="45" t="str">
        <f t="shared" si="61"/>
        <v/>
      </c>
      <c r="N110" s="166" t="str">
        <f t="shared" si="62"/>
        <v/>
      </c>
      <c r="O110" s="166" t="str">
        <f t="shared" si="44"/>
        <v/>
      </c>
      <c r="P110" s="167" t="str">
        <f t="shared" si="63"/>
        <v/>
      </c>
      <c r="Q110" s="188" t="str">
        <f t="shared" si="45"/>
        <v/>
      </c>
      <c r="R110" s="166" t="str">
        <f t="shared" si="64"/>
        <v/>
      </c>
      <c r="S110" s="166" t="str">
        <f t="shared" si="46"/>
        <v/>
      </c>
      <c r="T110" s="167" t="str">
        <f t="shared" si="65"/>
        <v/>
      </c>
      <c r="U110" s="167" t="str">
        <f t="shared" si="47"/>
        <v/>
      </c>
      <c r="V110" s="168" t="str">
        <f t="shared" si="66"/>
        <v/>
      </c>
      <c r="W110" s="168" t="str">
        <f t="shared" si="48"/>
        <v/>
      </c>
      <c r="X110" s="167" t="str">
        <f t="shared" si="67"/>
        <v/>
      </c>
      <c r="Y110" s="167" t="str">
        <f t="shared" si="49"/>
        <v/>
      </c>
      <c r="Z110" s="169" t="str">
        <f t="shared" si="68"/>
        <v/>
      </c>
      <c r="AA110" s="170" t="str">
        <f t="shared" si="69"/>
        <v/>
      </c>
      <c r="AB110" s="169" t="str">
        <f t="shared" si="70"/>
        <v/>
      </c>
      <c r="AC110" s="169" t="str">
        <f t="shared" si="71"/>
        <v/>
      </c>
      <c r="AD110" s="169" t="str">
        <f t="shared" si="50"/>
        <v/>
      </c>
      <c r="AE110" s="169" t="str">
        <f t="shared" si="51"/>
        <v/>
      </c>
      <c r="AF110" s="169" t="str">
        <f t="shared" si="52"/>
        <v/>
      </c>
      <c r="AG110" s="174"/>
      <c r="AH110" s="191"/>
      <c r="AI110" s="192"/>
      <c r="AJ110" s="192"/>
      <c r="AK110" s="193"/>
    </row>
    <row r="111" spans="1:37" s="194" customFormat="1" ht="16.8" x14ac:dyDescent="0.25">
      <c r="A111" s="154"/>
      <c r="B111" s="25">
        <v>15</v>
      </c>
      <c r="C111" s="25" t="str">
        <f t="shared" si="53"/>
        <v/>
      </c>
      <c r="D111" s="25" t="str">
        <f t="shared" si="54"/>
        <v/>
      </c>
      <c r="E111" s="25" t="str">
        <f t="shared" si="55"/>
        <v/>
      </c>
      <c r="F111" s="25" t="str">
        <f t="shared" si="56"/>
        <v/>
      </c>
      <c r="G111" s="45" t="str">
        <f t="shared" si="57"/>
        <v/>
      </c>
      <c r="H111" s="45" t="str">
        <f t="shared" si="58"/>
        <v/>
      </c>
      <c r="I111" s="45" t="str">
        <f t="shared" si="42"/>
        <v/>
      </c>
      <c r="J111" s="187" t="str">
        <f t="shared" si="43"/>
        <v/>
      </c>
      <c r="K111" s="25" t="str">
        <f t="shared" si="59"/>
        <v/>
      </c>
      <c r="L111" s="25" t="str">
        <f t="shared" si="60"/>
        <v/>
      </c>
      <c r="M111" s="45" t="str">
        <f t="shared" si="61"/>
        <v/>
      </c>
      <c r="N111" s="166" t="str">
        <f t="shared" si="62"/>
        <v/>
      </c>
      <c r="O111" s="166" t="str">
        <f t="shared" si="44"/>
        <v/>
      </c>
      <c r="P111" s="167" t="str">
        <f t="shared" si="63"/>
        <v/>
      </c>
      <c r="Q111" s="188" t="str">
        <f t="shared" si="45"/>
        <v/>
      </c>
      <c r="R111" s="166" t="str">
        <f t="shared" si="64"/>
        <v/>
      </c>
      <c r="S111" s="166" t="str">
        <f t="shared" si="46"/>
        <v/>
      </c>
      <c r="T111" s="167" t="str">
        <f t="shared" si="65"/>
        <v/>
      </c>
      <c r="U111" s="167" t="str">
        <f t="shared" si="47"/>
        <v/>
      </c>
      <c r="V111" s="168" t="str">
        <f t="shared" si="66"/>
        <v/>
      </c>
      <c r="W111" s="168" t="str">
        <f t="shared" si="48"/>
        <v/>
      </c>
      <c r="X111" s="167" t="str">
        <f t="shared" si="67"/>
        <v/>
      </c>
      <c r="Y111" s="167" t="str">
        <f t="shared" si="49"/>
        <v/>
      </c>
      <c r="Z111" s="169" t="str">
        <f t="shared" si="68"/>
        <v/>
      </c>
      <c r="AA111" s="170" t="str">
        <f t="shared" si="69"/>
        <v/>
      </c>
      <c r="AB111" s="169" t="str">
        <f t="shared" si="70"/>
        <v/>
      </c>
      <c r="AC111" s="169" t="str">
        <f t="shared" si="71"/>
        <v/>
      </c>
      <c r="AD111" s="169" t="str">
        <f t="shared" si="50"/>
        <v/>
      </c>
      <c r="AE111" s="169" t="str">
        <f t="shared" si="51"/>
        <v/>
      </c>
      <c r="AF111" s="169" t="str">
        <f t="shared" si="52"/>
        <v/>
      </c>
      <c r="AG111" s="174"/>
      <c r="AH111" s="191"/>
      <c r="AI111" s="192"/>
      <c r="AJ111" s="192"/>
      <c r="AK111" s="193"/>
    </row>
    <row r="112" spans="1:37" s="194" customFormat="1" ht="16.8" x14ac:dyDescent="0.25">
      <c r="A112" s="154"/>
      <c r="B112" s="25">
        <v>16</v>
      </c>
      <c r="C112" s="25" t="str">
        <f t="shared" si="53"/>
        <v/>
      </c>
      <c r="D112" s="25" t="str">
        <f t="shared" si="54"/>
        <v/>
      </c>
      <c r="E112" s="25" t="str">
        <f t="shared" si="55"/>
        <v/>
      </c>
      <c r="F112" s="25" t="str">
        <f t="shared" si="56"/>
        <v/>
      </c>
      <c r="G112" s="45" t="str">
        <f t="shared" si="57"/>
        <v/>
      </c>
      <c r="H112" s="45" t="str">
        <f t="shared" si="58"/>
        <v/>
      </c>
      <c r="I112" s="45" t="str">
        <f t="shared" si="42"/>
        <v/>
      </c>
      <c r="J112" s="187" t="str">
        <f t="shared" si="43"/>
        <v/>
      </c>
      <c r="K112" s="25" t="str">
        <f t="shared" si="59"/>
        <v/>
      </c>
      <c r="L112" s="25" t="str">
        <f t="shared" si="60"/>
        <v/>
      </c>
      <c r="M112" s="45" t="str">
        <f t="shared" si="61"/>
        <v/>
      </c>
      <c r="N112" s="166" t="str">
        <f t="shared" si="62"/>
        <v/>
      </c>
      <c r="O112" s="166" t="str">
        <f t="shared" si="44"/>
        <v/>
      </c>
      <c r="P112" s="167" t="str">
        <f t="shared" si="63"/>
        <v/>
      </c>
      <c r="Q112" s="188" t="str">
        <f t="shared" si="45"/>
        <v/>
      </c>
      <c r="R112" s="166" t="str">
        <f t="shared" si="64"/>
        <v/>
      </c>
      <c r="S112" s="166" t="str">
        <f t="shared" si="46"/>
        <v/>
      </c>
      <c r="T112" s="167" t="str">
        <f t="shared" si="65"/>
        <v/>
      </c>
      <c r="U112" s="167" t="str">
        <f t="shared" si="47"/>
        <v/>
      </c>
      <c r="V112" s="168" t="str">
        <f t="shared" si="66"/>
        <v/>
      </c>
      <c r="W112" s="168" t="str">
        <f t="shared" si="48"/>
        <v/>
      </c>
      <c r="X112" s="167" t="str">
        <f t="shared" si="67"/>
        <v/>
      </c>
      <c r="Y112" s="167" t="str">
        <f t="shared" si="49"/>
        <v/>
      </c>
      <c r="Z112" s="169" t="str">
        <f t="shared" si="68"/>
        <v/>
      </c>
      <c r="AA112" s="170" t="str">
        <f t="shared" si="69"/>
        <v/>
      </c>
      <c r="AB112" s="169" t="str">
        <f t="shared" si="70"/>
        <v/>
      </c>
      <c r="AC112" s="169" t="str">
        <f t="shared" si="71"/>
        <v/>
      </c>
      <c r="AD112" s="169" t="str">
        <f t="shared" si="50"/>
        <v/>
      </c>
      <c r="AE112" s="169" t="str">
        <f t="shared" si="51"/>
        <v/>
      </c>
      <c r="AF112" s="169" t="str">
        <f t="shared" si="52"/>
        <v/>
      </c>
      <c r="AG112" s="174"/>
      <c r="AH112" s="191"/>
      <c r="AI112" s="192"/>
      <c r="AJ112" s="192"/>
      <c r="AK112" s="193"/>
    </row>
    <row r="113" spans="1:37" s="194" customFormat="1" ht="16.8" x14ac:dyDescent="0.25">
      <c r="A113" s="154"/>
      <c r="B113" s="25">
        <v>17</v>
      </c>
      <c r="C113" s="25" t="str">
        <f t="shared" si="53"/>
        <v/>
      </c>
      <c r="D113" s="25" t="str">
        <f t="shared" si="54"/>
        <v/>
      </c>
      <c r="E113" s="25" t="str">
        <f t="shared" si="55"/>
        <v/>
      </c>
      <c r="F113" s="25" t="str">
        <f t="shared" si="56"/>
        <v/>
      </c>
      <c r="G113" s="45" t="str">
        <f t="shared" si="57"/>
        <v/>
      </c>
      <c r="H113" s="45" t="str">
        <f t="shared" si="58"/>
        <v/>
      </c>
      <c r="I113" s="45" t="str">
        <f t="shared" si="42"/>
        <v/>
      </c>
      <c r="J113" s="187" t="str">
        <f t="shared" si="43"/>
        <v/>
      </c>
      <c r="K113" s="25" t="str">
        <f t="shared" si="59"/>
        <v/>
      </c>
      <c r="L113" s="25" t="str">
        <f t="shared" si="60"/>
        <v/>
      </c>
      <c r="M113" s="45" t="str">
        <f t="shared" si="61"/>
        <v/>
      </c>
      <c r="N113" s="166" t="str">
        <f t="shared" si="62"/>
        <v/>
      </c>
      <c r="O113" s="166" t="str">
        <f t="shared" si="44"/>
        <v/>
      </c>
      <c r="P113" s="167" t="str">
        <f t="shared" si="63"/>
        <v/>
      </c>
      <c r="Q113" s="188" t="str">
        <f t="shared" si="45"/>
        <v/>
      </c>
      <c r="R113" s="166" t="str">
        <f t="shared" si="64"/>
        <v/>
      </c>
      <c r="S113" s="166" t="str">
        <f t="shared" si="46"/>
        <v/>
      </c>
      <c r="T113" s="167" t="str">
        <f t="shared" si="65"/>
        <v/>
      </c>
      <c r="U113" s="167" t="str">
        <f t="shared" si="47"/>
        <v/>
      </c>
      <c r="V113" s="168" t="str">
        <f t="shared" si="66"/>
        <v/>
      </c>
      <c r="W113" s="168" t="str">
        <f t="shared" si="48"/>
        <v/>
      </c>
      <c r="X113" s="167" t="str">
        <f t="shared" si="67"/>
        <v/>
      </c>
      <c r="Y113" s="167" t="str">
        <f t="shared" si="49"/>
        <v/>
      </c>
      <c r="Z113" s="169" t="str">
        <f t="shared" si="68"/>
        <v/>
      </c>
      <c r="AA113" s="170" t="str">
        <f t="shared" si="69"/>
        <v/>
      </c>
      <c r="AB113" s="169" t="str">
        <f t="shared" si="70"/>
        <v/>
      </c>
      <c r="AC113" s="169" t="str">
        <f t="shared" si="71"/>
        <v/>
      </c>
      <c r="AD113" s="169" t="str">
        <f t="shared" si="50"/>
        <v/>
      </c>
      <c r="AE113" s="169" t="str">
        <f t="shared" si="51"/>
        <v/>
      </c>
      <c r="AF113" s="169" t="str">
        <f t="shared" si="52"/>
        <v/>
      </c>
      <c r="AG113" s="174"/>
      <c r="AH113" s="191"/>
      <c r="AI113" s="192"/>
      <c r="AJ113" s="192"/>
      <c r="AK113" s="193"/>
    </row>
    <row r="114" spans="1:37" s="194" customFormat="1" ht="16.8" x14ac:dyDescent="0.25">
      <c r="A114" s="154"/>
      <c r="B114" s="25">
        <v>18</v>
      </c>
      <c r="C114" s="25" t="str">
        <f t="shared" si="53"/>
        <v/>
      </c>
      <c r="D114" s="25" t="str">
        <f t="shared" si="54"/>
        <v/>
      </c>
      <c r="E114" s="25" t="str">
        <f t="shared" si="55"/>
        <v/>
      </c>
      <c r="F114" s="25" t="str">
        <f t="shared" si="56"/>
        <v/>
      </c>
      <c r="G114" s="45" t="str">
        <f t="shared" si="57"/>
        <v/>
      </c>
      <c r="H114" s="45" t="str">
        <f t="shared" si="58"/>
        <v/>
      </c>
      <c r="I114" s="45" t="str">
        <f t="shared" si="42"/>
        <v/>
      </c>
      <c r="J114" s="187" t="str">
        <f t="shared" si="43"/>
        <v/>
      </c>
      <c r="K114" s="25" t="str">
        <f t="shared" si="59"/>
        <v/>
      </c>
      <c r="L114" s="25" t="str">
        <f t="shared" si="60"/>
        <v/>
      </c>
      <c r="M114" s="45" t="str">
        <f t="shared" si="61"/>
        <v/>
      </c>
      <c r="N114" s="166" t="str">
        <f t="shared" si="62"/>
        <v/>
      </c>
      <c r="O114" s="166" t="str">
        <f t="shared" si="44"/>
        <v/>
      </c>
      <c r="P114" s="167" t="str">
        <f t="shared" si="63"/>
        <v/>
      </c>
      <c r="Q114" s="188" t="str">
        <f t="shared" si="45"/>
        <v/>
      </c>
      <c r="R114" s="166" t="str">
        <f t="shared" si="64"/>
        <v/>
      </c>
      <c r="S114" s="166" t="str">
        <f t="shared" si="46"/>
        <v/>
      </c>
      <c r="T114" s="167" t="str">
        <f t="shared" si="65"/>
        <v/>
      </c>
      <c r="U114" s="167" t="str">
        <f t="shared" si="47"/>
        <v/>
      </c>
      <c r="V114" s="168" t="str">
        <f t="shared" si="66"/>
        <v/>
      </c>
      <c r="W114" s="168" t="str">
        <f t="shared" si="48"/>
        <v/>
      </c>
      <c r="X114" s="167" t="str">
        <f t="shared" si="67"/>
        <v/>
      </c>
      <c r="Y114" s="167" t="str">
        <f t="shared" si="49"/>
        <v/>
      </c>
      <c r="Z114" s="169" t="str">
        <f t="shared" si="68"/>
        <v/>
      </c>
      <c r="AA114" s="170" t="str">
        <f t="shared" si="69"/>
        <v/>
      </c>
      <c r="AB114" s="169" t="str">
        <f t="shared" si="70"/>
        <v/>
      </c>
      <c r="AC114" s="169" t="str">
        <f t="shared" si="71"/>
        <v/>
      </c>
      <c r="AD114" s="169" t="str">
        <f t="shared" si="50"/>
        <v/>
      </c>
      <c r="AE114" s="169" t="str">
        <f t="shared" si="51"/>
        <v/>
      </c>
      <c r="AF114" s="169" t="str">
        <f t="shared" si="52"/>
        <v/>
      </c>
      <c r="AG114" s="174"/>
      <c r="AH114" s="191"/>
      <c r="AI114" s="192"/>
      <c r="AJ114" s="192"/>
      <c r="AK114" s="193"/>
    </row>
    <row r="115" spans="1:37" s="194" customFormat="1" ht="16.8" x14ac:dyDescent="0.25">
      <c r="A115" s="154"/>
      <c r="B115" s="25">
        <v>19</v>
      </c>
      <c r="C115" s="25" t="str">
        <f t="shared" si="53"/>
        <v/>
      </c>
      <c r="D115" s="25" t="str">
        <f t="shared" si="54"/>
        <v/>
      </c>
      <c r="E115" s="25" t="str">
        <f t="shared" si="55"/>
        <v/>
      </c>
      <c r="F115" s="25" t="str">
        <f t="shared" si="56"/>
        <v/>
      </c>
      <c r="G115" s="45" t="str">
        <f t="shared" si="57"/>
        <v/>
      </c>
      <c r="H115" s="45" t="str">
        <f t="shared" si="58"/>
        <v/>
      </c>
      <c r="I115" s="45" t="str">
        <f t="shared" si="42"/>
        <v/>
      </c>
      <c r="J115" s="187" t="str">
        <f t="shared" si="43"/>
        <v/>
      </c>
      <c r="K115" s="25" t="str">
        <f t="shared" si="59"/>
        <v/>
      </c>
      <c r="L115" s="25" t="str">
        <f t="shared" si="60"/>
        <v/>
      </c>
      <c r="M115" s="45" t="str">
        <f t="shared" si="61"/>
        <v/>
      </c>
      <c r="N115" s="166" t="str">
        <f t="shared" si="62"/>
        <v/>
      </c>
      <c r="O115" s="166" t="str">
        <f t="shared" si="44"/>
        <v/>
      </c>
      <c r="P115" s="167" t="str">
        <f t="shared" si="63"/>
        <v/>
      </c>
      <c r="Q115" s="188" t="str">
        <f t="shared" si="45"/>
        <v/>
      </c>
      <c r="R115" s="166" t="str">
        <f t="shared" si="64"/>
        <v/>
      </c>
      <c r="S115" s="166" t="str">
        <f t="shared" si="46"/>
        <v/>
      </c>
      <c r="T115" s="167" t="str">
        <f t="shared" si="65"/>
        <v/>
      </c>
      <c r="U115" s="167" t="str">
        <f t="shared" si="47"/>
        <v/>
      </c>
      <c r="V115" s="168" t="str">
        <f t="shared" si="66"/>
        <v/>
      </c>
      <c r="W115" s="168" t="str">
        <f t="shared" si="48"/>
        <v/>
      </c>
      <c r="X115" s="167" t="str">
        <f t="shared" si="67"/>
        <v/>
      </c>
      <c r="Y115" s="167" t="str">
        <f t="shared" si="49"/>
        <v/>
      </c>
      <c r="Z115" s="169" t="str">
        <f t="shared" si="68"/>
        <v/>
      </c>
      <c r="AA115" s="170" t="str">
        <f t="shared" si="69"/>
        <v/>
      </c>
      <c r="AB115" s="169" t="str">
        <f t="shared" si="70"/>
        <v/>
      </c>
      <c r="AC115" s="169" t="str">
        <f t="shared" si="71"/>
        <v/>
      </c>
      <c r="AD115" s="169" t="str">
        <f t="shared" si="50"/>
        <v/>
      </c>
      <c r="AE115" s="169" t="str">
        <f t="shared" si="51"/>
        <v/>
      </c>
      <c r="AF115" s="169" t="str">
        <f t="shared" si="52"/>
        <v/>
      </c>
      <c r="AG115" s="174"/>
      <c r="AH115" s="191"/>
      <c r="AI115" s="192"/>
      <c r="AJ115" s="192"/>
      <c r="AK115" s="193"/>
    </row>
    <row r="116" spans="1:37" s="194" customFormat="1" ht="16.8" x14ac:dyDescent="0.25">
      <c r="A116" s="154"/>
      <c r="B116" s="25">
        <v>20</v>
      </c>
      <c r="C116" s="25" t="str">
        <f t="shared" si="53"/>
        <v/>
      </c>
      <c r="D116" s="25" t="str">
        <f t="shared" si="54"/>
        <v/>
      </c>
      <c r="E116" s="25" t="str">
        <f t="shared" si="55"/>
        <v/>
      </c>
      <c r="F116" s="25" t="str">
        <f t="shared" si="56"/>
        <v/>
      </c>
      <c r="G116" s="45" t="str">
        <f t="shared" si="57"/>
        <v/>
      </c>
      <c r="H116" s="45" t="str">
        <f t="shared" si="58"/>
        <v/>
      </c>
      <c r="I116" s="45" t="str">
        <f t="shared" si="42"/>
        <v/>
      </c>
      <c r="J116" s="187" t="str">
        <f t="shared" si="43"/>
        <v/>
      </c>
      <c r="K116" s="25" t="str">
        <f t="shared" si="59"/>
        <v/>
      </c>
      <c r="L116" s="25" t="str">
        <f t="shared" si="60"/>
        <v/>
      </c>
      <c r="M116" s="45" t="str">
        <f t="shared" si="61"/>
        <v/>
      </c>
      <c r="N116" s="166" t="str">
        <f t="shared" si="62"/>
        <v/>
      </c>
      <c r="O116" s="166" t="str">
        <f t="shared" si="44"/>
        <v/>
      </c>
      <c r="P116" s="167" t="str">
        <f t="shared" si="63"/>
        <v/>
      </c>
      <c r="Q116" s="188" t="str">
        <f t="shared" si="45"/>
        <v/>
      </c>
      <c r="R116" s="166" t="str">
        <f t="shared" si="64"/>
        <v/>
      </c>
      <c r="S116" s="166" t="str">
        <f t="shared" si="46"/>
        <v/>
      </c>
      <c r="T116" s="167" t="str">
        <f t="shared" si="65"/>
        <v/>
      </c>
      <c r="U116" s="167" t="str">
        <f t="shared" si="47"/>
        <v/>
      </c>
      <c r="V116" s="168" t="str">
        <f t="shared" si="66"/>
        <v/>
      </c>
      <c r="W116" s="168" t="str">
        <f t="shared" si="48"/>
        <v/>
      </c>
      <c r="X116" s="167" t="str">
        <f t="shared" si="67"/>
        <v/>
      </c>
      <c r="Y116" s="167" t="str">
        <f t="shared" si="49"/>
        <v/>
      </c>
      <c r="Z116" s="169" t="str">
        <f t="shared" si="68"/>
        <v/>
      </c>
      <c r="AA116" s="170" t="str">
        <f t="shared" si="69"/>
        <v/>
      </c>
      <c r="AB116" s="169" t="str">
        <f t="shared" si="70"/>
        <v/>
      </c>
      <c r="AC116" s="169" t="str">
        <f t="shared" si="71"/>
        <v/>
      </c>
      <c r="AD116" s="169" t="str">
        <f t="shared" si="50"/>
        <v/>
      </c>
      <c r="AE116" s="169" t="str">
        <f t="shared" si="51"/>
        <v/>
      </c>
      <c r="AF116" s="169" t="str">
        <f t="shared" si="52"/>
        <v/>
      </c>
      <c r="AG116" s="174"/>
      <c r="AH116" s="191"/>
      <c r="AI116" s="192"/>
      <c r="AJ116" s="192"/>
      <c r="AK116" s="193"/>
    </row>
    <row r="117" spans="1:37" s="194" customFormat="1" ht="16.8" x14ac:dyDescent="0.25">
      <c r="A117" s="154"/>
      <c r="B117" s="25">
        <v>21</v>
      </c>
      <c r="C117" s="25" t="str">
        <f t="shared" si="53"/>
        <v/>
      </c>
      <c r="D117" s="25" t="str">
        <f t="shared" si="54"/>
        <v/>
      </c>
      <c r="E117" s="25" t="str">
        <f t="shared" si="55"/>
        <v/>
      </c>
      <c r="F117" s="25" t="str">
        <f t="shared" si="56"/>
        <v/>
      </c>
      <c r="G117" s="45" t="str">
        <f t="shared" si="57"/>
        <v/>
      </c>
      <c r="H117" s="45" t="str">
        <f t="shared" si="58"/>
        <v/>
      </c>
      <c r="I117" s="45" t="str">
        <f t="shared" si="42"/>
        <v/>
      </c>
      <c r="J117" s="187" t="str">
        <f t="shared" si="43"/>
        <v/>
      </c>
      <c r="K117" s="25" t="str">
        <f t="shared" si="59"/>
        <v/>
      </c>
      <c r="L117" s="25" t="str">
        <f t="shared" si="60"/>
        <v/>
      </c>
      <c r="M117" s="45" t="str">
        <f t="shared" si="61"/>
        <v/>
      </c>
      <c r="N117" s="166" t="str">
        <f t="shared" si="62"/>
        <v/>
      </c>
      <c r="O117" s="166" t="str">
        <f t="shared" si="44"/>
        <v/>
      </c>
      <c r="P117" s="167" t="str">
        <f t="shared" si="63"/>
        <v/>
      </c>
      <c r="Q117" s="188" t="str">
        <f t="shared" si="45"/>
        <v/>
      </c>
      <c r="R117" s="166" t="str">
        <f t="shared" si="64"/>
        <v/>
      </c>
      <c r="S117" s="166" t="str">
        <f t="shared" si="46"/>
        <v/>
      </c>
      <c r="T117" s="167" t="str">
        <f t="shared" si="65"/>
        <v/>
      </c>
      <c r="U117" s="167" t="str">
        <f t="shared" si="47"/>
        <v/>
      </c>
      <c r="V117" s="168" t="str">
        <f t="shared" si="66"/>
        <v/>
      </c>
      <c r="W117" s="168" t="str">
        <f t="shared" si="48"/>
        <v/>
      </c>
      <c r="X117" s="167" t="str">
        <f t="shared" si="67"/>
        <v/>
      </c>
      <c r="Y117" s="167" t="str">
        <f t="shared" si="49"/>
        <v/>
      </c>
      <c r="Z117" s="169" t="str">
        <f t="shared" si="68"/>
        <v/>
      </c>
      <c r="AA117" s="170" t="str">
        <f t="shared" si="69"/>
        <v/>
      </c>
      <c r="AB117" s="169" t="str">
        <f t="shared" si="70"/>
        <v/>
      </c>
      <c r="AC117" s="169" t="str">
        <f t="shared" si="71"/>
        <v/>
      </c>
      <c r="AD117" s="169" t="str">
        <f t="shared" si="50"/>
        <v/>
      </c>
      <c r="AE117" s="169" t="str">
        <f t="shared" si="51"/>
        <v/>
      </c>
      <c r="AF117" s="169" t="str">
        <f t="shared" si="52"/>
        <v/>
      </c>
      <c r="AG117" s="174"/>
      <c r="AH117" s="191"/>
      <c r="AI117" s="192"/>
      <c r="AJ117" s="192"/>
      <c r="AK117" s="193"/>
    </row>
    <row r="118" spans="1:37" s="194" customFormat="1" ht="16.8" x14ac:dyDescent="0.25">
      <c r="A118" s="154"/>
      <c r="B118" s="25">
        <v>22</v>
      </c>
      <c r="C118" s="25" t="str">
        <f t="shared" si="53"/>
        <v/>
      </c>
      <c r="D118" s="25" t="str">
        <f t="shared" si="54"/>
        <v/>
      </c>
      <c r="E118" s="25" t="str">
        <f t="shared" si="55"/>
        <v/>
      </c>
      <c r="F118" s="25" t="str">
        <f t="shared" si="56"/>
        <v/>
      </c>
      <c r="G118" s="45" t="str">
        <f t="shared" si="57"/>
        <v/>
      </c>
      <c r="H118" s="45" t="str">
        <f t="shared" si="58"/>
        <v/>
      </c>
      <c r="I118" s="45" t="str">
        <f t="shared" si="42"/>
        <v/>
      </c>
      <c r="J118" s="187" t="str">
        <f t="shared" si="43"/>
        <v/>
      </c>
      <c r="K118" s="25" t="str">
        <f t="shared" si="59"/>
        <v/>
      </c>
      <c r="L118" s="25" t="str">
        <f t="shared" si="60"/>
        <v/>
      </c>
      <c r="M118" s="45" t="str">
        <f t="shared" si="61"/>
        <v/>
      </c>
      <c r="N118" s="166" t="str">
        <f t="shared" si="62"/>
        <v/>
      </c>
      <c r="O118" s="166" t="str">
        <f t="shared" si="44"/>
        <v/>
      </c>
      <c r="P118" s="167" t="str">
        <f t="shared" si="63"/>
        <v/>
      </c>
      <c r="Q118" s="188" t="str">
        <f t="shared" si="45"/>
        <v/>
      </c>
      <c r="R118" s="166" t="str">
        <f t="shared" si="64"/>
        <v/>
      </c>
      <c r="S118" s="166" t="str">
        <f t="shared" si="46"/>
        <v/>
      </c>
      <c r="T118" s="167" t="str">
        <f t="shared" si="65"/>
        <v/>
      </c>
      <c r="U118" s="167" t="str">
        <f t="shared" si="47"/>
        <v/>
      </c>
      <c r="V118" s="168" t="str">
        <f t="shared" si="66"/>
        <v/>
      </c>
      <c r="W118" s="168" t="str">
        <f t="shared" si="48"/>
        <v/>
      </c>
      <c r="X118" s="167" t="str">
        <f t="shared" si="67"/>
        <v/>
      </c>
      <c r="Y118" s="167" t="str">
        <f t="shared" si="49"/>
        <v/>
      </c>
      <c r="Z118" s="169" t="str">
        <f t="shared" si="68"/>
        <v/>
      </c>
      <c r="AA118" s="170" t="str">
        <f t="shared" si="69"/>
        <v/>
      </c>
      <c r="AB118" s="169" t="str">
        <f t="shared" si="70"/>
        <v/>
      </c>
      <c r="AC118" s="169" t="str">
        <f t="shared" si="71"/>
        <v/>
      </c>
      <c r="AD118" s="169" t="str">
        <f t="shared" si="50"/>
        <v/>
      </c>
      <c r="AE118" s="169" t="str">
        <f t="shared" si="51"/>
        <v/>
      </c>
      <c r="AF118" s="169" t="str">
        <f t="shared" si="52"/>
        <v/>
      </c>
      <c r="AG118" s="174"/>
      <c r="AH118" s="191"/>
      <c r="AI118" s="192"/>
      <c r="AJ118" s="192"/>
      <c r="AK118" s="193"/>
    </row>
    <row r="119" spans="1:37" s="194" customFormat="1" ht="16.8" x14ac:dyDescent="0.25">
      <c r="A119" s="154"/>
      <c r="B119" s="25">
        <v>23</v>
      </c>
      <c r="C119" s="25" t="str">
        <f t="shared" si="53"/>
        <v/>
      </c>
      <c r="D119" s="25" t="str">
        <f t="shared" si="54"/>
        <v/>
      </c>
      <c r="E119" s="25" t="str">
        <f t="shared" si="55"/>
        <v/>
      </c>
      <c r="F119" s="25" t="str">
        <f t="shared" si="56"/>
        <v/>
      </c>
      <c r="G119" s="45" t="str">
        <f t="shared" si="57"/>
        <v/>
      </c>
      <c r="H119" s="45" t="str">
        <f t="shared" si="58"/>
        <v/>
      </c>
      <c r="I119" s="45" t="str">
        <f t="shared" si="42"/>
        <v/>
      </c>
      <c r="J119" s="187" t="str">
        <f t="shared" si="43"/>
        <v/>
      </c>
      <c r="K119" s="25" t="str">
        <f t="shared" si="59"/>
        <v/>
      </c>
      <c r="L119" s="25" t="str">
        <f t="shared" si="60"/>
        <v/>
      </c>
      <c r="M119" s="45" t="str">
        <f t="shared" si="61"/>
        <v/>
      </c>
      <c r="N119" s="166" t="str">
        <f t="shared" si="62"/>
        <v/>
      </c>
      <c r="O119" s="166" t="str">
        <f t="shared" si="44"/>
        <v/>
      </c>
      <c r="P119" s="167" t="str">
        <f t="shared" si="63"/>
        <v/>
      </c>
      <c r="Q119" s="188" t="str">
        <f t="shared" si="45"/>
        <v/>
      </c>
      <c r="R119" s="166" t="str">
        <f t="shared" si="64"/>
        <v/>
      </c>
      <c r="S119" s="166" t="str">
        <f t="shared" si="46"/>
        <v/>
      </c>
      <c r="T119" s="167" t="str">
        <f t="shared" si="65"/>
        <v/>
      </c>
      <c r="U119" s="167" t="str">
        <f t="shared" si="47"/>
        <v/>
      </c>
      <c r="V119" s="168" t="str">
        <f t="shared" si="66"/>
        <v/>
      </c>
      <c r="W119" s="168" t="str">
        <f t="shared" si="48"/>
        <v/>
      </c>
      <c r="X119" s="167" t="str">
        <f t="shared" si="67"/>
        <v/>
      </c>
      <c r="Y119" s="167" t="str">
        <f t="shared" si="49"/>
        <v/>
      </c>
      <c r="Z119" s="169" t="str">
        <f t="shared" si="68"/>
        <v/>
      </c>
      <c r="AA119" s="170" t="str">
        <f t="shared" si="69"/>
        <v/>
      </c>
      <c r="AB119" s="169" t="str">
        <f t="shared" si="70"/>
        <v/>
      </c>
      <c r="AC119" s="169" t="str">
        <f t="shared" si="71"/>
        <v/>
      </c>
      <c r="AD119" s="169" t="str">
        <f t="shared" si="50"/>
        <v/>
      </c>
      <c r="AE119" s="169" t="str">
        <f t="shared" si="51"/>
        <v/>
      </c>
      <c r="AF119" s="169" t="str">
        <f t="shared" si="52"/>
        <v/>
      </c>
      <c r="AG119" s="174"/>
      <c r="AH119" s="191"/>
      <c r="AI119" s="192"/>
      <c r="AJ119" s="192"/>
      <c r="AK119" s="193"/>
    </row>
    <row r="120" spans="1:37" s="194" customFormat="1" ht="16.8" x14ac:dyDescent="0.25">
      <c r="A120" s="154"/>
      <c r="B120" s="25">
        <v>24</v>
      </c>
      <c r="C120" s="25" t="str">
        <f t="shared" si="53"/>
        <v/>
      </c>
      <c r="D120" s="25" t="str">
        <f t="shared" si="54"/>
        <v/>
      </c>
      <c r="E120" s="25" t="str">
        <f t="shared" si="55"/>
        <v/>
      </c>
      <c r="F120" s="25" t="str">
        <f t="shared" si="56"/>
        <v/>
      </c>
      <c r="G120" s="45" t="str">
        <f t="shared" si="57"/>
        <v/>
      </c>
      <c r="H120" s="45" t="str">
        <f t="shared" si="58"/>
        <v/>
      </c>
      <c r="I120" s="45" t="str">
        <f t="shared" si="42"/>
        <v/>
      </c>
      <c r="J120" s="187" t="str">
        <f t="shared" si="43"/>
        <v/>
      </c>
      <c r="K120" s="25" t="str">
        <f t="shared" si="59"/>
        <v/>
      </c>
      <c r="L120" s="25" t="str">
        <f t="shared" si="60"/>
        <v/>
      </c>
      <c r="M120" s="45" t="str">
        <f t="shared" si="61"/>
        <v/>
      </c>
      <c r="N120" s="166" t="str">
        <f t="shared" si="62"/>
        <v/>
      </c>
      <c r="O120" s="166" t="str">
        <f t="shared" si="44"/>
        <v/>
      </c>
      <c r="P120" s="167" t="str">
        <f t="shared" si="63"/>
        <v/>
      </c>
      <c r="Q120" s="188" t="str">
        <f t="shared" si="45"/>
        <v/>
      </c>
      <c r="R120" s="166" t="str">
        <f t="shared" si="64"/>
        <v/>
      </c>
      <c r="S120" s="166" t="str">
        <f t="shared" si="46"/>
        <v/>
      </c>
      <c r="T120" s="167" t="str">
        <f t="shared" si="65"/>
        <v/>
      </c>
      <c r="U120" s="167" t="str">
        <f t="shared" si="47"/>
        <v/>
      </c>
      <c r="V120" s="168" t="str">
        <f t="shared" si="66"/>
        <v/>
      </c>
      <c r="W120" s="168" t="str">
        <f t="shared" si="48"/>
        <v/>
      </c>
      <c r="X120" s="167" t="str">
        <f t="shared" si="67"/>
        <v/>
      </c>
      <c r="Y120" s="167" t="str">
        <f t="shared" si="49"/>
        <v/>
      </c>
      <c r="Z120" s="169" t="str">
        <f t="shared" si="68"/>
        <v/>
      </c>
      <c r="AA120" s="170" t="str">
        <f t="shared" si="69"/>
        <v/>
      </c>
      <c r="AB120" s="169" t="str">
        <f t="shared" si="70"/>
        <v/>
      </c>
      <c r="AC120" s="169" t="str">
        <f t="shared" si="71"/>
        <v/>
      </c>
      <c r="AD120" s="169" t="str">
        <f t="shared" si="50"/>
        <v/>
      </c>
      <c r="AE120" s="169" t="str">
        <f t="shared" si="51"/>
        <v/>
      </c>
      <c r="AF120" s="169" t="str">
        <f t="shared" si="52"/>
        <v/>
      </c>
      <c r="AG120" s="174"/>
      <c r="AH120" s="191"/>
      <c r="AI120" s="192"/>
      <c r="AJ120" s="192"/>
      <c r="AK120" s="193"/>
    </row>
    <row r="121" spans="1:37" s="194" customFormat="1" ht="16.8" x14ac:dyDescent="0.25">
      <c r="A121" s="154"/>
      <c r="B121" s="25">
        <v>25</v>
      </c>
      <c r="C121" s="25" t="str">
        <f t="shared" si="53"/>
        <v/>
      </c>
      <c r="D121" s="25" t="str">
        <f t="shared" si="54"/>
        <v/>
      </c>
      <c r="E121" s="25" t="str">
        <f t="shared" si="55"/>
        <v/>
      </c>
      <c r="F121" s="25" t="str">
        <f t="shared" si="56"/>
        <v/>
      </c>
      <c r="G121" s="45" t="str">
        <f t="shared" si="57"/>
        <v/>
      </c>
      <c r="H121" s="45" t="str">
        <f t="shared" si="58"/>
        <v/>
      </c>
      <c r="I121" s="45" t="str">
        <f t="shared" si="42"/>
        <v/>
      </c>
      <c r="J121" s="187" t="str">
        <f t="shared" si="43"/>
        <v/>
      </c>
      <c r="K121" s="25" t="str">
        <f t="shared" si="59"/>
        <v/>
      </c>
      <c r="L121" s="25" t="str">
        <f t="shared" si="60"/>
        <v/>
      </c>
      <c r="M121" s="45" t="str">
        <f t="shared" si="61"/>
        <v/>
      </c>
      <c r="N121" s="166" t="str">
        <f t="shared" si="62"/>
        <v/>
      </c>
      <c r="O121" s="166" t="str">
        <f t="shared" si="44"/>
        <v/>
      </c>
      <c r="P121" s="167" t="str">
        <f t="shared" si="63"/>
        <v/>
      </c>
      <c r="Q121" s="188" t="str">
        <f t="shared" si="45"/>
        <v/>
      </c>
      <c r="R121" s="166" t="str">
        <f t="shared" si="64"/>
        <v/>
      </c>
      <c r="S121" s="166" t="str">
        <f t="shared" si="46"/>
        <v/>
      </c>
      <c r="T121" s="167" t="str">
        <f t="shared" si="65"/>
        <v/>
      </c>
      <c r="U121" s="167" t="str">
        <f t="shared" si="47"/>
        <v/>
      </c>
      <c r="V121" s="168" t="str">
        <f t="shared" si="66"/>
        <v/>
      </c>
      <c r="W121" s="168" t="str">
        <f t="shared" si="48"/>
        <v/>
      </c>
      <c r="X121" s="167" t="str">
        <f t="shared" si="67"/>
        <v/>
      </c>
      <c r="Y121" s="167" t="str">
        <f t="shared" si="49"/>
        <v/>
      </c>
      <c r="Z121" s="169" t="str">
        <f t="shared" si="68"/>
        <v/>
      </c>
      <c r="AA121" s="170" t="str">
        <f t="shared" si="69"/>
        <v/>
      </c>
      <c r="AB121" s="169" t="str">
        <f t="shared" si="70"/>
        <v/>
      </c>
      <c r="AC121" s="169" t="str">
        <f t="shared" si="71"/>
        <v/>
      </c>
      <c r="AD121" s="169" t="str">
        <f t="shared" si="50"/>
        <v/>
      </c>
      <c r="AE121" s="169" t="str">
        <f t="shared" si="51"/>
        <v/>
      </c>
      <c r="AF121" s="169" t="str">
        <f t="shared" si="52"/>
        <v/>
      </c>
      <c r="AG121" s="174"/>
      <c r="AH121" s="191"/>
      <c r="AI121" s="192"/>
      <c r="AJ121" s="192"/>
      <c r="AK121" s="193"/>
    </row>
    <row r="122" spans="1:37" s="194" customFormat="1" ht="16.8" x14ac:dyDescent="0.25">
      <c r="A122" s="154"/>
      <c r="B122" s="25">
        <v>26</v>
      </c>
      <c r="C122" s="25" t="str">
        <f t="shared" si="53"/>
        <v/>
      </c>
      <c r="D122" s="25" t="str">
        <f t="shared" si="54"/>
        <v/>
      </c>
      <c r="E122" s="25" t="str">
        <f t="shared" si="55"/>
        <v/>
      </c>
      <c r="F122" s="25" t="str">
        <f t="shared" si="56"/>
        <v/>
      </c>
      <c r="G122" s="45" t="str">
        <f t="shared" si="57"/>
        <v/>
      </c>
      <c r="H122" s="45" t="str">
        <f t="shared" si="58"/>
        <v/>
      </c>
      <c r="I122" s="45" t="str">
        <f t="shared" si="42"/>
        <v/>
      </c>
      <c r="J122" s="187" t="str">
        <f t="shared" si="43"/>
        <v/>
      </c>
      <c r="K122" s="25" t="str">
        <f t="shared" si="59"/>
        <v/>
      </c>
      <c r="L122" s="25" t="str">
        <f t="shared" si="60"/>
        <v/>
      </c>
      <c r="M122" s="45" t="str">
        <f t="shared" si="61"/>
        <v/>
      </c>
      <c r="N122" s="166" t="str">
        <f t="shared" si="62"/>
        <v/>
      </c>
      <c r="O122" s="166" t="str">
        <f t="shared" si="44"/>
        <v/>
      </c>
      <c r="P122" s="167" t="str">
        <f t="shared" si="63"/>
        <v/>
      </c>
      <c r="Q122" s="188" t="str">
        <f t="shared" si="45"/>
        <v/>
      </c>
      <c r="R122" s="166" t="str">
        <f t="shared" si="64"/>
        <v/>
      </c>
      <c r="S122" s="166" t="str">
        <f t="shared" si="46"/>
        <v/>
      </c>
      <c r="T122" s="167" t="str">
        <f t="shared" si="65"/>
        <v/>
      </c>
      <c r="U122" s="167" t="str">
        <f t="shared" si="47"/>
        <v/>
      </c>
      <c r="V122" s="168" t="str">
        <f t="shared" si="66"/>
        <v/>
      </c>
      <c r="W122" s="168" t="str">
        <f t="shared" si="48"/>
        <v/>
      </c>
      <c r="X122" s="167" t="str">
        <f t="shared" si="67"/>
        <v/>
      </c>
      <c r="Y122" s="167" t="str">
        <f t="shared" si="49"/>
        <v/>
      </c>
      <c r="Z122" s="169" t="str">
        <f t="shared" si="68"/>
        <v/>
      </c>
      <c r="AA122" s="170" t="str">
        <f t="shared" si="69"/>
        <v/>
      </c>
      <c r="AB122" s="169" t="str">
        <f t="shared" si="70"/>
        <v/>
      </c>
      <c r="AC122" s="169" t="str">
        <f t="shared" si="71"/>
        <v/>
      </c>
      <c r="AD122" s="169" t="str">
        <f t="shared" si="50"/>
        <v/>
      </c>
      <c r="AE122" s="169" t="str">
        <f t="shared" si="51"/>
        <v/>
      </c>
      <c r="AF122" s="169" t="str">
        <f t="shared" si="52"/>
        <v/>
      </c>
      <c r="AG122" s="174"/>
      <c r="AH122" s="191"/>
      <c r="AI122" s="192"/>
      <c r="AJ122" s="192"/>
      <c r="AK122" s="193"/>
    </row>
    <row r="123" spans="1:37" s="194" customFormat="1" ht="16.8" x14ac:dyDescent="0.25">
      <c r="A123" s="154"/>
      <c r="B123" s="25">
        <v>27</v>
      </c>
      <c r="C123" s="25" t="str">
        <f t="shared" si="53"/>
        <v/>
      </c>
      <c r="D123" s="25" t="str">
        <f t="shared" si="54"/>
        <v/>
      </c>
      <c r="E123" s="25" t="str">
        <f t="shared" si="55"/>
        <v/>
      </c>
      <c r="F123" s="25" t="str">
        <f t="shared" si="56"/>
        <v/>
      </c>
      <c r="G123" s="45" t="str">
        <f t="shared" si="57"/>
        <v/>
      </c>
      <c r="H123" s="45" t="str">
        <f t="shared" si="58"/>
        <v/>
      </c>
      <c r="I123" s="45" t="str">
        <f t="shared" si="42"/>
        <v/>
      </c>
      <c r="J123" s="187" t="str">
        <f t="shared" si="43"/>
        <v/>
      </c>
      <c r="K123" s="25" t="str">
        <f t="shared" si="59"/>
        <v/>
      </c>
      <c r="L123" s="25" t="str">
        <f t="shared" si="60"/>
        <v/>
      </c>
      <c r="M123" s="45" t="str">
        <f t="shared" si="61"/>
        <v/>
      </c>
      <c r="N123" s="166" t="str">
        <f t="shared" si="62"/>
        <v/>
      </c>
      <c r="O123" s="166" t="str">
        <f t="shared" si="44"/>
        <v/>
      </c>
      <c r="P123" s="167" t="str">
        <f t="shared" si="63"/>
        <v/>
      </c>
      <c r="Q123" s="188" t="str">
        <f t="shared" si="45"/>
        <v/>
      </c>
      <c r="R123" s="166" t="str">
        <f t="shared" si="64"/>
        <v/>
      </c>
      <c r="S123" s="166" t="str">
        <f t="shared" si="46"/>
        <v/>
      </c>
      <c r="T123" s="167" t="str">
        <f t="shared" si="65"/>
        <v/>
      </c>
      <c r="U123" s="167" t="str">
        <f t="shared" si="47"/>
        <v/>
      </c>
      <c r="V123" s="168" t="str">
        <f t="shared" si="66"/>
        <v/>
      </c>
      <c r="W123" s="168" t="str">
        <f t="shared" si="48"/>
        <v/>
      </c>
      <c r="X123" s="167" t="str">
        <f t="shared" si="67"/>
        <v/>
      </c>
      <c r="Y123" s="167" t="str">
        <f t="shared" si="49"/>
        <v/>
      </c>
      <c r="Z123" s="169" t="str">
        <f t="shared" si="68"/>
        <v/>
      </c>
      <c r="AA123" s="170" t="str">
        <f t="shared" si="69"/>
        <v/>
      </c>
      <c r="AB123" s="169" t="str">
        <f t="shared" si="70"/>
        <v/>
      </c>
      <c r="AC123" s="169" t="str">
        <f t="shared" si="71"/>
        <v/>
      </c>
      <c r="AD123" s="169" t="str">
        <f t="shared" si="50"/>
        <v/>
      </c>
      <c r="AE123" s="169" t="str">
        <f t="shared" si="51"/>
        <v/>
      </c>
      <c r="AF123" s="169" t="str">
        <f t="shared" si="52"/>
        <v/>
      </c>
      <c r="AG123" s="174"/>
      <c r="AH123" s="191"/>
      <c r="AI123" s="192"/>
      <c r="AJ123" s="192"/>
      <c r="AK123" s="193"/>
    </row>
    <row r="124" spans="1:37" s="194" customFormat="1" ht="16.8" x14ac:dyDescent="0.25">
      <c r="A124" s="154"/>
      <c r="B124" s="25">
        <v>28</v>
      </c>
      <c r="C124" s="25" t="str">
        <f t="shared" si="53"/>
        <v/>
      </c>
      <c r="D124" s="25" t="str">
        <f t="shared" si="54"/>
        <v/>
      </c>
      <c r="E124" s="25" t="str">
        <f t="shared" si="55"/>
        <v/>
      </c>
      <c r="F124" s="25" t="str">
        <f t="shared" si="56"/>
        <v/>
      </c>
      <c r="G124" s="45" t="str">
        <f t="shared" si="57"/>
        <v/>
      </c>
      <c r="H124" s="45" t="str">
        <f t="shared" si="58"/>
        <v/>
      </c>
      <c r="I124" s="45" t="str">
        <f t="shared" si="42"/>
        <v/>
      </c>
      <c r="J124" s="187" t="str">
        <f t="shared" si="43"/>
        <v/>
      </c>
      <c r="K124" s="25" t="str">
        <f t="shared" si="59"/>
        <v/>
      </c>
      <c r="L124" s="25" t="str">
        <f t="shared" si="60"/>
        <v/>
      </c>
      <c r="M124" s="45" t="str">
        <f t="shared" si="61"/>
        <v/>
      </c>
      <c r="N124" s="166" t="str">
        <f t="shared" si="62"/>
        <v/>
      </c>
      <c r="O124" s="166" t="str">
        <f t="shared" si="44"/>
        <v/>
      </c>
      <c r="P124" s="167" t="str">
        <f t="shared" si="63"/>
        <v/>
      </c>
      <c r="Q124" s="188" t="str">
        <f t="shared" si="45"/>
        <v/>
      </c>
      <c r="R124" s="166" t="str">
        <f t="shared" si="64"/>
        <v/>
      </c>
      <c r="S124" s="166" t="str">
        <f t="shared" si="46"/>
        <v/>
      </c>
      <c r="T124" s="167" t="str">
        <f t="shared" si="65"/>
        <v/>
      </c>
      <c r="U124" s="167" t="str">
        <f t="shared" si="47"/>
        <v/>
      </c>
      <c r="V124" s="168" t="str">
        <f t="shared" si="66"/>
        <v/>
      </c>
      <c r="W124" s="168" t="str">
        <f t="shared" si="48"/>
        <v/>
      </c>
      <c r="X124" s="167" t="str">
        <f t="shared" si="67"/>
        <v/>
      </c>
      <c r="Y124" s="167" t="str">
        <f t="shared" si="49"/>
        <v/>
      </c>
      <c r="Z124" s="169" t="str">
        <f t="shared" si="68"/>
        <v/>
      </c>
      <c r="AA124" s="170" t="str">
        <f t="shared" si="69"/>
        <v/>
      </c>
      <c r="AB124" s="169" t="str">
        <f t="shared" si="70"/>
        <v/>
      </c>
      <c r="AC124" s="169" t="str">
        <f t="shared" si="71"/>
        <v/>
      </c>
      <c r="AD124" s="169" t="str">
        <f t="shared" si="50"/>
        <v/>
      </c>
      <c r="AE124" s="169" t="str">
        <f t="shared" si="51"/>
        <v/>
      </c>
      <c r="AF124" s="169" t="str">
        <f t="shared" si="52"/>
        <v/>
      </c>
      <c r="AG124" s="174"/>
      <c r="AH124" s="191"/>
      <c r="AI124" s="192"/>
      <c r="AJ124" s="192"/>
      <c r="AK124" s="193"/>
    </row>
    <row r="125" spans="1:37" s="194" customFormat="1" ht="16.8" x14ac:dyDescent="0.25">
      <c r="A125" s="154"/>
      <c r="B125" s="25">
        <v>29</v>
      </c>
      <c r="C125" s="25" t="str">
        <f t="shared" si="53"/>
        <v/>
      </c>
      <c r="D125" s="25" t="str">
        <f t="shared" si="54"/>
        <v/>
      </c>
      <c r="E125" s="25" t="str">
        <f t="shared" si="55"/>
        <v/>
      </c>
      <c r="F125" s="25" t="str">
        <f t="shared" si="56"/>
        <v/>
      </c>
      <c r="G125" s="45" t="str">
        <f t="shared" si="57"/>
        <v/>
      </c>
      <c r="H125" s="45" t="str">
        <f t="shared" si="58"/>
        <v/>
      </c>
      <c r="I125" s="45" t="str">
        <f t="shared" si="42"/>
        <v/>
      </c>
      <c r="J125" s="187" t="str">
        <f t="shared" si="43"/>
        <v/>
      </c>
      <c r="K125" s="25" t="str">
        <f t="shared" si="59"/>
        <v/>
      </c>
      <c r="L125" s="25" t="str">
        <f t="shared" si="60"/>
        <v/>
      </c>
      <c r="M125" s="45" t="str">
        <f t="shared" si="61"/>
        <v/>
      </c>
      <c r="N125" s="166" t="str">
        <f t="shared" si="62"/>
        <v/>
      </c>
      <c r="O125" s="166" t="str">
        <f t="shared" si="44"/>
        <v/>
      </c>
      <c r="P125" s="167" t="str">
        <f t="shared" si="63"/>
        <v/>
      </c>
      <c r="Q125" s="188" t="str">
        <f t="shared" si="45"/>
        <v/>
      </c>
      <c r="R125" s="166" t="str">
        <f t="shared" si="64"/>
        <v/>
      </c>
      <c r="S125" s="166" t="str">
        <f t="shared" si="46"/>
        <v/>
      </c>
      <c r="T125" s="167" t="str">
        <f t="shared" si="65"/>
        <v/>
      </c>
      <c r="U125" s="167" t="str">
        <f t="shared" si="47"/>
        <v/>
      </c>
      <c r="V125" s="168" t="str">
        <f t="shared" si="66"/>
        <v/>
      </c>
      <c r="W125" s="168" t="str">
        <f t="shared" si="48"/>
        <v/>
      </c>
      <c r="X125" s="167" t="str">
        <f t="shared" si="67"/>
        <v/>
      </c>
      <c r="Y125" s="167" t="str">
        <f t="shared" si="49"/>
        <v/>
      </c>
      <c r="Z125" s="169" t="str">
        <f t="shared" si="68"/>
        <v/>
      </c>
      <c r="AA125" s="170" t="str">
        <f t="shared" si="69"/>
        <v/>
      </c>
      <c r="AB125" s="169" t="str">
        <f t="shared" si="70"/>
        <v/>
      </c>
      <c r="AC125" s="169" t="str">
        <f t="shared" si="71"/>
        <v/>
      </c>
      <c r="AD125" s="169" t="str">
        <f t="shared" si="50"/>
        <v/>
      </c>
      <c r="AE125" s="169" t="str">
        <f t="shared" si="51"/>
        <v/>
      </c>
      <c r="AF125" s="169" t="str">
        <f t="shared" si="52"/>
        <v/>
      </c>
      <c r="AG125" s="174"/>
      <c r="AH125" s="191"/>
      <c r="AI125" s="192"/>
      <c r="AJ125" s="192"/>
      <c r="AK125" s="193"/>
    </row>
    <row r="126" spans="1:37" s="194" customFormat="1" ht="16.8" x14ac:dyDescent="0.25">
      <c r="A126" s="154"/>
      <c r="B126" s="25">
        <v>30</v>
      </c>
      <c r="C126" s="25" t="str">
        <f t="shared" si="53"/>
        <v/>
      </c>
      <c r="D126" s="25" t="str">
        <f t="shared" si="54"/>
        <v/>
      </c>
      <c r="E126" s="25" t="str">
        <f t="shared" si="55"/>
        <v/>
      </c>
      <c r="F126" s="25" t="str">
        <f t="shared" si="56"/>
        <v/>
      </c>
      <c r="G126" s="45" t="str">
        <f t="shared" si="57"/>
        <v/>
      </c>
      <c r="H126" s="45" t="str">
        <f t="shared" si="58"/>
        <v/>
      </c>
      <c r="I126" s="45" t="str">
        <f t="shared" si="42"/>
        <v/>
      </c>
      <c r="J126" s="187" t="str">
        <f t="shared" si="43"/>
        <v/>
      </c>
      <c r="K126" s="25" t="str">
        <f t="shared" si="59"/>
        <v/>
      </c>
      <c r="L126" s="25" t="str">
        <f t="shared" si="60"/>
        <v/>
      </c>
      <c r="M126" s="45" t="str">
        <f t="shared" si="61"/>
        <v/>
      </c>
      <c r="N126" s="166" t="str">
        <f t="shared" si="62"/>
        <v/>
      </c>
      <c r="O126" s="166" t="str">
        <f t="shared" si="44"/>
        <v/>
      </c>
      <c r="P126" s="167" t="str">
        <f t="shared" si="63"/>
        <v/>
      </c>
      <c r="Q126" s="188" t="str">
        <f t="shared" si="45"/>
        <v/>
      </c>
      <c r="R126" s="166" t="str">
        <f t="shared" si="64"/>
        <v/>
      </c>
      <c r="S126" s="166" t="str">
        <f t="shared" si="46"/>
        <v/>
      </c>
      <c r="T126" s="167" t="str">
        <f t="shared" si="65"/>
        <v/>
      </c>
      <c r="U126" s="167" t="str">
        <f t="shared" si="47"/>
        <v/>
      </c>
      <c r="V126" s="168" t="str">
        <f t="shared" si="66"/>
        <v/>
      </c>
      <c r="W126" s="168" t="str">
        <f t="shared" si="48"/>
        <v/>
      </c>
      <c r="X126" s="167" t="str">
        <f t="shared" si="67"/>
        <v/>
      </c>
      <c r="Y126" s="167" t="str">
        <f t="shared" si="49"/>
        <v/>
      </c>
      <c r="Z126" s="169" t="str">
        <f t="shared" si="68"/>
        <v/>
      </c>
      <c r="AA126" s="170" t="str">
        <f t="shared" si="69"/>
        <v/>
      </c>
      <c r="AB126" s="169" t="str">
        <f t="shared" si="70"/>
        <v/>
      </c>
      <c r="AC126" s="169" t="str">
        <f t="shared" si="71"/>
        <v/>
      </c>
      <c r="AD126" s="169" t="str">
        <f t="shared" si="50"/>
        <v/>
      </c>
      <c r="AE126" s="169" t="str">
        <f t="shared" si="51"/>
        <v/>
      </c>
      <c r="AF126" s="169" t="str">
        <f t="shared" si="52"/>
        <v/>
      </c>
      <c r="AG126" s="174"/>
      <c r="AH126" s="191"/>
      <c r="AI126" s="192"/>
      <c r="AJ126" s="192"/>
      <c r="AK126" s="193"/>
    </row>
    <row r="127" spans="1:37" s="194" customFormat="1" ht="17.25" customHeight="1" x14ac:dyDescent="0.25">
      <c r="A127" s="154"/>
      <c r="B127" s="154"/>
      <c r="C127" s="154"/>
      <c r="D127" s="154"/>
      <c r="E127" s="154"/>
      <c r="F127" s="154"/>
      <c r="G127" s="154"/>
      <c r="H127" s="154"/>
      <c r="I127" s="154"/>
      <c r="J127" s="154"/>
      <c r="K127" s="154"/>
      <c r="L127" s="154"/>
      <c r="M127" s="154"/>
      <c r="N127" s="154"/>
      <c r="O127" s="154"/>
      <c r="P127" s="200"/>
      <c r="Q127" s="200"/>
      <c r="R127" s="200"/>
      <c r="S127" s="200"/>
      <c r="T127" s="200"/>
      <c r="U127" s="200"/>
      <c r="V127" s="155"/>
      <c r="W127" s="155"/>
      <c r="X127" s="200"/>
      <c r="Y127" s="200"/>
      <c r="Z127" s="200"/>
      <c r="AA127" s="201"/>
      <c r="AB127" s="154"/>
      <c r="AC127" s="157"/>
      <c r="AD127" s="157"/>
      <c r="AE127" s="157"/>
      <c r="AF127" s="157"/>
      <c r="AG127" s="157"/>
      <c r="AH127" s="158"/>
    </row>
    <row r="128" spans="1:37" ht="3.75" hidden="1" customHeight="1" x14ac:dyDescent="0.25">
      <c r="A128" s="49"/>
      <c r="B128" s="49"/>
      <c r="C128" s="49"/>
      <c r="D128" s="49"/>
      <c r="E128" s="49"/>
      <c r="F128" s="49"/>
      <c r="G128" s="49"/>
      <c r="H128" s="49"/>
      <c r="I128" s="110"/>
      <c r="J128" s="110"/>
      <c r="K128" s="110"/>
      <c r="L128" s="110"/>
      <c r="M128" s="110"/>
      <c r="N128" s="49"/>
      <c r="O128" s="49"/>
      <c r="P128" s="110"/>
      <c r="Q128" s="110"/>
      <c r="R128" s="110"/>
      <c r="S128" s="110"/>
      <c r="T128" s="110"/>
      <c r="U128" s="110"/>
      <c r="V128" s="202"/>
      <c r="W128" s="202"/>
      <c r="X128" s="110"/>
      <c r="Y128" s="110"/>
      <c r="Z128" s="110"/>
      <c r="AA128" s="203"/>
      <c r="AB128" s="49"/>
      <c r="AC128" s="204"/>
      <c r="AD128" s="204"/>
      <c r="AE128" s="204"/>
      <c r="AF128" s="204"/>
      <c r="AG128" s="204"/>
    </row>
    <row r="129" spans="9:38" ht="13.8" hidden="1" x14ac:dyDescent="0.25">
      <c r="I129" s="205"/>
      <c r="J129" s="205"/>
      <c r="K129" s="205"/>
      <c r="L129" s="205"/>
      <c r="M129" s="205"/>
    </row>
    <row r="130" spans="9:38" ht="13.8" hidden="1" x14ac:dyDescent="0.25"/>
    <row r="131" spans="9:38" ht="13.8" hidden="1" x14ac:dyDescent="0.25"/>
    <row r="132" spans="9:38" ht="13.8" hidden="1" x14ac:dyDescent="0.25"/>
    <row r="133" spans="9:38" ht="13.8" hidden="1" x14ac:dyDescent="0.25"/>
    <row r="134" spans="9:38" ht="13.8" hidden="1" x14ac:dyDescent="0.25"/>
    <row r="135" spans="9:38" ht="13.8" hidden="1" x14ac:dyDescent="0.25"/>
    <row r="136" spans="9:38" ht="13.8" hidden="1" x14ac:dyDescent="0.25"/>
    <row r="137" spans="9:38" ht="13.8" hidden="1" x14ac:dyDescent="0.25"/>
    <row r="138" spans="9:38" ht="13.8" hidden="1" x14ac:dyDescent="0.25"/>
    <row r="139" spans="9:38" ht="13.8" hidden="1" x14ac:dyDescent="0.25"/>
    <row r="140" spans="9:38" ht="13.8" hidden="1" x14ac:dyDescent="0.25"/>
    <row r="141" spans="9:38" ht="13.8" hidden="1" x14ac:dyDescent="0.25"/>
    <row r="142" spans="9:38" ht="13.8" hidden="1" x14ac:dyDescent="0.25"/>
    <row r="143" spans="9:38" s="59" customFormat="1" ht="13.8" hidden="1" x14ac:dyDescent="0.25">
      <c r="V143" s="206"/>
      <c r="W143" s="206"/>
      <c r="AA143" s="207"/>
      <c r="AC143" s="208"/>
      <c r="AD143" s="208"/>
      <c r="AE143" s="208"/>
      <c r="AF143" s="208"/>
      <c r="AG143" s="208"/>
      <c r="AH143" s="158"/>
      <c r="AI143" s="21"/>
      <c r="AJ143" s="21"/>
      <c r="AK143" s="21"/>
      <c r="AL143" s="21"/>
    </row>
    <row r="144" spans="9:38" s="59" customFormat="1" ht="13.8" hidden="1" x14ac:dyDescent="0.25">
      <c r="V144" s="206"/>
      <c r="W144" s="206"/>
      <c r="AA144" s="207"/>
      <c r="AC144" s="208"/>
      <c r="AD144" s="208"/>
      <c r="AE144" s="208"/>
      <c r="AF144" s="208"/>
      <c r="AG144" s="208"/>
      <c r="AH144" s="158"/>
      <c r="AI144" s="21"/>
      <c r="AJ144" s="21"/>
      <c r="AK144" s="21"/>
      <c r="AL144" s="21"/>
    </row>
    <row r="145" spans="22:38" s="59" customFormat="1" ht="13.8" hidden="1" x14ac:dyDescent="0.25">
      <c r="V145" s="206"/>
      <c r="W145" s="206"/>
      <c r="AA145" s="207"/>
      <c r="AC145" s="208"/>
      <c r="AD145" s="208"/>
      <c r="AE145" s="208"/>
      <c r="AF145" s="208"/>
      <c r="AG145" s="208"/>
      <c r="AH145" s="158"/>
      <c r="AI145" s="21"/>
      <c r="AJ145" s="21"/>
      <c r="AK145" s="21"/>
      <c r="AL145" s="21"/>
    </row>
  </sheetData>
  <sheetProtection algorithmName="SHA-512" hashValue="tIx6CUwJtZncUHCuzELcmgj5PqBQU9dcnBUVOn/AlpgAGF7IUO3lRKOnFHheW6AR8aDbFpR4lVoK7xcTSQNI9Q==" saltValue="DYLoQym4m8Ut69ZH4l7Jpg==" spinCount="100000" sheet="1" objects="1" scenarios="1" selectLockedCells="1"/>
  <mergeCells count="36">
    <mergeCell ref="V2:W2"/>
    <mergeCell ref="B2:M2"/>
    <mergeCell ref="N2:O2"/>
    <mergeCell ref="P2:Q2"/>
    <mergeCell ref="R2:S2"/>
    <mergeCell ref="T2:U2"/>
    <mergeCell ref="X2:Y2"/>
    <mergeCell ref="Z2:Z5"/>
    <mergeCell ref="AA2:AA5"/>
    <mergeCell ref="AB2:AB5"/>
    <mergeCell ref="AC2:AC5"/>
    <mergeCell ref="V3:W3"/>
    <mergeCell ref="X3:Y3"/>
    <mergeCell ref="B4:M4"/>
    <mergeCell ref="N4:O4"/>
    <mergeCell ref="P4:Q4"/>
    <mergeCell ref="R4:S4"/>
    <mergeCell ref="T4:U4"/>
    <mergeCell ref="V4:W4"/>
    <mergeCell ref="X4:Y4"/>
    <mergeCell ref="N3:O3"/>
    <mergeCell ref="P3:Q3"/>
    <mergeCell ref="R3:S3"/>
    <mergeCell ref="T3:U3"/>
    <mergeCell ref="B3:G3"/>
    <mergeCell ref="K3:M3"/>
    <mergeCell ref="AG4:AG5"/>
    <mergeCell ref="B5:M5"/>
    <mergeCell ref="B53:F53"/>
    <mergeCell ref="H53:L53"/>
    <mergeCell ref="N53:AC53"/>
    <mergeCell ref="B95:H95"/>
    <mergeCell ref="I95:AF95"/>
    <mergeCell ref="AD4:AD5"/>
    <mergeCell ref="AE4:AE5"/>
    <mergeCell ref="AF4:AF5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8</vt:i4>
      </vt:variant>
    </vt:vector>
  </HeadingPairs>
  <TitlesOfParts>
    <vt:vector size="30" baseType="lpstr">
      <vt:lpstr>Info</vt:lpstr>
      <vt:lpstr>DASHBOARD</vt:lpstr>
      <vt:lpstr>DATA</vt:lpstr>
      <vt:lpstr>ENGLISH</vt:lpstr>
      <vt:lpstr>PHYSICS</vt:lpstr>
      <vt:lpstr>CHEMISTRY</vt:lpstr>
      <vt:lpstr>MATHS</vt:lpstr>
      <vt:lpstr>BIOLOGY</vt:lpstr>
      <vt:lpstr>PHY EDU </vt:lpstr>
      <vt:lpstr>ADDITIONAL</vt:lpstr>
      <vt:lpstr>CO-SCHOLOSTIC</vt:lpstr>
      <vt:lpstr>ATTENDANCE</vt:lpstr>
      <vt:lpstr>REPORT CARD (MID TERM)</vt:lpstr>
      <vt:lpstr>REPORT CARD X</vt:lpstr>
      <vt:lpstr>GREEN SHEET</vt:lpstr>
      <vt:lpstr>REPORT CARD</vt:lpstr>
      <vt:lpstr>FINAL RESULT</vt:lpstr>
      <vt:lpstr>MARKSHEET DISTRIBUTION</vt:lpstr>
      <vt:lpstr>RESULT TEACHER WISE</vt:lpstr>
      <vt:lpstr>SCHOOL RESULT</vt:lpstr>
      <vt:lpstr>RESULT ANALYSIS GRADE WISE </vt:lpstr>
      <vt:lpstr>RESULT ANALYSIS RANK WISE </vt:lpstr>
      <vt:lpstr>BIOLOGY!Print_Area</vt:lpstr>
      <vt:lpstr>CHEMISTRY!Print_Area</vt:lpstr>
      <vt:lpstr>MATHS!Print_Area</vt:lpstr>
      <vt:lpstr>'PHY EDU '!Print_Area</vt:lpstr>
      <vt:lpstr>PHYSICS!Print_Area</vt:lpstr>
      <vt:lpstr>'REPORT CARD'!Print_Area</vt:lpstr>
      <vt:lpstr>'FINAL RESULT'!Print_Titles</vt:lpstr>
      <vt:lpstr>'GREEN SHEET'!Print_Titles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2026-02-14T10:02:28Z</dcterms:modified>
</cp:coreProperties>
</file>