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workbookProtection workbookAlgorithmName="SHA-512" workbookHashValue="nhtybcDUA2JPgg8jEld+BNUBjlOSz2iGvryJDazYa9x4hVPVJx/bFiCQdZWIcH4zySFz42sMeKhQous6cY830A==" workbookSaltValue="u/ucw9WTPMyJhzMmgJZV7w==" workbookSpinCount="100000" lockStructure="1"/>
  <bookViews>
    <workbookView xWindow="0" yWindow="0" windowWidth="22956" windowHeight="3756" tabRatio="909" firstSheet="5" activeTab="13"/>
  </bookViews>
  <sheets>
    <sheet name="Info" sheetId="37" r:id="rId1"/>
    <sheet name="DASHBOARD" sheetId="2" r:id="rId2"/>
    <sheet name="DATA" sheetId="3" state="hidden" r:id="rId3"/>
    <sheet name="MAIN DATA" sheetId="33" r:id="rId4"/>
    <sheet name="ENGLISH" sheetId="4" r:id="rId5"/>
    <sheet name="HINDI-SKT" sheetId="17" r:id="rId6"/>
    <sheet name="MATHS" sheetId="18" r:id="rId7"/>
    <sheet name="SCIENCE" sheetId="19" r:id="rId8"/>
    <sheet name="SST" sheetId="20" r:id="rId9"/>
    <sheet name="VOCATIONAL" sheetId="39" r:id="rId10"/>
    <sheet name="ATTENDANCE" sheetId="11" r:id="rId11"/>
    <sheet name="CO-SCHOLOSTIC" sheetId="22" r:id="rId12"/>
    <sheet name="REPORT CARD" sheetId="24" r:id="rId13"/>
    <sheet name="GREEN SHEET" sheetId="13" r:id="rId14"/>
    <sheet name="MAIN EXAM RESULT" sheetId="35" r:id="rId15"/>
    <sheet name="FINAL RESULT AFTER SUPP" sheetId="36" r:id="rId16"/>
    <sheet name="MARKSHEET DISTRIBUTION" sheetId="38" r:id="rId17"/>
    <sheet name="TECH. WISE RESULT" sheetId="14" r:id="rId18"/>
    <sheet name="SCHOOL RESULT" sheetId="26" r:id="rId19"/>
    <sheet name="RESULT ANALYSIS GRADE WISE" sheetId="30" r:id="rId20"/>
    <sheet name="RESULT ANALYSIS RANK WISE " sheetId="29" r:id="rId21"/>
  </sheets>
  <definedNames>
    <definedName name="BOY" localSheetId="16">#REF!</definedName>
    <definedName name="BOY" localSheetId="9">#REF!</definedName>
    <definedName name="BOY">#REF!</definedName>
    <definedName name="_xlnm.Print_Area" localSheetId="12">'REPORT CARD'!$A$1:$AE$65</definedName>
    <definedName name="_xlnm.Print_Area" localSheetId="17">'TECH. WISE RESULT'!$A$1:$L$27</definedName>
  </definedNames>
  <calcPr calcId="152511"/>
</workbook>
</file>

<file path=xl/calcChain.xml><?xml version="1.0" encoding="utf-8"?>
<calcChain xmlns="http://schemas.openxmlformats.org/spreadsheetml/2006/main">
  <c r="H10" i="36" l="1"/>
  <c r="I10" i="36"/>
  <c r="H11" i="36"/>
  <c r="I11" i="36"/>
  <c r="H12" i="36"/>
  <c r="I12" i="36"/>
  <c r="H13" i="36"/>
  <c r="I13" i="36"/>
  <c r="H14" i="36"/>
  <c r="I14" i="36"/>
  <c r="H15" i="36"/>
  <c r="I15" i="36"/>
  <c r="H16" i="36"/>
  <c r="I16" i="36"/>
  <c r="H17" i="36"/>
  <c r="I17" i="36"/>
  <c r="H18" i="36"/>
  <c r="I18" i="36"/>
  <c r="H19" i="36"/>
  <c r="I19" i="36"/>
  <c r="H20" i="36"/>
  <c r="I20" i="36"/>
  <c r="H21" i="36"/>
  <c r="I21" i="36"/>
  <c r="H22" i="36"/>
  <c r="I22" i="36"/>
  <c r="H23" i="36"/>
  <c r="I23" i="36"/>
  <c r="H24" i="36"/>
  <c r="I24" i="36"/>
  <c r="H25" i="36"/>
  <c r="I25" i="36"/>
  <c r="H26" i="36"/>
  <c r="I26" i="36"/>
  <c r="H27" i="36"/>
  <c r="I27" i="36"/>
  <c r="H28" i="36"/>
  <c r="I28" i="36"/>
  <c r="H29" i="36"/>
  <c r="I29" i="36"/>
  <c r="H30" i="36"/>
  <c r="I30" i="36"/>
  <c r="H31" i="36"/>
  <c r="I31" i="36"/>
  <c r="H32" i="36"/>
  <c r="I32" i="36"/>
  <c r="H33" i="36"/>
  <c r="I33" i="36"/>
  <c r="H34" i="36"/>
  <c r="I34" i="36"/>
  <c r="H35" i="36"/>
  <c r="I35" i="36"/>
  <c r="H36" i="36"/>
  <c r="I36" i="36"/>
  <c r="H37" i="36"/>
  <c r="I37" i="36"/>
  <c r="H38" i="36"/>
  <c r="I38" i="36"/>
  <c r="H39" i="36"/>
  <c r="I39" i="36"/>
  <c r="H40" i="36"/>
  <c r="I40" i="36"/>
  <c r="H41" i="36"/>
  <c r="I41" i="36"/>
  <c r="H42" i="36"/>
  <c r="I42" i="36"/>
  <c r="H43" i="36"/>
  <c r="I43" i="36"/>
  <c r="H44" i="36"/>
  <c r="I44" i="36"/>
  <c r="H45" i="36"/>
  <c r="I45" i="36"/>
  <c r="H46" i="36"/>
  <c r="I46" i="36"/>
  <c r="H47" i="36"/>
  <c r="I47" i="36"/>
  <c r="H48" i="36"/>
  <c r="I48" i="36"/>
  <c r="H49" i="36"/>
  <c r="I49" i="36"/>
  <c r="H50" i="36"/>
  <c r="I50" i="36"/>
  <c r="H51" i="36"/>
  <c r="I51" i="36"/>
  <c r="H10" i="35"/>
  <c r="I10" i="35"/>
  <c r="H11" i="35"/>
  <c r="I11" i="35"/>
  <c r="H12" i="35"/>
  <c r="I12" i="35"/>
  <c r="H13" i="35"/>
  <c r="I13" i="35"/>
  <c r="H14" i="35"/>
  <c r="I14" i="35"/>
  <c r="H15" i="35"/>
  <c r="I15" i="35"/>
  <c r="H16" i="35"/>
  <c r="I16" i="35"/>
  <c r="H17" i="35"/>
  <c r="I17" i="35"/>
  <c r="H18" i="35"/>
  <c r="I18" i="35"/>
  <c r="H19" i="35"/>
  <c r="I19" i="35"/>
  <c r="H20" i="35"/>
  <c r="I20" i="35"/>
  <c r="H21" i="35"/>
  <c r="I21" i="35"/>
  <c r="H22" i="35"/>
  <c r="I22" i="35"/>
  <c r="H23" i="35"/>
  <c r="I23" i="35"/>
  <c r="H24" i="35"/>
  <c r="I24" i="35"/>
  <c r="H25" i="35"/>
  <c r="I25" i="35"/>
  <c r="H26" i="35"/>
  <c r="I26" i="35"/>
  <c r="H27" i="35"/>
  <c r="I27" i="35"/>
  <c r="H28" i="35"/>
  <c r="I28" i="35"/>
  <c r="H29" i="35"/>
  <c r="I29" i="35"/>
  <c r="H30" i="35"/>
  <c r="I30" i="35"/>
  <c r="H31" i="35"/>
  <c r="I31" i="35"/>
  <c r="H32" i="35"/>
  <c r="I32" i="35"/>
  <c r="H33" i="35"/>
  <c r="I33" i="35"/>
  <c r="H34" i="35"/>
  <c r="I34" i="35"/>
  <c r="H35" i="35"/>
  <c r="I35" i="35"/>
  <c r="H36" i="35"/>
  <c r="I36" i="35"/>
  <c r="H37" i="35"/>
  <c r="I37" i="35"/>
  <c r="H38" i="35"/>
  <c r="I38" i="35"/>
  <c r="H39" i="35"/>
  <c r="I39" i="35"/>
  <c r="H40" i="35"/>
  <c r="I40" i="35"/>
  <c r="H41" i="35"/>
  <c r="I41" i="35"/>
  <c r="H42" i="35"/>
  <c r="I42" i="35"/>
  <c r="H43" i="35"/>
  <c r="I43" i="35"/>
  <c r="H44" i="35"/>
  <c r="I44" i="35"/>
  <c r="H45" i="35"/>
  <c r="I45" i="35"/>
  <c r="H46" i="35"/>
  <c r="I46" i="35"/>
  <c r="H47" i="35"/>
  <c r="I47" i="35"/>
  <c r="H48" i="35"/>
  <c r="I48" i="35"/>
  <c r="H49" i="35"/>
  <c r="I49" i="35"/>
  <c r="H50" i="35"/>
  <c r="I50" i="35"/>
  <c r="H51" i="35"/>
  <c r="I51" i="35"/>
  <c r="FJ9" i="13"/>
  <c r="FK9" i="13"/>
  <c r="J10" i="36" s="1"/>
  <c r="FL9" i="13"/>
  <c r="FM9" i="13"/>
  <c r="K10" i="36" s="1"/>
  <c r="FJ10" i="13"/>
  <c r="FL10" i="13"/>
  <c r="FJ11" i="13"/>
  <c r="FK11" i="13"/>
  <c r="FL11" i="13"/>
  <c r="FM11" i="13"/>
  <c r="FJ12" i="13"/>
  <c r="FK12" i="13"/>
  <c r="FM12" i="13" s="1"/>
  <c r="FL12" i="13"/>
  <c r="FJ13" i="13"/>
  <c r="FK13" i="13"/>
  <c r="FL13" i="13"/>
  <c r="FM13" i="13"/>
  <c r="FJ14" i="13"/>
  <c r="FK14" i="13"/>
  <c r="FM14" i="13" s="1"/>
  <c r="FL14" i="13"/>
  <c r="FJ15" i="13"/>
  <c r="FK15" i="13"/>
  <c r="FL15" i="13"/>
  <c r="FM15" i="13"/>
  <c r="FJ16" i="13"/>
  <c r="FL16" i="13"/>
  <c r="FJ17" i="13"/>
  <c r="FK17" i="13"/>
  <c r="FL17" i="13"/>
  <c r="FM17" i="13"/>
  <c r="FJ18" i="13"/>
  <c r="FK18" i="13"/>
  <c r="FM18" i="13" s="1"/>
  <c r="FL18" i="13"/>
  <c r="FJ19" i="13"/>
  <c r="FK19" i="13"/>
  <c r="FL19" i="13"/>
  <c r="FM19" i="13"/>
  <c r="FJ20" i="13"/>
  <c r="FK20" i="13"/>
  <c r="FM20" i="13" s="1"/>
  <c r="FL20" i="13"/>
  <c r="FJ21" i="13"/>
  <c r="FK21" i="13"/>
  <c r="FL21" i="13"/>
  <c r="FM21" i="13"/>
  <c r="FJ22" i="13"/>
  <c r="FK22" i="13"/>
  <c r="FM22" i="13" s="1"/>
  <c r="FL22" i="13"/>
  <c r="FJ23" i="13"/>
  <c r="FK23" i="13"/>
  <c r="FL23" i="13"/>
  <c r="FM23" i="13"/>
  <c r="FJ24" i="13"/>
  <c r="FK24" i="13"/>
  <c r="FM24" i="13" s="1"/>
  <c r="FL24" i="13"/>
  <c r="FJ25" i="13"/>
  <c r="FK25" i="13"/>
  <c r="FL25" i="13"/>
  <c r="FM25" i="13"/>
  <c r="FJ26" i="13"/>
  <c r="FK26" i="13"/>
  <c r="FM26" i="13" s="1"/>
  <c r="FL26" i="13"/>
  <c r="FJ27" i="13"/>
  <c r="FK27" i="13"/>
  <c r="FL27" i="13"/>
  <c r="FM27" i="13"/>
  <c r="FJ28" i="13"/>
  <c r="FK28" i="13"/>
  <c r="FM28" i="13" s="1"/>
  <c r="FL28" i="13"/>
  <c r="FJ29" i="13"/>
  <c r="FK29" i="13"/>
  <c r="FL29" i="13"/>
  <c r="FM29" i="13"/>
  <c r="FJ30" i="13"/>
  <c r="FK30" i="13"/>
  <c r="FM30" i="13" s="1"/>
  <c r="FL30" i="13"/>
  <c r="FJ31" i="13"/>
  <c r="FK31" i="13"/>
  <c r="FL31" i="13"/>
  <c r="FM31" i="13"/>
  <c r="FJ32" i="13"/>
  <c r="FK32" i="13"/>
  <c r="FM32" i="13" s="1"/>
  <c r="FL32" i="13"/>
  <c r="FJ33" i="13"/>
  <c r="FK33" i="13"/>
  <c r="FL33" i="13"/>
  <c r="FM33" i="13"/>
  <c r="FJ34" i="13"/>
  <c r="FK34" i="13"/>
  <c r="FM34" i="13" s="1"/>
  <c r="FL34" i="13"/>
  <c r="FJ35" i="13"/>
  <c r="FK35" i="13"/>
  <c r="FL35" i="13"/>
  <c r="FM35" i="13"/>
  <c r="FJ36" i="13"/>
  <c r="FK36" i="13"/>
  <c r="FM36" i="13" s="1"/>
  <c r="FL36" i="13"/>
  <c r="FJ37" i="13"/>
  <c r="FK37" i="13"/>
  <c r="FL37" i="13"/>
  <c r="FM37" i="13"/>
  <c r="FJ38" i="13"/>
  <c r="FK38" i="13"/>
  <c r="FM38" i="13" s="1"/>
  <c r="FL38" i="13"/>
  <c r="FJ39" i="13"/>
  <c r="FK39" i="13"/>
  <c r="FL39" i="13"/>
  <c r="FM39" i="13"/>
  <c r="FJ40" i="13"/>
  <c r="FK40" i="13"/>
  <c r="FM40" i="13" s="1"/>
  <c r="FL40" i="13"/>
  <c r="FJ41" i="13"/>
  <c r="FK41" i="13"/>
  <c r="FL41" i="13"/>
  <c r="FM41" i="13"/>
  <c r="FJ42" i="13"/>
  <c r="FK42" i="13"/>
  <c r="FM42" i="13" s="1"/>
  <c r="FL42" i="13"/>
  <c r="FJ43" i="13"/>
  <c r="FK43" i="13"/>
  <c r="FL43" i="13"/>
  <c r="FM43" i="13"/>
  <c r="FJ44" i="13"/>
  <c r="FK44" i="13"/>
  <c r="FM44" i="13" s="1"/>
  <c r="FL44" i="13"/>
  <c r="FJ45" i="13"/>
  <c r="FK45" i="13"/>
  <c r="FL45" i="13"/>
  <c r="FM45" i="13"/>
  <c r="FJ46" i="13"/>
  <c r="FK46" i="13"/>
  <c r="FM46" i="13" s="1"/>
  <c r="FL46" i="13"/>
  <c r="FJ47" i="13"/>
  <c r="FK47" i="13"/>
  <c r="FL47" i="13"/>
  <c r="FM47" i="13"/>
  <c r="FJ48" i="13"/>
  <c r="FK48" i="13"/>
  <c r="FM48" i="13" s="1"/>
  <c r="FL48" i="13"/>
  <c r="FJ49" i="13"/>
  <c r="FK49" i="13"/>
  <c r="FL49" i="13"/>
  <c r="FM49" i="13"/>
  <c r="FJ50" i="13"/>
  <c r="FK50" i="13"/>
  <c r="FM50" i="13" s="1"/>
  <c r="FL50" i="13"/>
  <c r="FJ51" i="13"/>
  <c r="FK51" i="13"/>
  <c r="FL51" i="13"/>
  <c r="FM51" i="13"/>
  <c r="FH9" i="13"/>
  <c r="FI9" i="13"/>
  <c r="FH10" i="13"/>
  <c r="FI10" i="13"/>
  <c r="FH11" i="13"/>
  <c r="FI11" i="13"/>
  <c r="FH12" i="13"/>
  <c r="FI12" i="13"/>
  <c r="FH13" i="13"/>
  <c r="FI13" i="13"/>
  <c r="FH14" i="13"/>
  <c r="FI14" i="13"/>
  <c r="FH15" i="13"/>
  <c r="FI15" i="13"/>
  <c r="FH16" i="13"/>
  <c r="FI16" i="13"/>
  <c r="FH17" i="13"/>
  <c r="FI17" i="13"/>
  <c r="FH18" i="13"/>
  <c r="FI18" i="13"/>
  <c r="FH19" i="13"/>
  <c r="FI19" i="13"/>
  <c r="FH20" i="13"/>
  <c r="FI20" i="13"/>
  <c r="FH21" i="13"/>
  <c r="FI21" i="13"/>
  <c r="FH22" i="13"/>
  <c r="FI22" i="13"/>
  <c r="FH23" i="13"/>
  <c r="FI23" i="13"/>
  <c r="FH24" i="13"/>
  <c r="FI24" i="13"/>
  <c r="FH25" i="13"/>
  <c r="FI25" i="13"/>
  <c r="FH26" i="13"/>
  <c r="FI26" i="13"/>
  <c r="FH27" i="13"/>
  <c r="FI27" i="13"/>
  <c r="FH28" i="13"/>
  <c r="FI28" i="13"/>
  <c r="FH29" i="13"/>
  <c r="FI29" i="13"/>
  <c r="FH30" i="13"/>
  <c r="FI30" i="13"/>
  <c r="FH31" i="13"/>
  <c r="FI31" i="13"/>
  <c r="FH32" i="13"/>
  <c r="FI32" i="13"/>
  <c r="FH33" i="13"/>
  <c r="FI33" i="13"/>
  <c r="FH34" i="13"/>
  <c r="FI34" i="13"/>
  <c r="FH35" i="13"/>
  <c r="FI35" i="13"/>
  <c r="FH36" i="13"/>
  <c r="FI36" i="13"/>
  <c r="FH37" i="13"/>
  <c r="FI37" i="13"/>
  <c r="FH38" i="13"/>
  <c r="FI38" i="13"/>
  <c r="FH39" i="13"/>
  <c r="FI39" i="13"/>
  <c r="FH40" i="13"/>
  <c r="FI40" i="13"/>
  <c r="FH41" i="13"/>
  <c r="FI41" i="13"/>
  <c r="FH42" i="13"/>
  <c r="FI42" i="13"/>
  <c r="FH43" i="13"/>
  <c r="FI43" i="13"/>
  <c r="FH44" i="13"/>
  <c r="FI44" i="13"/>
  <c r="FH45" i="13"/>
  <c r="FI45" i="13"/>
  <c r="FH46" i="13"/>
  <c r="FI46" i="13"/>
  <c r="FH47" i="13"/>
  <c r="FI47" i="13"/>
  <c r="FH48" i="13"/>
  <c r="FI48" i="13"/>
  <c r="FH49" i="13"/>
  <c r="FI49" i="13"/>
  <c r="FH50" i="13"/>
  <c r="FI50" i="13"/>
  <c r="FH51" i="13"/>
  <c r="FI51" i="13"/>
  <c r="C32" i="24"/>
  <c r="DO8" i="13"/>
  <c r="DO9" i="13"/>
  <c r="DO10" i="13"/>
  <c r="DO11" i="13"/>
  <c r="DO12" i="13"/>
  <c r="DO13" i="13"/>
  <c r="DO14" i="13"/>
  <c r="DO15" i="13"/>
  <c r="DO16" i="13"/>
  <c r="DO17" i="13"/>
  <c r="DO18" i="13"/>
  <c r="DO19" i="13"/>
  <c r="DO20" i="13"/>
  <c r="DO21" i="13"/>
  <c r="DO22" i="13"/>
  <c r="DO23" i="13"/>
  <c r="DO24" i="13"/>
  <c r="DO25" i="13"/>
  <c r="DO26" i="13"/>
  <c r="DO27" i="13"/>
  <c r="DO28" i="13"/>
  <c r="DO29" i="13"/>
  <c r="DO30" i="13"/>
  <c r="DO31" i="13"/>
  <c r="DO32" i="13"/>
  <c r="DO33" i="13"/>
  <c r="DO34" i="13"/>
  <c r="DO35" i="13"/>
  <c r="DO36" i="13"/>
  <c r="DO37" i="13"/>
  <c r="DO38" i="13"/>
  <c r="DO39" i="13"/>
  <c r="DO40" i="13"/>
  <c r="DO41" i="13"/>
  <c r="DO42" i="13"/>
  <c r="DO43" i="13"/>
  <c r="DO44" i="13"/>
  <c r="DO45" i="13"/>
  <c r="DO46" i="13"/>
  <c r="DO47" i="13"/>
  <c r="DO48" i="13"/>
  <c r="DO49" i="13"/>
  <c r="DO50" i="13"/>
  <c r="DO51" i="13"/>
  <c r="DO7" i="13"/>
  <c r="T26" i="24"/>
  <c r="T25" i="24"/>
  <c r="T24" i="24"/>
  <c r="T23" i="24"/>
  <c r="R26" i="24"/>
  <c r="R25" i="24"/>
  <c r="R24" i="24"/>
  <c r="R23" i="24"/>
  <c r="P26" i="24"/>
  <c r="P25" i="24"/>
  <c r="P24" i="24"/>
  <c r="P23" i="24"/>
  <c r="L26" i="24"/>
  <c r="L25" i="24"/>
  <c r="L24" i="24"/>
  <c r="L23" i="24"/>
  <c r="H26" i="24"/>
  <c r="H25" i="24"/>
  <c r="H24" i="24"/>
  <c r="H23" i="24"/>
  <c r="AX52" i="13" l="1"/>
  <c r="DR9" i="13"/>
  <c r="DR10" i="13"/>
  <c r="DR11" i="13"/>
  <c r="DR12" i="13"/>
  <c r="DR13" i="13"/>
  <c r="DR14" i="13"/>
  <c r="DR15" i="13"/>
  <c r="DR17" i="13"/>
  <c r="DR18" i="13"/>
  <c r="DR19" i="13"/>
  <c r="DR20" i="13"/>
  <c r="DR21" i="13"/>
  <c r="DR22" i="13"/>
  <c r="DR23" i="13"/>
  <c r="DR24" i="13"/>
  <c r="DR25" i="13"/>
  <c r="DR26" i="13"/>
  <c r="DR27" i="13"/>
  <c r="DR28" i="13"/>
  <c r="DR29" i="13"/>
  <c r="DR30" i="13"/>
  <c r="DR31" i="13"/>
  <c r="DR32" i="13"/>
  <c r="DR33" i="13"/>
  <c r="DR34" i="13"/>
  <c r="DR35" i="13"/>
  <c r="DR36" i="13"/>
  <c r="DR37" i="13"/>
  <c r="DR38" i="13"/>
  <c r="DR39" i="13"/>
  <c r="DR40" i="13"/>
  <c r="DR41" i="13"/>
  <c r="DR42" i="13"/>
  <c r="DR43" i="13"/>
  <c r="DR44" i="13"/>
  <c r="DR45" i="13"/>
  <c r="DR46" i="13"/>
  <c r="DR47" i="13"/>
  <c r="DR48" i="13"/>
  <c r="DR49" i="13"/>
  <c r="DR50" i="13"/>
  <c r="DR51" i="13"/>
  <c r="DI52" i="13"/>
  <c r="AE10" i="13"/>
  <c r="AE11" i="13"/>
  <c r="AE12" i="13"/>
  <c r="AE13" i="13"/>
  <c r="AE14" i="13"/>
  <c r="AE15" i="13"/>
  <c r="AE16" i="13"/>
  <c r="AE17" i="13"/>
  <c r="AE18" i="13"/>
  <c r="AE19" i="13"/>
  <c r="AE20" i="13"/>
  <c r="AE21" i="13"/>
  <c r="AE22" i="13"/>
  <c r="AE23" i="13"/>
  <c r="AE24" i="13"/>
  <c r="AE25" i="13"/>
  <c r="AE26" i="13"/>
  <c r="AE27" i="13"/>
  <c r="AE28" i="13"/>
  <c r="AE29" i="13"/>
  <c r="AE30" i="13"/>
  <c r="AE31" i="13"/>
  <c r="AE32" i="13"/>
  <c r="AE33" i="13"/>
  <c r="AE34" i="13"/>
  <c r="AE35" i="13"/>
  <c r="AE36" i="13"/>
  <c r="AE37" i="13"/>
  <c r="AE38" i="13"/>
  <c r="AE39" i="13"/>
  <c r="AE40" i="13"/>
  <c r="AE41" i="13"/>
  <c r="AE42" i="13"/>
  <c r="AE43" i="13"/>
  <c r="AE44" i="13"/>
  <c r="AE45" i="13"/>
  <c r="AE46" i="13"/>
  <c r="AE47" i="13"/>
  <c r="AE48" i="13"/>
  <c r="AE49" i="13"/>
  <c r="AE50" i="13"/>
  <c r="AE51" i="13"/>
  <c r="V16" i="24" l="1"/>
  <c r="S16" i="24" s="1"/>
  <c r="V17" i="24"/>
  <c r="S17" i="24" s="1"/>
  <c r="FN10" i="13"/>
  <c r="EW10" i="13"/>
  <c r="EW11" i="13"/>
  <c r="EW12" i="13"/>
  <c r="EW13" i="13"/>
  <c r="EW14" i="13"/>
  <c r="EW15" i="13"/>
  <c r="EW16" i="13"/>
  <c r="EW17" i="13"/>
  <c r="EW18" i="13"/>
  <c r="EW19" i="13"/>
  <c r="EW20" i="13"/>
  <c r="EW21" i="13"/>
  <c r="EW22" i="13"/>
  <c r="EW23" i="13"/>
  <c r="EW24" i="13"/>
  <c r="EW25" i="13"/>
  <c r="EW26" i="13"/>
  <c r="EW27" i="13"/>
  <c r="EW28" i="13"/>
  <c r="EW29" i="13"/>
  <c r="EW30" i="13"/>
  <c r="EW31" i="13"/>
  <c r="EW32" i="13"/>
  <c r="EW33" i="13"/>
  <c r="EW34" i="13"/>
  <c r="EW35" i="13"/>
  <c r="EW36" i="13"/>
  <c r="EW37" i="13"/>
  <c r="EW38" i="13"/>
  <c r="EW39" i="13"/>
  <c r="EW40" i="13"/>
  <c r="EW41" i="13"/>
  <c r="EW42" i="13"/>
  <c r="EW43" i="13"/>
  <c r="EW44" i="13"/>
  <c r="EW45" i="13"/>
  <c r="EW46" i="13"/>
  <c r="EW47" i="13"/>
  <c r="EW48" i="13"/>
  <c r="EW49" i="13"/>
  <c r="EK10" i="13"/>
  <c r="EK11" i="13"/>
  <c r="EK12" i="13"/>
  <c r="EK13" i="13"/>
  <c r="EK14" i="13"/>
  <c r="EK15" i="13"/>
  <c r="EK16" i="13"/>
  <c r="EK17" i="13"/>
  <c r="EK18" i="13"/>
  <c r="EK19" i="13"/>
  <c r="EK20" i="13"/>
  <c r="EK21" i="13"/>
  <c r="EK22" i="13"/>
  <c r="EK23" i="13"/>
  <c r="EK24" i="13"/>
  <c r="EK25" i="13"/>
  <c r="EK26" i="13"/>
  <c r="EK27" i="13"/>
  <c r="EK28" i="13"/>
  <c r="EK29" i="13"/>
  <c r="EK30" i="13"/>
  <c r="EK31" i="13"/>
  <c r="EK32" i="13"/>
  <c r="EK33" i="13"/>
  <c r="EK34" i="13"/>
  <c r="EK35" i="13"/>
  <c r="EK36" i="13"/>
  <c r="EK37" i="13"/>
  <c r="EK38" i="13"/>
  <c r="EK39" i="13"/>
  <c r="EK40" i="13"/>
  <c r="EK41" i="13"/>
  <c r="EK42" i="13"/>
  <c r="EK43" i="13"/>
  <c r="EK44" i="13"/>
  <c r="EK45" i="13"/>
  <c r="EK46" i="13"/>
  <c r="EK47" i="13"/>
  <c r="EK48" i="13"/>
  <c r="EK49" i="13"/>
  <c r="EQ5" i="13"/>
  <c r="EK5" i="13"/>
  <c r="K6" i="14"/>
  <c r="K5" i="14"/>
  <c r="J6" i="14"/>
  <c r="J5" i="14"/>
  <c r="I6" i="14"/>
  <c r="I5" i="14"/>
  <c r="DP56" i="13"/>
  <c r="DO4" i="13"/>
  <c r="EU5" i="13" s="1"/>
  <c r="DP96" i="13"/>
  <c r="DP76" i="13"/>
  <c r="DO3" i="13"/>
  <c r="AG3" i="13"/>
  <c r="AG4" i="13"/>
  <c r="E6" i="14"/>
  <c r="E5" i="14"/>
  <c r="D6" i="14"/>
  <c r="AT76" i="13"/>
  <c r="AT56" i="13"/>
  <c r="EO5" i="13" l="1"/>
  <c r="FR70" i="13"/>
  <c r="FN70" i="13"/>
  <c r="FM70" i="13"/>
  <c r="FN63" i="13"/>
  <c r="I53" i="35"/>
  <c r="M52" i="35"/>
  <c r="F53" i="35"/>
  <c r="B53" i="35"/>
  <c r="I53" i="36"/>
  <c r="F53" i="36"/>
  <c r="B53" i="36"/>
  <c r="J5" i="35"/>
  <c r="FV8" i="13"/>
  <c r="GA8" i="13"/>
  <c r="GB8" i="13"/>
  <c r="FV9" i="13"/>
  <c r="GA9" i="13"/>
  <c r="GB9" i="13"/>
  <c r="FV10" i="13"/>
  <c r="FW10" i="13" s="1"/>
  <c r="GA10" i="13"/>
  <c r="GB10" i="13"/>
  <c r="FV11" i="13"/>
  <c r="FW11" i="13" s="1"/>
  <c r="GA11" i="13"/>
  <c r="GB11" i="13"/>
  <c r="FV12" i="13"/>
  <c r="FW12" i="13" s="1"/>
  <c r="GA12" i="13"/>
  <c r="GB12" i="13"/>
  <c r="FV13" i="13"/>
  <c r="FW13" i="13" s="1"/>
  <c r="GA13" i="13"/>
  <c r="GB13" i="13"/>
  <c r="FV14" i="13"/>
  <c r="FW14" i="13" s="1"/>
  <c r="GA14" i="13"/>
  <c r="GB14" i="13"/>
  <c r="FV15" i="13"/>
  <c r="FW15" i="13" s="1"/>
  <c r="GA15" i="13"/>
  <c r="GB15" i="13"/>
  <c r="FV16" i="13"/>
  <c r="FW16" i="13" s="1"/>
  <c r="GA16" i="13"/>
  <c r="GB16" i="13"/>
  <c r="FV17" i="13"/>
  <c r="FW17" i="13" s="1"/>
  <c r="GA17" i="13"/>
  <c r="GB17" i="13"/>
  <c r="FV18" i="13"/>
  <c r="FW18" i="13" s="1"/>
  <c r="GA18" i="13"/>
  <c r="GB18" i="13"/>
  <c r="FV19" i="13"/>
  <c r="FW19" i="13" s="1"/>
  <c r="GA19" i="13"/>
  <c r="GB19" i="13"/>
  <c r="FV20" i="13"/>
  <c r="FW20" i="13" s="1"/>
  <c r="GA20" i="13"/>
  <c r="GB20" i="13"/>
  <c r="FV21" i="13"/>
  <c r="FW21" i="13" s="1"/>
  <c r="GA21" i="13"/>
  <c r="GB21" i="13"/>
  <c r="FV22" i="13"/>
  <c r="FW22" i="13" s="1"/>
  <c r="GA22" i="13"/>
  <c r="GB22" i="13"/>
  <c r="FV23" i="13"/>
  <c r="FW23" i="13" s="1"/>
  <c r="GA23" i="13"/>
  <c r="GB23" i="13"/>
  <c r="FV24" i="13"/>
  <c r="FW24" i="13" s="1"/>
  <c r="GA24" i="13"/>
  <c r="GB24" i="13"/>
  <c r="FV25" i="13"/>
  <c r="FW25" i="13" s="1"/>
  <c r="GA25" i="13"/>
  <c r="GB25" i="13"/>
  <c r="FV26" i="13"/>
  <c r="FW26" i="13" s="1"/>
  <c r="GA26" i="13"/>
  <c r="GB26" i="13"/>
  <c r="FV27" i="13"/>
  <c r="FW27" i="13" s="1"/>
  <c r="GA27" i="13"/>
  <c r="GB27" i="13"/>
  <c r="FV28" i="13"/>
  <c r="FW28" i="13" s="1"/>
  <c r="GA28" i="13"/>
  <c r="GB28" i="13"/>
  <c r="FV29" i="13"/>
  <c r="FW29" i="13" s="1"/>
  <c r="GA29" i="13"/>
  <c r="GB29" i="13"/>
  <c r="FV30" i="13"/>
  <c r="FW30" i="13" s="1"/>
  <c r="GA30" i="13"/>
  <c r="GB30" i="13"/>
  <c r="FV31" i="13"/>
  <c r="FW31" i="13" s="1"/>
  <c r="GA31" i="13"/>
  <c r="GB31" i="13"/>
  <c r="FV32" i="13"/>
  <c r="FW32" i="13" s="1"/>
  <c r="GA32" i="13"/>
  <c r="GB32" i="13"/>
  <c r="FV33" i="13"/>
  <c r="FW33" i="13" s="1"/>
  <c r="GA33" i="13"/>
  <c r="GB33" i="13"/>
  <c r="FV34" i="13"/>
  <c r="FW34" i="13" s="1"/>
  <c r="GA34" i="13"/>
  <c r="GB34" i="13"/>
  <c r="FV35" i="13"/>
  <c r="FW35" i="13" s="1"/>
  <c r="GA35" i="13"/>
  <c r="GB35" i="13"/>
  <c r="FV36" i="13"/>
  <c r="FW36" i="13" s="1"/>
  <c r="GA36" i="13"/>
  <c r="GB36" i="13"/>
  <c r="FV37" i="13"/>
  <c r="FW37" i="13" s="1"/>
  <c r="GA37" i="13"/>
  <c r="GB37" i="13"/>
  <c r="FV38" i="13"/>
  <c r="FW38" i="13" s="1"/>
  <c r="GA38" i="13"/>
  <c r="GB38" i="13"/>
  <c r="FV39" i="13"/>
  <c r="FW39" i="13" s="1"/>
  <c r="GA39" i="13"/>
  <c r="GB39" i="13"/>
  <c r="FV40" i="13"/>
  <c r="FW40" i="13" s="1"/>
  <c r="GA40" i="13"/>
  <c r="GB40" i="13"/>
  <c r="FV41" i="13"/>
  <c r="FW41" i="13" s="1"/>
  <c r="GA41" i="13"/>
  <c r="GB41" i="13"/>
  <c r="FV42" i="13"/>
  <c r="FW42" i="13" s="1"/>
  <c r="GA42" i="13"/>
  <c r="GB42" i="13"/>
  <c r="FV43" i="13"/>
  <c r="FW43" i="13" s="1"/>
  <c r="GA43" i="13"/>
  <c r="GB43" i="13"/>
  <c r="FV44" i="13"/>
  <c r="FW44" i="13" s="1"/>
  <c r="GA44" i="13"/>
  <c r="GB44" i="13"/>
  <c r="FV45" i="13"/>
  <c r="FW45" i="13" s="1"/>
  <c r="GA45" i="13"/>
  <c r="GB45" i="13"/>
  <c r="FV46" i="13"/>
  <c r="FW46" i="13" s="1"/>
  <c r="GA46" i="13"/>
  <c r="GB46" i="13"/>
  <c r="FV47" i="13"/>
  <c r="FW47" i="13" s="1"/>
  <c r="GA47" i="13"/>
  <c r="GB47" i="13"/>
  <c r="FV48" i="13"/>
  <c r="FW48" i="13" s="1"/>
  <c r="GA48" i="13"/>
  <c r="GB48" i="13"/>
  <c r="FV49" i="13"/>
  <c r="FW49" i="13" s="1"/>
  <c r="GA49" i="13"/>
  <c r="GB49" i="13"/>
  <c r="FV50" i="13"/>
  <c r="FW50" i="13" s="1"/>
  <c r="GA50" i="13"/>
  <c r="GB50" i="13"/>
  <c r="FV51" i="13"/>
  <c r="FW51" i="13" s="1"/>
  <c r="GA51" i="13"/>
  <c r="GB51" i="13"/>
  <c r="DP8" i="13" l="1"/>
  <c r="DR8" i="13" s="1"/>
  <c r="DQ8" i="13"/>
  <c r="DT8" i="13"/>
  <c r="DU8" i="13" s="1"/>
  <c r="DV8" i="13" s="1"/>
  <c r="DP9" i="13"/>
  <c r="DQ9" i="13"/>
  <c r="DT9" i="13"/>
  <c r="DU9" i="13" s="1"/>
  <c r="DV9" i="13" s="1"/>
  <c r="DP10" i="13"/>
  <c r="DQ10" i="13"/>
  <c r="DT10" i="13"/>
  <c r="DU10" i="13" s="1"/>
  <c r="DV10" i="13" s="1"/>
  <c r="DP11" i="13"/>
  <c r="DQ11" i="13"/>
  <c r="DT11" i="13"/>
  <c r="DU11" i="13" s="1"/>
  <c r="DV11" i="13" s="1"/>
  <c r="DP12" i="13"/>
  <c r="DQ12" i="13"/>
  <c r="DT12" i="13"/>
  <c r="DU12" i="13" s="1"/>
  <c r="DP13" i="13"/>
  <c r="DQ13" i="13"/>
  <c r="DT13" i="13"/>
  <c r="DU13" i="13" s="1"/>
  <c r="DV13" i="13" s="1"/>
  <c r="DP14" i="13"/>
  <c r="DQ14" i="13"/>
  <c r="DT14" i="13"/>
  <c r="DU14" i="13" s="1"/>
  <c r="DV14" i="13" s="1"/>
  <c r="DP15" i="13"/>
  <c r="DQ15" i="13"/>
  <c r="DT15" i="13"/>
  <c r="DU15" i="13" s="1"/>
  <c r="DV15" i="13" s="1"/>
  <c r="DP16" i="13"/>
  <c r="DR16" i="13" s="1"/>
  <c r="DQ16" i="13"/>
  <c r="DT16" i="13"/>
  <c r="DU16" i="13" s="1"/>
  <c r="DV16" i="13" s="1"/>
  <c r="DP17" i="13"/>
  <c r="DQ17" i="13"/>
  <c r="DT17" i="13"/>
  <c r="DU17" i="13" s="1"/>
  <c r="DV17" i="13" s="1"/>
  <c r="DP18" i="13"/>
  <c r="DQ18" i="13"/>
  <c r="DT18" i="13"/>
  <c r="DU18" i="13" s="1"/>
  <c r="DV18" i="13" s="1"/>
  <c r="DP19" i="13"/>
  <c r="DQ19" i="13"/>
  <c r="DT19" i="13"/>
  <c r="DU19" i="13" s="1"/>
  <c r="DV19" i="13" s="1"/>
  <c r="DP20" i="13"/>
  <c r="DQ20" i="13"/>
  <c r="DT20" i="13"/>
  <c r="DU20" i="13" s="1"/>
  <c r="DV20" i="13" s="1"/>
  <c r="DP21" i="13"/>
  <c r="DQ21" i="13"/>
  <c r="DT21" i="13"/>
  <c r="DU21" i="13" s="1"/>
  <c r="DV21" i="13" s="1"/>
  <c r="DP22" i="13"/>
  <c r="DQ22" i="13"/>
  <c r="DT22" i="13"/>
  <c r="DU22" i="13" s="1"/>
  <c r="DV22" i="13" s="1"/>
  <c r="DP23" i="13"/>
  <c r="DQ23" i="13"/>
  <c r="DT23" i="13"/>
  <c r="DU23" i="13" s="1"/>
  <c r="DV23" i="13" s="1"/>
  <c r="DP24" i="13"/>
  <c r="DQ24" i="13"/>
  <c r="DT24" i="13"/>
  <c r="DU24" i="13" s="1"/>
  <c r="DV24" i="13" s="1"/>
  <c r="DP25" i="13"/>
  <c r="DQ25" i="13"/>
  <c r="DT25" i="13"/>
  <c r="DU25" i="13" s="1"/>
  <c r="DV25" i="13" s="1"/>
  <c r="DP26" i="13"/>
  <c r="DQ26" i="13"/>
  <c r="DT26" i="13"/>
  <c r="DU26" i="13" s="1"/>
  <c r="DV26" i="13" s="1"/>
  <c r="DP27" i="13"/>
  <c r="DQ27" i="13"/>
  <c r="DT27" i="13"/>
  <c r="DU27" i="13" s="1"/>
  <c r="DV27" i="13" s="1"/>
  <c r="DP28" i="13"/>
  <c r="DQ28" i="13"/>
  <c r="DT28" i="13"/>
  <c r="DU28" i="13" s="1"/>
  <c r="DP29" i="13"/>
  <c r="DQ29" i="13"/>
  <c r="DT29" i="13"/>
  <c r="DU29" i="13" s="1"/>
  <c r="DV29" i="13" s="1"/>
  <c r="DP30" i="13"/>
  <c r="DQ30" i="13"/>
  <c r="DT30" i="13"/>
  <c r="DU30" i="13" s="1"/>
  <c r="DV30" i="13" s="1"/>
  <c r="DP31" i="13"/>
  <c r="DQ31" i="13"/>
  <c r="DT31" i="13"/>
  <c r="DU31" i="13" s="1"/>
  <c r="DV31" i="13" s="1"/>
  <c r="DP32" i="13"/>
  <c r="DQ32" i="13"/>
  <c r="DT32" i="13"/>
  <c r="DU32" i="13" s="1"/>
  <c r="DV32" i="13" s="1"/>
  <c r="DP33" i="13"/>
  <c r="DQ33" i="13"/>
  <c r="DT33" i="13"/>
  <c r="DU33" i="13" s="1"/>
  <c r="DP34" i="13"/>
  <c r="DQ34" i="13"/>
  <c r="DT34" i="13"/>
  <c r="DU34" i="13" s="1"/>
  <c r="DP35" i="13"/>
  <c r="DQ35" i="13"/>
  <c r="DT35" i="13"/>
  <c r="DU35" i="13" s="1"/>
  <c r="DV35" i="13" s="1"/>
  <c r="DP36" i="13"/>
  <c r="DQ36" i="13"/>
  <c r="DT36" i="13"/>
  <c r="DU36" i="13" s="1"/>
  <c r="DP37" i="13"/>
  <c r="DQ37" i="13"/>
  <c r="DT37" i="13"/>
  <c r="DU37" i="13" s="1"/>
  <c r="DV37" i="13" s="1"/>
  <c r="DP38" i="13"/>
  <c r="DQ38" i="13"/>
  <c r="DT38" i="13"/>
  <c r="DU38" i="13" s="1"/>
  <c r="DV38" i="13" s="1"/>
  <c r="DP39" i="13"/>
  <c r="DQ39" i="13"/>
  <c r="DT39" i="13"/>
  <c r="DU39" i="13" s="1"/>
  <c r="DV39" i="13" s="1"/>
  <c r="DP40" i="13"/>
  <c r="DQ40" i="13"/>
  <c r="DT40" i="13"/>
  <c r="DU40" i="13" s="1"/>
  <c r="DV40" i="13" s="1"/>
  <c r="DP41" i="13"/>
  <c r="DQ41" i="13"/>
  <c r="DT41" i="13"/>
  <c r="DU41" i="13" s="1"/>
  <c r="DV41" i="13" s="1"/>
  <c r="DP42" i="13"/>
  <c r="DQ42" i="13"/>
  <c r="DT42" i="13"/>
  <c r="DU42" i="13" s="1"/>
  <c r="DP43" i="13"/>
  <c r="DQ43" i="13"/>
  <c r="DT43" i="13"/>
  <c r="DU43" i="13" s="1"/>
  <c r="DV43" i="13" s="1"/>
  <c r="DP44" i="13"/>
  <c r="DQ44" i="13"/>
  <c r="DT44" i="13"/>
  <c r="DU44" i="13" s="1"/>
  <c r="DV44" i="13" s="1"/>
  <c r="DP45" i="13"/>
  <c r="DQ45" i="13"/>
  <c r="DT45" i="13"/>
  <c r="DU45" i="13" s="1"/>
  <c r="DV45" i="13" s="1"/>
  <c r="DP46" i="13"/>
  <c r="DQ46" i="13"/>
  <c r="DT46" i="13"/>
  <c r="DU46" i="13" s="1"/>
  <c r="DV46" i="13" s="1"/>
  <c r="DP47" i="13"/>
  <c r="DQ47" i="13"/>
  <c r="DT47" i="13"/>
  <c r="DU47" i="13" s="1"/>
  <c r="DV47" i="13" s="1"/>
  <c r="DP48" i="13"/>
  <c r="DQ48" i="13"/>
  <c r="DT48" i="13"/>
  <c r="DU48" i="13" s="1"/>
  <c r="DV48" i="13" s="1"/>
  <c r="DP49" i="13"/>
  <c r="DQ49" i="13"/>
  <c r="DT49" i="13"/>
  <c r="DU49" i="13" s="1"/>
  <c r="DP50" i="13"/>
  <c r="DQ50" i="13"/>
  <c r="DT50" i="13"/>
  <c r="DU50" i="13" s="1"/>
  <c r="DV50" i="13" s="1"/>
  <c r="DP51" i="13"/>
  <c r="DQ51" i="13"/>
  <c r="DT51" i="13"/>
  <c r="DU51" i="13" s="1"/>
  <c r="DV51" i="13" s="1"/>
  <c r="EH6" i="13"/>
  <c r="EH5" i="13"/>
  <c r="EG5" i="13"/>
  <c r="EF5" i="13"/>
  <c r="EE5" i="13"/>
  <c r="ED5" i="13"/>
  <c r="DT7" i="13"/>
  <c r="DT6" i="13"/>
  <c r="DQ6" i="13"/>
  <c r="N32" i="24" s="1"/>
  <c r="DP6" i="13"/>
  <c r="H32" i="24" s="1"/>
  <c r="DP7" i="13"/>
  <c r="DQ7" i="13"/>
  <c r="DR7" i="13" l="1"/>
  <c r="DV42" i="13"/>
  <c r="EI42" i="13"/>
  <c r="EU42" i="13" s="1"/>
  <c r="DU6" i="13"/>
  <c r="DV34" i="13"/>
  <c r="EI34" i="13"/>
  <c r="EU34" i="13" s="1"/>
  <c r="DV12" i="13"/>
  <c r="EI12" i="13"/>
  <c r="EU12" i="13" s="1"/>
  <c r="EI49" i="13"/>
  <c r="EU49" i="13" s="1"/>
  <c r="DV49" i="13"/>
  <c r="EI33" i="13"/>
  <c r="EU33" i="13" s="1"/>
  <c r="DV33" i="13"/>
  <c r="EI36" i="13"/>
  <c r="EU36" i="13" s="1"/>
  <c r="DV36" i="13"/>
  <c r="DV28" i="13"/>
  <c r="EI28" i="13"/>
  <c r="EU28" i="13" s="1"/>
  <c r="EI25" i="13"/>
  <c r="EU25" i="13" s="1"/>
  <c r="EI22" i="13"/>
  <c r="EU22" i="13" s="1"/>
  <c r="EI48" i="13"/>
  <c r="EU48" i="13" s="1"/>
  <c r="EI40" i="13"/>
  <c r="EU40" i="13" s="1"/>
  <c r="EI50" i="13"/>
  <c r="EU50" i="13" s="1"/>
  <c r="EI32" i="13"/>
  <c r="EU32" i="13" s="1"/>
  <c r="EI8" i="13"/>
  <c r="EU8" i="13" s="1"/>
  <c r="EI24" i="13"/>
  <c r="EU24" i="13" s="1"/>
  <c r="EI14" i="13"/>
  <c r="EU14" i="13" s="1"/>
  <c r="EI20" i="13"/>
  <c r="EU20" i="13" s="1"/>
  <c r="EI9" i="13"/>
  <c r="EU9" i="13" s="1"/>
  <c r="EI38" i="13"/>
  <c r="EU38" i="13" s="1"/>
  <c r="EI17" i="13"/>
  <c r="EU17" i="13" s="1"/>
  <c r="EI41" i="13"/>
  <c r="EU41" i="13" s="1"/>
  <c r="EI30" i="13"/>
  <c r="EU30" i="13" s="1"/>
  <c r="EI46" i="13"/>
  <c r="EU46" i="13" s="1"/>
  <c r="EI16" i="13"/>
  <c r="EI18" i="13"/>
  <c r="EU18" i="13" s="1"/>
  <c r="EI31" i="13"/>
  <c r="EU31" i="13" s="1"/>
  <c r="EI45" i="13"/>
  <c r="EU45" i="13" s="1"/>
  <c r="EI29" i="13"/>
  <c r="EU29" i="13" s="1"/>
  <c r="EI10" i="13"/>
  <c r="EU10" i="13" s="1"/>
  <c r="EI43" i="13"/>
  <c r="EU43" i="13" s="1"/>
  <c r="EI27" i="13"/>
  <c r="EU27" i="13" s="1"/>
  <c r="EI23" i="13"/>
  <c r="EU23" i="13" s="1"/>
  <c r="EI21" i="13"/>
  <c r="EU21" i="13" s="1"/>
  <c r="EI19" i="13"/>
  <c r="EU19" i="13" s="1"/>
  <c r="EI47" i="13"/>
  <c r="EU47" i="13" s="1"/>
  <c r="EI39" i="13"/>
  <c r="EU39" i="13" s="1"/>
  <c r="EI15" i="13"/>
  <c r="EU15" i="13" s="1"/>
  <c r="EI51" i="13"/>
  <c r="EU51" i="13" s="1"/>
  <c r="EI37" i="13"/>
  <c r="EU37" i="13" s="1"/>
  <c r="EI35" i="13"/>
  <c r="EU35" i="13" s="1"/>
  <c r="EI26" i="13"/>
  <c r="EU26" i="13" s="1"/>
  <c r="EI13" i="13"/>
  <c r="EU13" i="13" s="1"/>
  <c r="EI11" i="13"/>
  <c r="EU11" i="13" s="1"/>
  <c r="EI44" i="13"/>
  <c r="EU44" i="13" s="1"/>
  <c r="DR6" i="13"/>
  <c r="DP112" i="13"/>
  <c r="CS4" i="13"/>
  <c r="CS3" i="13"/>
  <c r="DT112" i="13"/>
  <c r="DU112" i="13" s="1"/>
  <c r="DV112" i="13" s="1"/>
  <c r="DQ112" i="13"/>
  <c r="G4" i="39"/>
  <c r="D4" i="39"/>
  <c r="B3" i="39"/>
  <c r="B2" i="39"/>
  <c r="EU16" i="13" l="1"/>
  <c r="FK16" i="13"/>
  <c r="FM16" i="13" s="1"/>
  <c r="DV6" i="13"/>
  <c r="X6" i="29"/>
  <c r="T32" i="24"/>
  <c r="X6" i="30"/>
  <c r="X3" i="29"/>
  <c r="X3" i="30"/>
  <c r="X2" i="29"/>
  <c r="X2" i="30"/>
  <c r="FA5" i="13"/>
  <c r="FG5" i="13"/>
  <c r="EI6" i="13"/>
  <c r="EC5" i="13"/>
  <c r="EI5" i="13" s="1"/>
  <c r="I6" i="39"/>
  <c r="EC6" i="13"/>
  <c r="B2" i="38"/>
  <c r="E4" i="38" l="1"/>
  <c r="B3" i="38"/>
  <c r="DS6" i="13" l="1"/>
  <c r="B35" i="36"/>
  <c r="B36" i="36"/>
  <c r="B37" i="36"/>
  <c r="B38" i="36"/>
  <c r="B39" i="36"/>
  <c r="B40" i="36"/>
  <c r="B41" i="36"/>
  <c r="B42" i="36"/>
  <c r="B43" i="36"/>
  <c r="B44" i="36"/>
  <c r="B45" i="36"/>
  <c r="B46" i="36"/>
  <c r="B47" i="36"/>
  <c r="B48" i="36"/>
  <c r="B49" i="36"/>
  <c r="B50" i="36"/>
  <c r="B51" i="36"/>
  <c r="J6" i="39" l="1"/>
  <c r="Y6" i="29"/>
  <c r="Y6" i="30"/>
  <c r="P6" i="20"/>
  <c r="P6" i="19"/>
  <c r="P6" i="18"/>
  <c r="Q6" i="17"/>
  <c r="P6" i="4"/>
  <c r="L52" i="36" l="1"/>
  <c r="M52" i="36" s="1"/>
  <c r="B39" i="35" l="1"/>
  <c r="B40" i="35"/>
  <c r="B41" i="35"/>
  <c r="B42" i="35"/>
  <c r="B43" i="35"/>
  <c r="B44" i="35"/>
  <c r="B45" i="35"/>
  <c r="B46" i="35"/>
  <c r="B47" i="35"/>
  <c r="B48" i="35"/>
  <c r="B49" i="35"/>
  <c r="B50" i="35"/>
  <c r="B51" i="35"/>
  <c r="I97" i="29" l="1"/>
  <c r="R65" i="24" l="1"/>
  <c r="L4" i="36"/>
  <c r="B4" i="35"/>
  <c r="B77" i="35"/>
  <c r="E8" i="3"/>
  <c r="E9" i="38" l="1"/>
  <c r="E11" i="35"/>
  <c r="C10" i="39"/>
  <c r="B34" i="36"/>
  <c r="B33" i="36"/>
  <c r="B32" i="36"/>
  <c r="B31" i="36"/>
  <c r="B30" i="36"/>
  <c r="B29" i="36"/>
  <c r="B28" i="36"/>
  <c r="B27" i="36"/>
  <c r="B26" i="36"/>
  <c r="B25" i="36"/>
  <c r="B24" i="36"/>
  <c r="B23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9" i="36"/>
  <c r="B8" i="36"/>
  <c r="B6" i="36"/>
  <c r="B4" i="36"/>
  <c r="B3" i="36"/>
  <c r="B2" i="36"/>
  <c r="E12" i="24" l="1"/>
  <c r="B6" i="35" l="1"/>
  <c r="B3" i="35" l="1"/>
  <c r="B2" i="35"/>
  <c r="B38" i="35"/>
  <c r="B37" i="35"/>
  <c r="B36" i="35"/>
  <c r="B35" i="35"/>
  <c r="B34" i="35"/>
  <c r="B33" i="35"/>
  <c r="B32" i="35"/>
  <c r="B31" i="35"/>
  <c r="B30" i="35"/>
  <c r="B29" i="35"/>
  <c r="B28" i="35"/>
  <c r="B27" i="35"/>
  <c r="B26" i="35"/>
  <c r="B25" i="35"/>
  <c r="B24" i="35"/>
  <c r="B23" i="35"/>
  <c r="B22" i="35"/>
  <c r="B21" i="35"/>
  <c r="B20" i="35"/>
  <c r="B19" i="35"/>
  <c r="B18" i="35"/>
  <c r="B17" i="35"/>
  <c r="B16" i="35"/>
  <c r="B15" i="35"/>
  <c r="B14" i="35"/>
  <c r="B13" i="35"/>
  <c r="B12" i="35"/>
  <c r="B11" i="35"/>
  <c r="B10" i="35"/>
  <c r="B9" i="35"/>
  <c r="B8" i="35"/>
  <c r="I6" i="3" l="1"/>
  <c r="J6" i="3"/>
  <c r="I7" i="3"/>
  <c r="J7" i="3"/>
  <c r="I8" i="3"/>
  <c r="J8" i="3"/>
  <c r="I9" i="3"/>
  <c r="J9" i="3"/>
  <c r="I10" i="3"/>
  <c r="J10" i="3"/>
  <c r="I11" i="3"/>
  <c r="J11" i="3"/>
  <c r="I12" i="3"/>
  <c r="J12" i="3"/>
  <c r="I13" i="3"/>
  <c r="J13" i="3"/>
  <c r="I14" i="3"/>
  <c r="J14" i="3"/>
  <c r="I15" i="3"/>
  <c r="J15" i="3"/>
  <c r="I16" i="3"/>
  <c r="J16" i="3"/>
  <c r="I17" i="3"/>
  <c r="J17" i="3"/>
  <c r="I18" i="3"/>
  <c r="J18" i="3"/>
  <c r="I19" i="3"/>
  <c r="J19" i="3"/>
  <c r="I20" i="3"/>
  <c r="J20" i="3"/>
  <c r="I21" i="3"/>
  <c r="J21" i="3"/>
  <c r="I22" i="3"/>
  <c r="J22" i="3"/>
  <c r="I23" i="3"/>
  <c r="J23" i="3"/>
  <c r="I24" i="3"/>
  <c r="J24" i="3"/>
  <c r="I25" i="3"/>
  <c r="J25" i="3"/>
  <c r="I26" i="3"/>
  <c r="J26" i="3"/>
  <c r="I27" i="3"/>
  <c r="J27" i="3"/>
  <c r="I28" i="3"/>
  <c r="J28" i="3"/>
  <c r="I29" i="3"/>
  <c r="J29" i="3"/>
  <c r="I30" i="3"/>
  <c r="J30" i="3"/>
  <c r="I31" i="3"/>
  <c r="J31" i="3"/>
  <c r="I32" i="3"/>
  <c r="J32" i="3"/>
  <c r="I33" i="3"/>
  <c r="J33" i="3"/>
  <c r="I34" i="3"/>
  <c r="J34" i="3"/>
  <c r="I35" i="3"/>
  <c r="J35" i="3"/>
  <c r="I36" i="3"/>
  <c r="J36" i="3"/>
  <c r="I37" i="3"/>
  <c r="J37" i="3"/>
  <c r="I38" i="3"/>
  <c r="J38" i="3"/>
  <c r="I39" i="3"/>
  <c r="J39" i="3"/>
  <c r="I40" i="3"/>
  <c r="J40" i="3"/>
  <c r="I41" i="3"/>
  <c r="J41" i="3"/>
  <c r="I42" i="3"/>
  <c r="J42" i="3"/>
  <c r="I43" i="3"/>
  <c r="J43" i="3"/>
  <c r="I44" i="3"/>
  <c r="J44" i="3"/>
  <c r="I45" i="3"/>
  <c r="J45" i="3"/>
  <c r="I46" i="3"/>
  <c r="J46" i="3"/>
  <c r="I47" i="3"/>
  <c r="J47" i="3"/>
  <c r="I48" i="3"/>
  <c r="J48" i="3"/>
  <c r="I49" i="3"/>
  <c r="J49" i="3"/>
  <c r="J5" i="3"/>
  <c r="I5" i="3"/>
  <c r="E6" i="3"/>
  <c r="F6" i="3"/>
  <c r="G6" i="3"/>
  <c r="E7" i="3"/>
  <c r="F7" i="3"/>
  <c r="G7" i="3"/>
  <c r="E11" i="36"/>
  <c r="F8" i="3"/>
  <c r="F11" i="35" s="1"/>
  <c r="G8" i="3"/>
  <c r="E9" i="3"/>
  <c r="F9" i="3"/>
  <c r="F12" i="35" s="1"/>
  <c r="G9" i="3"/>
  <c r="E10" i="3"/>
  <c r="F10" i="3"/>
  <c r="F13" i="35" s="1"/>
  <c r="G10" i="3"/>
  <c r="E11" i="3"/>
  <c r="F11" i="3"/>
  <c r="F14" i="35" s="1"/>
  <c r="G11" i="3"/>
  <c r="E12" i="3"/>
  <c r="F12" i="3"/>
  <c r="F15" i="35" s="1"/>
  <c r="G12" i="3"/>
  <c r="E13" i="3"/>
  <c r="F13" i="3"/>
  <c r="F16" i="35" s="1"/>
  <c r="G13" i="3"/>
  <c r="E14" i="3"/>
  <c r="F14" i="3"/>
  <c r="F17" i="35" s="1"/>
  <c r="G14" i="3"/>
  <c r="E15" i="3"/>
  <c r="F15" i="3"/>
  <c r="F18" i="35" s="1"/>
  <c r="G15" i="3"/>
  <c r="E16" i="3"/>
  <c r="F16" i="3"/>
  <c r="F19" i="35" s="1"/>
  <c r="G16" i="3"/>
  <c r="E17" i="3"/>
  <c r="F17" i="3"/>
  <c r="F20" i="35" s="1"/>
  <c r="G17" i="3"/>
  <c r="E18" i="3"/>
  <c r="F18" i="3"/>
  <c r="F21" i="35" s="1"/>
  <c r="G18" i="3"/>
  <c r="E19" i="3"/>
  <c r="F19" i="3"/>
  <c r="F22" i="35" s="1"/>
  <c r="G19" i="3"/>
  <c r="E20" i="3"/>
  <c r="F20" i="3"/>
  <c r="F23" i="35" s="1"/>
  <c r="G20" i="3"/>
  <c r="E21" i="3"/>
  <c r="F21" i="3"/>
  <c r="F24" i="35" s="1"/>
  <c r="G21" i="3"/>
  <c r="E22" i="3"/>
  <c r="F22" i="3"/>
  <c r="F25" i="35" s="1"/>
  <c r="G22" i="3"/>
  <c r="E23" i="3"/>
  <c r="F23" i="3"/>
  <c r="F26" i="35" s="1"/>
  <c r="G23" i="3"/>
  <c r="E24" i="3"/>
  <c r="F24" i="3"/>
  <c r="F27" i="35" s="1"/>
  <c r="G24" i="3"/>
  <c r="E25" i="3"/>
  <c r="F25" i="3"/>
  <c r="F28" i="35" s="1"/>
  <c r="G25" i="3"/>
  <c r="E26" i="3"/>
  <c r="F26" i="3"/>
  <c r="F29" i="35" s="1"/>
  <c r="G26" i="3"/>
  <c r="E27" i="3"/>
  <c r="F27" i="3"/>
  <c r="F30" i="35" s="1"/>
  <c r="G27" i="3"/>
  <c r="E28" i="3"/>
  <c r="F28" i="3"/>
  <c r="F31" i="35" s="1"/>
  <c r="G28" i="3"/>
  <c r="E29" i="3"/>
  <c r="F29" i="3"/>
  <c r="F32" i="35" s="1"/>
  <c r="G29" i="3"/>
  <c r="E30" i="3"/>
  <c r="F30" i="3"/>
  <c r="F33" i="35" s="1"/>
  <c r="G30" i="3"/>
  <c r="E31" i="3"/>
  <c r="F31" i="3"/>
  <c r="F34" i="35" s="1"/>
  <c r="G31" i="3"/>
  <c r="E32" i="3"/>
  <c r="F32" i="3"/>
  <c r="F35" i="35" s="1"/>
  <c r="G32" i="3"/>
  <c r="E33" i="3"/>
  <c r="F33" i="3"/>
  <c r="F36" i="35" s="1"/>
  <c r="G33" i="3"/>
  <c r="E34" i="3"/>
  <c r="F34" i="3"/>
  <c r="F37" i="35" s="1"/>
  <c r="G34" i="3"/>
  <c r="E35" i="3"/>
  <c r="F35" i="3"/>
  <c r="G35" i="3"/>
  <c r="G38" i="35" s="1"/>
  <c r="E36" i="3"/>
  <c r="F36" i="3"/>
  <c r="G36" i="3"/>
  <c r="G39" i="35" s="1"/>
  <c r="E37" i="3"/>
  <c r="F37" i="3"/>
  <c r="G37" i="3"/>
  <c r="G40" i="35" s="1"/>
  <c r="E38" i="3"/>
  <c r="F38" i="3"/>
  <c r="G38" i="3"/>
  <c r="G41" i="35" s="1"/>
  <c r="E39" i="3"/>
  <c r="F39" i="3"/>
  <c r="G39" i="3"/>
  <c r="G42" i="35" s="1"/>
  <c r="E40" i="3"/>
  <c r="F40" i="3"/>
  <c r="G40" i="3"/>
  <c r="G43" i="35" s="1"/>
  <c r="E41" i="3"/>
  <c r="F41" i="3"/>
  <c r="G41" i="3"/>
  <c r="G44" i="35" s="1"/>
  <c r="E42" i="3"/>
  <c r="F42" i="3"/>
  <c r="G42" i="3"/>
  <c r="G45" i="35" s="1"/>
  <c r="E43" i="3"/>
  <c r="F43" i="3"/>
  <c r="G43" i="3"/>
  <c r="G46" i="35" s="1"/>
  <c r="E44" i="3"/>
  <c r="F44" i="3"/>
  <c r="G44" i="3"/>
  <c r="G47" i="35" s="1"/>
  <c r="E45" i="3"/>
  <c r="F45" i="3"/>
  <c r="G45" i="3"/>
  <c r="G48" i="35" s="1"/>
  <c r="E46" i="3"/>
  <c r="F46" i="3"/>
  <c r="G46" i="3"/>
  <c r="G49" i="35" s="1"/>
  <c r="E47" i="3"/>
  <c r="F47" i="3"/>
  <c r="G47" i="3"/>
  <c r="G50" i="35" s="1"/>
  <c r="E48" i="3"/>
  <c r="F48" i="3"/>
  <c r="G48" i="3"/>
  <c r="G51" i="35" s="1"/>
  <c r="F5" i="3"/>
  <c r="G5" i="3"/>
  <c r="G8" i="36" s="1"/>
  <c r="C6" i="3"/>
  <c r="D6" i="3"/>
  <c r="H6" i="3"/>
  <c r="C7" i="3"/>
  <c r="D7" i="3"/>
  <c r="H7" i="3"/>
  <c r="C8" i="3"/>
  <c r="D8" i="3"/>
  <c r="D11" i="35" s="1"/>
  <c r="H8" i="3"/>
  <c r="C9" i="3"/>
  <c r="D9" i="3"/>
  <c r="D12" i="35" s="1"/>
  <c r="H9" i="3"/>
  <c r="C10" i="3"/>
  <c r="D10" i="3"/>
  <c r="D13" i="35" s="1"/>
  <c r="H10" i="3"/>
  <c r="C11" i="3"/>
  <c r="D11" i="3"/>
  <c r="D14" i="35" s="1"/>
  <c r="H11" i="3"/>
  <c r="C12" i="3"/>
  <c r="D12" i="3"/>
  <c r="D15" i="35" s="1"/>
  <c r="H12" i="3"/>
  <c r="C13" i="3"/>
  <c r="D13" i="3"/>
  <c r="D16" i="35" s="1"/>
  <c r="H13" i="3"/>
  <c r="C14" i="3"/>
  <c r="D14" i="3"/>
  <c r="D17" i="35" s="1"/>
  <c r="H14" i="3"/>
  <c r="C15" i="3"/>
  <c r="D15" i="3"/>
  <c r="D18" i="35" s="1"/>
  <c r="H15" i="3"/>
  <c r="C16" i="3"/>
  <c r="D16" i="3"/>
  <c r="D19" i="35" s="1"/>
  <c r="H16" i="3"/>
  <c r="C17" i="3"/>
  <c r="D17" i="3"/>
  <c r="D20" i="35" s="1"/>
  <c r="H17" i="3"/>
  <c r="C18" i="3"/>
  <c r="D18" i="3"/>
  <c r="D21" i="35" s="1"/>
  <c r="H18" i="3"/>
  <c r="C19" i="3"/>
  <c r="D19" i="3"/>
  <c r="D22" i="35" s="1"/>
  <c r="H19" i="3"/>
  <c r="C20" i="3"/>
  <c r="D20" i="3"/>
  <c r="D23" i="35" s="1"/>
  <c r="H20" i="3"/>
  <c r="C21" i="3"/>
  <c r="D21" i="3"/>
  <c r="D24" i="35" s="1"/>
  <c r="H21" i="3"/>
  <c r="C22" i="3"/>
  <c r="D22" i="3"/>
  <c r="D25" i="35" s="1"/>
  <c r="H22" i="3"/>
  <c r="C23" i="3"/>
  <c r="D23" i="3"/>
  <c r="D26" i="35" s="1"/>
  <c r="H23" i="3"/>
  <c r="C24" i="3"/>
  <c r="D24" i="3"/>
  <c r="D27" i="35" s="1"/>
  <c r="H24" i="3"/>
  <c r="C25" i="3"/>
  <c r="D25" i="3"/>
  <c r="D28" i="35" s="1"/>
  <c r="H25" i="3"/>
  <c r="C26" i="3"/>
  <c r="D26" i="3"/>
  <c r="D29" i="35" s="1"/>
  <c r="H26" i="3"/>
  <c r="C27" i="3"/>
  <c r="D27" i="3"/>
  <c r="D30" i="35" s="1"/>
  <c r="H27" i="3"/>
  <c r="C28" i="3"/>
  <c r="D28" i="3"/>
  <c r="D31" i="35" s="1"/>
  <c r="H28" i="3"/>
  <c r="C29" i="3"/>
  <c r="D29" i="3"/>
  <c r="D32" i="35" s="1"/>
  <c r="H29" i="3"/>
  <c r="C30" i="3"/>
  <c r="D30" i="3"/>
  <c r="D33" i="35" s="1"/>
  <c r="H30" i="3"/>
  <c r="C31" i="3"/>
  <c r="D31" i="3"/>
  <c r="D34" i="35" s="1"/>
  <c r="H31" i="3"/>
  <c r="C32" i="3"/>
  <c r="D32" i="3"/>
  <c r="D35" i="35" s="1"/>
  <c r="H32" i="3"/>
  <c r="C33" i="3"/>
  <c r="D33" i="3"/>
  <c r="D36" i="35" s="1"/>
  <c r="H33" i="3"/>
  <c r="C34" i="3"/>
  <c r="D34" i="3"/>
  <c r="D37" i="35" s="1"/>
  <c r="H34" i="3"/>
  <c r="C35" i="3"/>
  <c r="D35" i="3"/>
  <c r="H35" i="3"/>
  <c r="C36" i="3"/>
  <c r="D36" i="3"/>
  <c r="H36" i="3"/>
  <c r="C37" i="3"/>
  <c r="D37" i="3"/>
  <c r="H37" i="3"/>
  <c r="C38" i="3"/>
  <c r="D38" i="3"/>
  <c r="H38" i="3"/>
  <c r="C39" i="3"/>
  <c r="D39" i="3"/>
  <c r="H39" i="3"/>
  <c r="C40" i="3"/>
  <c r="D40" i="3"/>
  <c r="H40" i="3"/>
  <c r="C41" i="3"/>
  <c r="D41" i="3"/>
  <c r="H41" i="3"/>
  <c r="C42" i="3"/>
  <c r="D42" i="3"/>
  <c r="H42" i="3"/>
  <c r="C43" i="3"/>
  <c r="D43" i="3"/>
  <c r="H43" i="3"/>
  <c r="C44" i="3"/>
  <c r="D44" i="3"/>
  <c r="H44" i="3"/>
  <c r="C45" i="3"/>
  <c r="D45" i="3"/>
  <c r="H45" i="3"/>
  <c r="C46" i="3"/>
  <c r="D46" i="3"/>
  <c r="H46" i="3"/>
  <c r="C47" i="3"/>
  <c r="D47" i="3"/>
  <c r="H47" i="3"/>
  <c r="C48" i="3"/>
  <c r="D48" i="3"/>
  <c r="H48" i="3"/>
  <c r="C49" i="3"/>
  <c r="D51" i="39" s="1"/>
  <c r="D49" i="3"/>
  <c r="E49" i="3"/>
  <c r="C51" i="39" s="1"/>
  <c r="F49" i="3"/>
  <c r="G49" i="3"/>
  <c r="G77" i="35" s="1"/>
  <c r="H49" i="3"/>
  <c r="H5" i="3"/>
  <c r="D5" i="3"/>
  <c r="C5" i="3"/>
  <c r="D7" i="39" s="1"/>
  <c r="E5" i="3"/>
  <c r="B3" i="33"/>
  <c r="B2" i="33"/>
  <c r="C32" i="35" l="1"/>
  <c r="D31" i="39"/>
  <c r="C48" i="38"/>
  <c r="C50" i="35"/>
  <c r="D49" i="39"/>
  <c r="D37" i="38"/>
  <c r="D39" i="35"/>
  <c r="C34" i="35"/>
  <c r="D33" i="39"/>
  <c r="C26" i="35"/>
  <c r="D25" i="39"/>
  <c r="E49" i="38"/>
  <c r="E51" i="35"/>
  <c r="C50" i="39"/>
  <c r="F46" i="38"/>
  <c r="F48" i="35"/>
  <c r="F38" i="38"/>
  <c r="F40" i="35"/>
  <c r="E8" i="36"/>
  <c r="C7" i="39"/>
  <c r="E6" i="38"/>
  <c r="C45" i="38"/>
  <c r="C47" i="35"/>
  <c r="D46" i="39"/>
  <c r="D42" i="38"/>
  <c r="D44" i="35"/>
  <c r="C37" i="38"/>
  <c r="C39" i="35"/>
  <c r="D38" i="39"/>
  <c r="C31" i="35"/>
  <c r="D30" i="39"/>
  <c r="C23" i="35"/>
  <c r="D22" i="39"/>
  <c r="C15" i="35"/>
  <c r="D14" i="39"/>
  <c r="E46" i="38"/>
  <c r="E48" i="35"/>
  <c r="C47" i="39"/>
  <c r="F43" i="38"/>
  <c r="F45" i="35"/>
  <c r="E38" i="38"/>
  <c r="E40" i="35"/>
  <c r="C39" i="39"/>
  <c r="G34" i="36"/>
  <c r="G34" i="35"/>
  <c r="E32" i="35"/>
  <c r="C31" i="39"/>
  <c r="G26" i="36"/>
  <c r="G26" i="35"/>
  <c r="E24" i="35"/>
  <c r="C23" i="39"/>
  <c r="G18" i="36"/>
  <c r="G18" i="35"/>
  <c r="E16" i="35"/>
  <c r="C15" i="39"/>
  <c r="G10" i="36"/>
  <c r="G10" i="35"/>
  <c r="C42" i="38"/>
  <c r="C44" i="35"/>
  <c r="D43" i="39"/>
  <c r="D9" i="36"/>
  <c r="D9" i="35"/>
  <c r="D7" i="38"/>
  <c r="E43" i="38"/>
  <c r="E45" i="35"/>
  <c r="C44" i="39"/>
  <c r="F40" i="38"/>
  <c r="F42" i="35"/>
  <c r="G31" i="36"/>
  <c r="G31" i="35"/>
  <c r="G23" i="36"/>
  <c r="G23" i="35"/>
  <c r="E21" i="35"/>
  <c r="C20" i="39"/>
  <c r="G15" i="36"/>
  <c r="G15" i="35"/>
  <c r="E13" i="35"/>
  <c r="C12" i="39"/>
  <c r="F10" i="36"/>
  <c r="F10" i="35"/>
  <c r="F8" i="38"/>
  <c r="D47" i="38"/>
  <c r="D49" i="35"/>
  <c r="C36" i="35"/>
  <c r="D35" i="39"/>
  <c r="C28" i="35"/>
  <c r="D27" i="39"/>
  <c r="C20" i="35"/>
  <c r="D19" i="39"/>
  <c r="C12" i="35"/>
  <c r="D11" i="39"/>
  <c r="F48" i="38"/>
  <c r="F50" i="35"/>
  <c r="E37" i="35"/>
  <c r="C36" i="39"/>
  <c r="E29" i="35"/>
  <c r="C28" i="39"/>
  <c r="D6" i="38"/>
  <c r="C47" i="38"/>
  <c r="C49" i="35"/>
  <c r="D48" i="39"/>
  <c r="D44" i="38"/>
  <c r="D46" i="35"/>
  <c r="C39" i="38"/>
  <c r="C41" i="35"/>
  <c r="D40" i="39"/>
  <c r="D36" i="38"/>
  <c r="D38" i="35"/>
  <c r="C33" i="35"/>
  <c r="D32" i="39"/>
  <c r="C25" i="35"/>
  <c r="D24" i="39"/>
  <c r="C17" i="35"/>
  <c r="D16" i="39"/>
  <c r="C9" i="35"/>
  <c r="D8" i="39"/>
  <c r="E48" i="38"/>
  <c r="E50" i="35"/>
  <c r="C49" i="39"/>
  <c r="F45" i="38"/>
  <c r="F47" i="35"/>
  <c r="E40" i="38"/>
  <c r="E42" i="35"/>
  <c r="C41" i="39"/>
  <c r="F37" i="38"/>
  <c r="F39" i="35"/>
  <c r="G36" i="36"/>
  <c r="G36" i="35"/>
  <c r="E34" i="35"/>
  <c r="C33" i="39"/>
  <c r="G28" i="36"/>
  <c r="G28" i="35"/>
  <c r="E26" i="35"/>
  <c r="C25" i="39"/>
  <c r="G20" i="36"/>
  <c r="G20" i="35"/>
  <c r="E18" i="35"/>
  <c r="C17" i="39"/>
  <c r="G12" i="36"/>
  <c r="G12" i="35"/>
  <c r="E10" i="36"/>
  <c r="E10" i="35"/>
  <c r="C9" i="39"/>
  <c r="E8" i="38"/>
  <c r="D39" i="38"/>
  <c r="D41" i="35"/>
  <c r="D49" i="38"/>
  <c r="D51" i="35"/>
  <c r="D41" i="38"/>
  <c r="D43" i="35"/>
  <c r="C30" i="35"/>
  <c r="D29" i="39"/>
  <c r="C14" i="35"/>
  <c r="D13" i="39"/>
  <c r="E45" i="38"/>
  <c r="E47" i="35"/>
  <c r="C46" i="39"/>
  <c r="F42" i="38"/>
  <c r="F44" i="35"/>
  <c r="E37" i="38"/>
  <c r="E39" i="35"/>
  <c r="C38" i="39"/>
  <c r="G33" i="36"/>
  <c r="G33" i="35"/>
  <c r="E31" i="35"/>
  <c r="C30" i="39"/>
  <c r="G25" i="36"/>
  <c r="G25" i="35"/>
  <c r="E23" i="35"/>
  <c r="C22" i="39"/>
  <c r="G17" i="36"/>
  <c r="G17" i="35"/>
  <c r="E15" i="35"/>
  <c r="C14" i="39"/>
  <c r="G9" i="36"/>
  <c r="G9" i="35"/>
  <c r="C44" i="38"/>
  <c r="C46" i="35"/>
  <c r="D45" i="39"/>
  <c r="C36" i="38"/>
  <c r="C38" i="35"/>
  <c r="D37" i="39"/>
  <c r="C22" i="35"/>
  <c r="D21" i="39"/>
  <c r="C49" i="38"/>
  <c r="C51" i="35"/>
  <c r="D50" i="39"/>
  <c r="D46" i="38"/>
  <c r="D48" i="35"/>
  <c r="C41" i="38"/>
  <c r="C43" i="35"/>
  <c r="D42" i="39"/>
  <c r="D38" i="38"/>
  <c r="D40" i="35"/>
  <c r="C35" i="35"/>
  <c r="D34" i="39"/>
  <c r="C27" i="35"/>
  <c r="D26" i="39"/>
  <c r="C19" i="35"/>
  <c r="D18" i="39"/>
  <c r="C11" i="35"/>
  <c r="D10" i="39"/>
  <c r="F8" i="36"/>
  <c r="F6" i="38"/>
  <c r="F47" i="38"/>
  <c r="F49" i="35"/>
  <c r="E42" i="38"/>
  <c r="E44" i="35"/>
  <c r="C43" i="39"/>
  <c r="F39" i="38"/>
  <c r="F41" i="35"/>
  <c r="E36" i="35"/>
  <c r="C35" i="39"/>
  <c r="G30" i="36"/>
  <c r="G30" i="35"/>
  <c r="E28" i="35"/>
  <c r="C27" i="39"/>
  <c r="G22" i="36"/>
  <c r="G22" i="35"/>
  <c r="E20" i="35"/>
  <c r="C19" i="39"/>
  <c r="G14" i="36"/>
  <c r="G14" i="35"/>
  <c r="E12" i="35"/>
  <c r="C11" i="39"/>
  <c r="F9" i="36"/>
  <c r="F9" i="35"/>
  <c r="F7" i="38"/>
  <c r="C24" i="35"/>
  <c r="D23" i="39"/>
  <c r="C16" i="35"/>
  <c r="D15" i="39"/>
  <c r="F36" i="38"/>
  <c r="F38" i="35"/>
  <c r="E33" i="35"/>
  <c r="C32" i="39"/>
  <c r="E25" i="35"/>
  <c r="C24" i="39"/>
  <c r="G19" i="36"/>
  <c r="G19" i="35"/>
  <c r="E17" i="35"/>
  <c r="C16" i="39"/>
  <c r="G11" i="36"/>
  <c r="G11" i="35"/>
  <c r="E9" i="36"/>
  <c r="E9" i="35"/>
  <c r="C8" i="39"/>
  <c r="E7" i="38"/>
  <c r="C46" i="38"/>
  <c r="C48" i="35"/>
  <c r="D47" i="39"/>
  <c r="E47" i="38"/>
  <c r="E49" i="35"/>
  <c r="C48" i="39"/>
  <c r="F44" i="38"/>
  <c r="F46" i="35"/>
  <c r="E39" i="38"/>
  <c r="E41" i="35"/>
  <c r="C40" i="39"/>
  <c r="G35" i="36"/>
  <c r="G35" i="35"/>
  <c r="G27" i="36"/>
  <c r="G27" i="35"/>
  <c r="F77" i="35"/>
  <c r="F50" i="38"/>
  <c r="D48" i="38"/>
  <c r="D50" i="35"/>
  <c r="C43" i="38"/>
  <c r="C45" i="35"/>
  <c r="D44" i="39"/>
  <c r="D40" i="38"/>
  <c r="D42" i="35"/>
  <c r="C37" i="35"/>
  <c r="D36" i="39"/>
  <c r="C29" i="35"/>
  <c r="D28" i="39"/>
  <c r="C21" i="35"/>
  <c r="D20" i="39"/>
  <c r="C13" i="35"/>
  <c r="D12" i="39"/>
  <c r="D10" i="36"/>
  <c r="D10" i="35"/>
  <c r="D8" i="38"/>
  <c r="F49" i="38"/>
  <c r="F51" i="35"/>
  <c r="E44" i="38"/>
  <c r="E46" i="35"/>
  <c r="C45" i="39"/>
  <c r="F41" i="38"/>
  <c r="F43" i="35"/>
  <c r="E36" i="38"/>
  <c r="E38" i="35"/>
  <c r="C37" i="39"/>
  <c r="G32" i="36"/>
  <c r="G32" i="35"/>
  <c r="E30" i="35"/>
  <c r="C29" i="39"/>
  <c r="G24" i="36"/>
  <c r="G24" i="35"/>
  <c r="E22" i="35"/>
  <c r="C21" i="39"/>
  <c r="G16" i="36"/>
  <c r="G16" i="35"/>
  <c r="E14" i="35"/>
  <c r="C13" i="39"/>
  <c r="D43" i="38"/>
  <c r="D45" i="35"/>
  <c r="C38" i="38"/>
  <c r="C40" i="35"/>
  <c r="D39" i="39"/>
  <c r="D45" i="38"/>
  <c r="D47" i="35"/>
  <c r="C40" i="38"/>
  <c r="C42" i="35"/>
  <c r="D41" i="39"/>
  <c r="C18" i="35"/>
  <c r="D17" i="39"/>
  <c r="C10" i="35"/>
  <c r="D9" i="39"/>
  <c r="E41" i="38"/>
  <c r="E43" i="35"/>
  <c r="C42" i="39"/>
  <c r="G37" i="36"/>
  <c r="G37" i="35"/>
  <c r="E35" i="35"/>
  <c r="C34" i="39"/>
  <c r="G29" i="36"/>
  <c r="G29" i="35"/>
  <c r="E27" i="35"/>
  <c r="C26" i="39"/>
  <c r="G21" i="36"/>
  <c r="G21" i="35"/>
  <c r="E19" i="35"/>
  <c r="C18" i="39"/>
  <c r="G13" i="36"/>
  <c r="G13" i="35"/>
  <c r="C10" i="36"/>
  <c r="C8" i="38"/>
  <c r="C9" i="36"/>
  <c r="C7" i="38"/>
  <c r="C8" i="36"/>
  <c r="C6" i="38"/>
  <c r="C24" i="36"/>
  <c r="C22" i="38"/>
  <c r="C37" i="36"/>
  <c r="C35" i="38"/>
  <c r="C29" i="36"/>
  <c r="C27" i="38"/>
  <c r="C34" i="36"/>
  <c r="C32" i="38"/>
  <c r="D36" i="36"/>
  <c r="D34" i="38"/>
  <c r="C31" i="36"/>
  <c r="C29" i="38"/>
  <c r="D28" i="36"/>
  <c r="D26" i="38"/>
  <c r="C23" i="36"/>
  <c r="C21" i="38"/>
  <c r="D20" i="36"/>
  <c r="D18" i="38"/>
  <c r="C15" i="36"/>
  <c r="C13" i="38"/>
  <c r="D12" i="36"/>
  <c r="D10" i="38"/>
  <c r="F37" i="36"/>
  <c r="F35" i="38"/>
  <c r="E32" i="36"/>
  <c r="E30" i="38"/>
  <c r="F29" i="36"/>
  <c r="F27" i="38"/>
  <c r="E24" i="36"/>
  <c r="E22" i="38"/>
  <c r="F21" i="36"/>
  <c r="F19" i="38"/>
  <c r="E16" i="36"/>
  <c r="E14" i="38"/>
  <c r="F13" i="36"/>
  <c r="F11" i="38"/>
  <c r="E37" i="36"/>
  <c r="E35" i="38"/>
  <c r="F34" i="36"/>
  <c r="F32" i="38"/>
  <c r="E29" i="36"/>
  <c r="E27" i="38"/>
  <c r="F26" i="36"/>
  <c r="F24" i="38"/>
  <c r="E21" i="36"/>
  <c r="E19" i="38"/>
  <c r="F18" i="36"/>
  <c r="F16" i="38"/>
  <c r="E13" i="36"/>
  <c r="E11" i="38"/>
  <c r="D33" i="36"/>
  <c r="D31" i="38"/>
  <c r="D25" i="36"/>
  <c r="D23" i="38"/>
  <c r="D17" i="36"/>
  <c r="D15" i="38"/>
  <c r="C33" i="36"/>
  <c r="C31" i="38"/>
  <c r="D30" i="36"/>
  <c r="D28" i="38"/>
  <c r="C25" i="36"/>
  <c r="C23" i="38"/>
  <c r="D14" i="36"/>
  <c r="D12" i="38"/>
  <c r="E34" i="36"/>
  <c r="E32" i="38"/>
  <c r="F31" i="36"/>
  <c r="F29" i="38"/>
  <c r="E26" i="36"/>
  <c r="E24" i="38"/>
  <c r="F23" i="36"/>
  <c r="F21" i="38"/>
  <c r="E18" i="36"/>
  <c r="E16" i="38"/>
  <c r="F15" i="36"/>
  <c r="F13" i="38"/>
  <c r="C28" i="36"/>
  <c r="C26" i="38"/>
  <c r="D22" i="36"/>
  <c r="D20" i="38"/>
  <c r="D27" i="36"/>
  <c r="D25" i="38"/>
  <c r="C22" i="36"/>
  <c r="C20" i="38"/>
  <c r="D19" i="36"/>
  <c r="D17" i="38"/>
  <c r="C14" i="36"/>
  <c r="C12" i="38"/>
  <c r="D11" i="36"/>
  <c r="D9" i="38"/>
  <c r="F36" i="36"/>
  <c r="F34" i="38"/>
  <c r="E31" i="36"/>
  <c r="E29" i="38"/>
  <c r="F28" i="36"/>
  <c r="F26" i="38"/>
  <c r="E23" i="36"/>
  <c r="E21" i="38"/>
  <c r="F20" i="36"/>
  <c r="F18" i="38"/>
  <c r="E15" i="36"/>
  <c r="E13" i="38"/>
  <c r="F12" i="36"/>
  <c r="F10" i="38"/>
  <c r="C36" i="36"/>
  <c r="C34" i="38"/>
  <c r="C20" i="36"/>
  <c r="C18" i="38"/>
  <c r="C12" i="36"/>
  <c r="C10" i="38"/>
  <c r="C17" i="36"/>
  <c r="C15" i="38"/>
  <c r="D35" i="36"/>
  <c r="D33" i="38"/>
  <c r="C30" i="36"/>
  <c r="C28" i="38"/>
  <c r="C35" i="36"/>
  <c r="C33" i="38"/>
  <c r="D32" i="36"/>
  <c r="D30" i="38"/>
  <c r="C27" i="36"/>
  <c r="C25" i="38"/>
  <c r="D24" i="36"/>
  <c r="D22" i="38"/>
  <c r="C19" i="36"/>
  <c r="C17" i="38"/>
  <c r="D16" i="36"/>
  <c r="D14" i="38"/>
  <c r="C11" i="36"/>
  <c r="C9" i="38"/>
  <c r="E36" i="36"/>
  <c r="E34" i="38"/>
  <c r="F33" i="36"/>
  <c r="F31" i="38"/>
  <c r="E28" i="36"/>
  <c r="E26" i="38"/>
  <c r="F25" i="36"/>
  <c r="F23" i="38"/>
  <c r="E20" i="36"/>
  <c r="E18" i="38"/>
  <c r="F17" i="36"/>
  <c r="F15" i="38"/>
  <c r="E12" i="36"/>
  <c r="E10" i="38"/>
  <c r="C32" i="36"/>
  <c r="C30" i="38"/>
  <c r="D13" i="36"/>
  <c r="D11" i="38"/>
  <c r="E33" i="36"/>
  <c r="E31" i="38"/>
  <c r="F30" i="36"/>
  <c r="F28" i="38"/>
  <c r="E25" i="36"/>
  <c r="E23" i="38"/>
  <c r="F22" i="36"/>
  <c r="F20" i="38"/>
  <c r="E17" i="36"/>
  <c r="E15" i="38"/>
  <c r="F14" i="36"/>
  <c r="F12" i="38"/>
  <c r="C21" i="36"/>
  <c r="C19" i="38"/>
  <c r="D18" i="36"/>
  <c r="D16" i="38"/>
  <c r="C13" i="36"/>
  <c r="C11" i="38"/>
  <c r="F35" i="36"/>
  <c r="F33" i="38"/>
  <c r="E30" i="36"/>
  <c r="E28" i="38"/>
  <c r="F27" i="36"/>
  <c r="F25" i="38"/>
  <c r="E22" i="36"/>
  <c r="E20" i="38"/>
  <c r="F19" i="36"/>
  <c r="F17" i="38"/>
  <c r="E14" i="36"/>
  <c r="E12" i="38"/>
  <c r="F11" i="36"/>
  <c r="F9" i="38"/>
  <c r="D37" i="36"/>
  <c r="D35" i="38"/>
  <c r="D29" i="36"/>
  <c r="D27" i="38"/>
  <c r="D21" i="36"/>
  <c r="D19" i="38"/>
  <c r="C16" i="36"/>
  <c r="C14" i="38"/>
  <c r="D34" i="36"/>
  <c r="D32" i="38"/>
  <c r="D26" i="36"/>
  <c r="D24" i="38"/>
  <c r="D31" i="36"/>
  <c r="D29" i="38"/>
  <c r="C26" i="36"/>
  <c r="C24" i="38"/>
  <c r="D23" i="36"/>
  <c r="D21" i="38"/>
  <c r="C18" i="36"/>
  <c r="C16" i="38"/>
  <c r="D15" i="36"/>
  <c r="D13" i="38"/>
  <c r="E35" i="36"/>
  <c r="E33" i="38"/>
  <c r="F32" i="36"/>
  <c r="F30" i="38"/>
  <c r="E27" i="36"/>
  <c r="E25" i="38"/>
  <c r="F24" i="36"/>
  <c r="F22" i="38"/>
  <c r="E19" i="36"/>
  <c r="E17" i="38"/>
  <c r="F16" i="36"/>
  <c r="F14" i="38"/>
  <c r="C77" i="35"/>
  <c r="C50" i="38"/>
  <c r="D77" i="35"/>
  <c r="D50" i="38"/>
  <c r="E77" i="35"/>
  <c r="E50" i="38"/>
  <c r="C51" i="36"/>
  <c r="C47" i="36"/>
  <c r="D44" i="36"/>
  <c r="D40" i="36"/>
  <c r="C39" i="36"/>
  <c r="G50" i="36"/>
  <c r="E48" i="36"/>
  <c r="F45" i="36"/>
  <c r="E44" i="36"/>
  <c r="F41" i="36"/>
  <c r="G38" i="36"/>
  <c r="C48" i="36"/>
  <c r="D45" i="36"/>
  <c r="C44" i="36"/>
  <c r="D41" i="36"/>
  <c r="C40" i="36"/>
  <c r="G51" i="36"/>
  <c r="F50" i="36"/>
  <c r="E49" i="36"/>
  <c r="G47" i="36"/>
  <c r="F46" i="36"/>
  <c r="E45" i="36"/>
  <c r="G43" i="36"/>
  <c r="F42" i="36"/>
  <c r="E41" i="36"/>
  <c r="G39" i="36"/>
  <c r="F38" i="36"/>
  <c r="D48" i="36"/>
  <c r="C43" i="36"/>
  <c r="F49" i="36"/>
  <c r="G46" i="36"/>
  <c r="G42" i="36"/>
  <c r="E40" i="36"/>
  <c r="D49" i="36"/>
  <c r="D50" i="36"/>
  <c r="C49" i="36"/>
  <c r="D46" i="36"/>
  <c r="C45" i="36"/>
  <c r="D42" i="36"/>
  <c r="C41" i="36"/>
  <c r="D38" i="36"/>
  <c r="F51" i="36"/>
  <c r="E50" i="36"/>
  <c r="G48" i="36"/>
  <c r="F47" i="36"/>
  <c r="E46" i="36"/>
  <c r="G44" i="36"/>
  <c r="F43" i="36"/>
  <c r="E42" i="36"/>
  <c r="G40" i="36"/>
  <c r="F39" i="36"/>
  <c r="E38" i="36"/>
  <c r="D51" i="36"/>
  <c r="C50" i="36"/>
  <c r="D47" i="36"/>
  <c r="C46" i="36"/>
  <c r="D43" i="36"/>
  <c r="C42" i="36"/>
  <c r="D39" i="36"/>
  <c r="C38" i="36"/>
  <c r="E51" i="36"/>
  <c r="G49" i="36"/>
  <c r="F48" i="36"/>
  <c r="E47" i="36"/>
  <c r="G45" i="36"/>
  <c r="F44" i="36"/>
  <c r="E43" i="36"/>
  <c r="G41" i="36"/>
  <c r="F40" i="36"/>
  <c r="E39" i="36"/>
  <c r="D8" i="36"/>
  <c r="E8" i="35"/>
  <c r="F8" i="35"/>
  <c r="C8" i="35"/>
  <c r="D8" i="35"/>
  <c r="G8" i="35"/>
  <c r="AU8" i="13"/>
  <c r="AU9" i="13"/>
  <c r="AU10" i="13"/>
  <c r="AU11" i="13"/>
  <c r="AU12" i="13"/>
  <c r="AU13" i="13"/>
  <c r="AU14" i="13"/>
  <c r="AU15" i="13"/>
  <c r="AU16" i="13"/>
  <c r="AU17" i="13"/>
  <c r="AU18" i="13"/>
  <c r="AU19" i="13"/>
  <c r="AU20" i="13"/>
  <c r="AU21" i="13"/>
  <c r="AU22" i="13"/>
  <c r="AU23" i="13"/>
  <c r="AU24" i="13"/>
  <c r="AU25" i="13"/>
  <c r="AU26" i="13"/>
  <c r="AU27" i="13"/>
  <c r="AU28" i="13"/>
  <c r="AU29" i="13"/>
  <c r="AU30" i="13"/>
  <c r="AU31" i="13"/>
  <c r="AU32" i="13"/>
  <c r="AU33" i="13"/>
  <c r="AU34" i="13"/>
  <c r="AU35" i="13"/>
  <c r="AU36" i="13"/>
  <c r="AU37" i="13"/>
  <c r="AU38" i="13"/>
  <c r="AU39" i="13"/>
  <c r="AU40" i="13"/>
  <c r="AU41" i="13"/>
  <c r="AU42" i="13"/>
  <c r="AU43" i="13"/>
  <c r="AU44" i="13"/>
  <c r="AU45" i="13"/>
  <c r="AU46" i="13"/>
  <c r="AU47" i="13"/>
  <c r="AU48" i="13"/>
  <c r="AU49" i="13"/>
  <c r="AU50" i="13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8" i="11"/>
  <c r="GA53" i="13"/>
  <c r="GB53" i="13"/>
  <c r="H77" i="35" l="1"/>
  <c r="C51" i="13"/>
  <c r="D51" i="13"/>
  <c r="E51" i="13"/>
  <c r="F51" i="13"/>
  <c r="G51" i="13"/>
  <c r="H51" i="13"/>
  <c r="I51" i="13"/>
  <c r="J51" i="13"/>
  <c r="K51" i="13"/>
  <c r="L51" i="13"/>
  <c r="M51" i="13" s="1"/>
  <c r="N51" i="13"/>
  <c r="O51" i="13" s="1"/>
  <c r="P51" i="13"/>
  <c r="Q51" i="13" s="1"/>
  <c r="U51" i="13"/>
  <c r="V51" i="13"/>
  <c r="W51" i="13"/>
  <c r="Y51" i="13"/>
  <c r="AC51" i="13"/>
  <c r="AD51" i="13" s="1"/>
  <c r="AH51" i="13"/>
  <c r="AJ51" i="13"/>
  <c r="AL51" i="13"/>
  <c r="AQ51" i="13"/>
  <c r="AR51" i="13"/>
  <c r="AS51" i="13"/>
  <c r="AU51" i="13"/>
  <c r="AY51" i="13"/>
  <c r="BA51" i="13" s="1"/>
  <c r="Q51" i="17" s="1"/>
  <c r="BC51" i="13"/>
  <c r="BE51" i="13"/>
  <c r="BF51" i="13" s="1"/>
  <c r="BG51" i="13"/>
  <c r="BL51" i="13"/>
  <c r="BM51" i="13"/>
  <c r="BN51" i="13"/>
  <c r="BP51" i="13"/>
  <c r="BT51" i="13"/>
  <c r="BX51" i="13"/>
  <c r="BZ51" i="13"/>
  <c r="CB51" i="13"/>
  <c r="CG51" i="13"/>
  <c r="CH51" i="13"/>
  <c r="CI51" i="13"/>
  <c r="CK51" i="13"/>
  <c r="CO51" i="13"/>
  <c r="CP51" i="13" s="1"/>
  <c r="CS51" i="13"/>
  <c r="CU51" i="13"/>
  <c r="CW51" i="13"/>
  <c r="DB51" i="13"/>
  <c r="DC51" i="13"/>
  <c r="DD51" i="13"/>
  <c r="DF51" i="13"/>
  <c r="DJ51" i="13"/>
  <c r="DL51" i="13" s="1"/>
  <c r="AG51" i="13" l="1"/>
  <c r="DS51" i="13"/>
  <c r="J51" i="39" s="1"/>
  <c r="X51" i="29"/>
  <c r="X51" i="30"/>
  <c r="FN51" i="13"/>
  <c r="FS51" i="13" s="1"/>
  <c r="EH51" i="13"/>
  <c r="ET51" i="13" s="1"/>
  <c r="EE51" i="13"/>
  <c r="EQ51" i="13" s="1"/>
  <c r="EC51" i="13"/>
  <c r="I51" i="39"/>
  <c r="Z51" i="13"/>
  <c r="P51" i="20"/>
  <c r="BU51" i="13"/>
  <c r="BV51" i="13"/>
  <c r="EF51" i="13" s="1"/>
  <c r="ER51" i="13" s="1"/>
  <c r="S51" i="13"/>
  <c r="DM51" i="13"/>
  <c r="DK51" i="13"/>
  <c r="CQ51" i="13"/>
  <c r="EG51" i="13" s="1"/>
  <c r="ES51" i="13" s="1"/>
  <c r="BB51" i="13"/>
  <c r="R51" i="13"/>
  <c r="AZ51" i="13"/>
  <c r="EO51" i="13" l="1"/>
  <c r="Y51" i="29"/>
  <c r="Y51" i="30"/>
  <c r="FR51" i="13"/>
  <c r="FU51" i="13"/>
  <c r="FT51" i="13"/>
  <c r="FP51" i="13"/>
  <c r="FA51" i="13"/>
  <c r="FG51" i="13" s="1"/>
  <c r="P51" i="19"/>
  <c r="P51" i="18"/>
  <c r="T51" i="13"/>
  <c r="AA51" i="13" s="1"/>
  <c r="DX51" i="13" s="1"/>
  <c r="EV51" i="13" s="1"/>
  <c r="CR51" i="13"/>
  <c r="EJ51" i="13" l="1"/>
  <c r="X51" i="13"/>
  <c r="AB51" i="13"/>
  <c r="P51" i="4" l="1"/>
  <c r="ED51" i="13"/>
  <c r="AF51" i="13"/>
  <c r="FO51" i="13" l="1"/>
  <c r="EP51" i="13"/>
  <c r="FB51" i="13"/>
  <c r="FQ51" i="13" l="1"/>
  <c r="FY51" i="13"/>
  <c r="FZ51" i="13" s="1"/>
  <c r="FX51" i="13"/>
  <c r="FR69" i="13"/>
  <c r="FN69" i="13"/>
  <c r="FM69" i="13"/>
  <c r="FN58" i="13"/>
  <c r="FN59" i="13" l="1"/>
  <c r="FN60" i="13"/>
  <c r="FN61" i="13"/>
  <c r="FN62" i="13"/>
  <c r="FN57" i="13"/>
  <c r="N55" i="30" l="1"/>
  <c r="B56" i="30"/>
  <c r="C56" i="30"/>
  <c r="D56" i="30"/>
  <c r="E56" i="30"/>
  <c r="F56" i="30"/>
  <c r="G56" i="30"/>
  <c r="H56" i="30"/>
  <c r="I56" i="30"/>
  <c r="J56" i="30"/>
  <c r="K56" i="30"/>
  <c r="L56" i="30"/>
  <c r="M56" i="30"/>
  <c r="Z56" i="30"/>
  <c r="AA56" i="30"/>
  <c r="AB56" i="30"/>
  <c r="AC56" i="30"/>
  <c r="AD56" i="30"/>
  <c r="AE56" i="30"/>
  <c r="O51" i="30"/>
  <c r="N51" i="30"/>
  <c r="M51" i="30"/>
  <c r="L51" i="30"/>
  <c r="K51" i="30"/>
  <c r="J51" i="30"/>
  <c r="I51" i="30"/>
  <c r="H51" i="30"/>
  <c r="G51" i="30"/>
  <c r="F51" i="30"/>
  <c r="E51" i="30"/>
  <c r="AC6" i="30"/>
  <c r="B3" i="30"/>
  <c r="B2" i="30"/>
  <c r="D56" i="29"/>
  <c r="D98" i="29"/>
  <c r="AF98" i="29"/>
  <c r="AE56" i="29"/>
  <c r="AE98" i="29" s="1"/>
  <c r="AD56" i="29"/>
  <c r="AD98" i="29" s="1"/>
  <c r="AA56" i="29"/>
  <c r="AA98" i="29" s="1"/>
  <c r="AB56" i="29"/>
  <c r="AB98" i="29" s="1"/>
  <c r="AC56" i="29"/>
  <c r="AC98" i="29" s="1"/>
  <c r="Z56" i="29"/>
  <c r="Z98" i="29" s="1"/>
  <c r="N55" i="29"/>
  <c r="M98" i="29" l="1"/>
  <c r="L98" i="29"/>
  <c r="K98" i="29"/>
  <c r="J98" i="29"/>
  <c r="I98" i="29"/>
  <c r="H98" i="29"/>
  <c r="G98" i="29"/>
  <c r="F98" i="29"/>
  <c r="E98" i="29"/>
  <c r="C98" i="29"/>
  <c r="B98" i="29"/>
  <c r="AG97" i="29"/>
  <c r="M56" i="29"/>
  <c r="L56" i="29"/>
  <c r="K56" i="29"/>
  <c r="J56" i="29"/>
  <c r="I56" i="29"/>
  <c r="H56" i="29"/>
  <c r="G56" i="29"/>
  <c r="F56" i="29"/>
  <c r="E56" i="29"/>
  <c r="C56" i="29"/>
  <c r="B56" i="29"/>
  <c r="O51" i="29"/>
  <c r="N51" i="29"/>
  <c r="M51" i="29"/>
  <c r="L51" i="29"/>
  <c r="K51" i="29"/>
  <c r="J51" i="29"/>
  <c r="I51" i="29"/>
  <c r="H51" i="29"/>
  <c r="G51" i="29"/>
  <c r="F51" i="29"/>
  <c r="E51" i="29"/>
  <c r="AC6" i="29"/>
  <c r="B3" i="29"/>
  <c r="B2" i="29"/>
  <c r="AB52" i="13" l="1"/>
  <c r="B2" i="4"/>
  <c r="B3" i="14" l="1"/>
  <c r="B3" i="19"/>
  <c r="B2" i="14"/>
  <c r="B2" i="19"/>
  <c r="K3" i="26"/>
  <c r="L3" i="26"/>
  <c r="C7" i="14" l="1"/>
  <c r="H7" i="14"/>
  <c r="CN52" i="13"/>
  <c r="G7" i="14" s="1"/>
  <c r="BS52" i="13"/>
  <c r="F7" i="14" s="1"/>
  <c r="B3" i="13" l="1"/>
  <c r="B51" i="13"/>
  <c r="W9" i="24" l="1"/>
  <c r="H9" i="24"/>
  <c r="G8" i="24"/>
  <c r="E7" i="24"/>
  <c r="E6" i="24"/>
  <c r="B3" i="26" l="1"/>
  <c r="B22" i="26" s="1"/>
  <c r="B2" i="26"/>
  <c r="FT6" i="13"/>
  <c r="DM6" i="13"/>
  <c r="J50" i="24"/>
  <c r="FN54" i="13" l="1"/>
  <c r="B3" i="11"/>
  <c r="B3" i="22"/>
  <c r="B2" i="11"/>
  <c r="B2" i="22"/>
  <c r="B3" i="20"/>
  <c r="B2" i="20"/>
  <c r="B3" i="18"/>
  <c r="B2" i="18"/>
  <c r="B3" i="17"/>
  <c r="B2" i="17"/>
  <c r="B3" i="4"/>
  <c r="B3" i="3"/>
  <c r="B2" i="3"/>
  <c r="F49" i="24"/>
  <c r="V50" i="24"/>
  <c r="Q50" i="24"/>
  <c r="BX3" i="13" l="1"/>
  <c r="BC3" i="13"/>
  <c r="BC70" i="13" l="1"/>
  <c r="R2" i="30"/>
  <c r="R2" i="29"/>
  <c r="AH70" i="13"/>
  <c r="P2" i="30"/>
  <c r="P2" i="29"/>
  <c r="CS70" i="13"/>
  <c r="V2" i="30"/>
  <c r="V2" i="29"/>
  <c r="BX70" i="13"/>
  <c r="T2" i="30"/>
  <c r="T2" i="29"/>
  <c r="DJ8" i="13"/>
  <c r="DJ9" i="13"/>
  <c r="DJ10" i="13"/>
  <c r="DJ11" i="13"/>
  <c r="DJ12" i="13"/>
  <c r="DJ13" i="13"/>
  <c r="DJ14" i="13"/>
  <c r="DJ15" i="13"/>
  <c r="DJ16" i="13"/>
  <c r="DJ17" i="13"/>
  <c r="DJ18" i="13"/>
  <c r="DJ19" i="13"/>
  <c r="DJ20" i="13"/>
  <c r="DJ21" i="13"/>
  <c r="DJ22" i="13"/>
  <c r="DJ23" i="13"/>
  <c r="DJ24" i="13"/>
  <c r="DJ25" i="13"/>
  <c r="DJ26" i="13"/>
  <c r="DJ27" i="13"/>
  <c r="DJ28" i="13"/>
  <c r="DJ29" i="13"/>
  <c r="DJ30" i="13"/>
  <c r="DJ31" i="13"/>
  <c r="DJ32" i="13"/>
  <c r="DJ33" i="13"/>
  <c r="DJ34" i="13"/>
  <c r="DJ35" i="13"/>
  <c r="DJ36" i="13"/>
  <c r="DJ37" i="13"/>
  <c r="DJ38" i="13"/>
  <c r="DJ39" i="13"/>
  <c r="DJ40" i="13"/>
  <c r="DJ41" i="13"/>
  <c r="DJ42" i="13"/>
  <c r="DJ43" i="13"/>
  <c r="DJ44" i="13"/>
  <c r="DJ45" i="13"/>
  <c r="DJ46" i="13"/>
  <c r="DJ47" i="13"/>
  <c r="DJ48" i="13"/>
  <c r="DJ49" i="13"/>
  <c r="DJ50" i="13"/>
  <c r="DJ112" i="13"/>
  <c r="DJ7" i="13"/>
  <c r="CO8" i="13"/>
  <c r="CO9" i="13"/>
  <c r="CP9" i="13" s="1"/>
  <c r="CO10" i="13"/>
  <c r="CO11" i="13"/>
  <c r="CO12" i="13"/>
  <c r="CP12" i="13" s="1"/>
  <c r="CO13" i="13"/>
  <c r="CP13" i="13" s="1"/>
  <c r="CO14" i="13"/>
  <c r="CP14" i="13" s="1"/>
  <c r="CO15" i="13"/>
  <c r="CP15" i="13" s="1"/>
  <c r="CO16" i="13"/>
  <c r="CO17" i="13"/>
  <c r="CP17" i="13" s="1"/>
  <c r="CO18" i="13"/>
  <c r="CP18" i="13" s="1"/>
  <c r="CO19" i="13"/>
  <c r="CP19" i="13" s="1"/>
  <c r="CO20" i="13"/>
  <c r="CP20" i="13" s="1"/>
  <c r="CO21" i="13"/>
  <c r="CP21" i="13" s="1"/>
  <c r="CO22" i="13"/>
  <c r="CO23" i="13"/>
  <c r="CP23" i="13" s="1"/>
  <c r="CO24" i="13"/>
  <c r="CO25" i="13"/>
  <c r="CP25" i="13" s="1"/>
  <c r="CO26" i="13"/>
  <c r="CP26" i="13" s="1"/>
  <c r="CO27" i="13"/>
  <c r="CP27" i="13" s="1"/>
  <c r="CO28" i="13"/>
  <c r="CO29" i="13"/>
  <c r="CP29" i="13" s="1"/>
  <c r="CO30" i="13"/>
  <c r="CP30" i="13" s="1"/>
  <c r="CO31" i="13"/>
  <c r="CP31" i="13" s="1"/>
  <c r="CO32" i="13"/>
  <c r="CP32" i="13" s="1"/>
  <c r="CO33" i="13"/>
  <c r="CO34" i="13"/>
  <c r="CP34" i="13" s="1"/>
  <c r="CO35" i="13"/>
  <c r="CP35" i="13" s="1"/>
  <c r="CO36" i="13"/>
  <c r="CP36" i="13" s="1"/>
  <c r="CO37" i="13"/>
  <c r="CP37" i="13" s="1"/>
  <c r="CO38" i="13"/>
  <c r="CP38" i="13" s="1"/>
  <c r="CO39" i="13"/>
  <c r="CP39" i="13" s="1"/>
  <c r="CO40" i="13"/>
  <c r="CP40" i="13" s="1"/>
  <c r="CO41" i="13"/>
  <c r="CP41" i="13" s="1"/>
  <c r="CO42" i="13"/>
  <c r="CO43" i="13"/>
  <c r="CP43" i="13" s="1"/>
  <c r="CO44" i="13"/>
  <c r="CP44" i="13" s="1"/>
  <c r="CO45" i="13"/>
  <c r="CP45" i="13" s="1"/>
  <c r="CO46" i="13"/>
  <c r="CP46" i="13" s="1"/>
  <c r="CO47" i="13"/>
  <c r="CP47" i="13" s="1"/>
  <c r="CO48" i="13"/>
  <c r="CP48" i="13" s="1"/>
  <c r="CO49" i="13"/>
  <c r="CP49" i="13" s="1"/>
  <c r="CO50" i="13"/>
  <c r="CP50" i="13" s="1"/>
  <c r="CO112" i="13"/>
  <c r="CO7" i="13"/>
  <c r="U25" i="24" s="1"/>
  <c r="BT8" i="13"/>
  <c r="BT9" i="13"/>
  <c r="BT10" i="13"/>
  <c r="BV10" i="13" s="1"/>
  <c r="BT11" i="13"/>
  <c r="BV11" i="13" s="1"/>
  <c r="BT12" i="13"/>
  <c r="BV12" i="13" s="1"/>
  <c r="BT13" i="13"/>
  <c r="BV13" i="13" s="1"/>
  <c r="BT14" i="13"/>
  <c r="BV14" i="13" s="1"/>
  <c r="BT15" i="13"/>
  <c r="BV15" i="13" s="1"/>
  <c r="BT16" i="13"/>
  <c r="BV16" i="13" s="1"/>
  <c r="BT17" i="13"/>
  <c r="BV17" i="13" s="1"/>
  <c r="BT18" i="13"/>
  <c r="BV18" i="13" s="1"/>
  <c r="BT19" i="13"/>
  <c r="BT20" i="13"/>
  <c r="BV20" i="13" s="1"/>
  <c r="BT21" i="13"/>
  <c r="BV21" i="13" s="1"/>
  <c r="BT22" i="13"/>
  <c r="BV22" i="13" s="1"/>
  <c r="BT23" i="13"/>
  <c r="BV23" i="13" s="1"/>
  <c r="BT24" i="13"/>
  <c r="BV24" i="13" s="1"/>
  <c r="BT25" i="13"/>
  <c r="BT26" i="13"/>
  <c r="BV26" i="13" s="1"/>
  <c r="BT27" i="13"/>
  <c r="BV27" i="13" s="1"/>
  <c r="BT28" i="13"/>
  <c r="BV28" i="13" s="1"/>
  <c r="BT29" i="13"/>
  <c r="BV29" i="13" s="1"/>
  <c r="BT30" i="13"/>
  <c r="BV30" i="13" s="1"/>
  <c r="BT31" i="13"/>
  <c r="BV31" i="13" s="1"/>
  <c r="BT32" i="13"/>
  <c r="BV32" i="13" s="1"/>
  <c r="BT33" i="13"/>
  <c r="BV33" i="13" s="1"/>
  <c r="BT34" i="13"/>
  <c r="BV34" i="13" s="1"/>
  <c r="BT35" i="13"/>
  <c r="BV35" i="13" s="1"/>
  <c r="BT36" i="13"/>
  <c r="BV36" i="13" s="1"/>
  <c r="BT37" i="13"/>
  <c r="BV37" i="13" s="1"/>
  <c r="BT38" i="13"/>
  <c r="BV38" i="13" s="1"/>
  <c r="P38" i="18" s="1"/>
  <c r="BT39" i="13"/>
  <c r="BV39" i="13" s="1"/>
  <c r="P39" i="18" s="1"/>
  <c r="BT40" i="13"/>
  <c r="BV40" i="13" s="1"/>
  <c r="P40" i="18" s="1"/>
  <c r="BT41" i="13"/>
  <c r="BV41" i="13" s="1"/>
  <c r="P41" i="18" s="1"/>
  <c r="BT42" i="13"/>
  <c r="BV42" i="13" s="1"/>
  <c r="P42" i="18" s="1"/>
  <c r="BT43" i="13"/>
  <c r="BV43" i="13" s="1"/>
  <c r="P43" i="18" s="1"/>
  <c r="BT44" i="13"/>
  <c r="BV44" i="13" s="1"/>
  <c r="P44" i="18" s="1"/>
  <c r="BT45" i="13"/>
  <c r="BT46" i="13"/>
  <c r="BV46" i="13" s="1"/>
  <c r="P46" i="18" s="1"/>
  <c r="BT47" i="13"/>
  <c r="BV47" i="13" s="1"/>
  <c r="P47" i="18" s="1"/>
  <c r="BT48" i="13"/>
  <c r="BV48" i="13" s="1"/>
  <c r="P48" i="18" s="1"/>
  <c r="BT49" i="13"/>
  <c r="BV49" i="13" s="1"/>
  <c r="P49" i="18" s="1"/>
  <c r="BT50" i="13"/>
  <c r="BV50" i="13" s="1"/>
  <c r="P50" i="18" s="1"/>
  <c r="BT112" i="13"/>
  <c r="BV112" i="13" s="1"/>
  <c r="BT7" i="13"/>
  <c r="AC8" i="13"/>
  <c r="AC9" i="13"/>
  <c r="AC10" i="13"/>
  <c r="AD10" i="13" s="1"/>
  <c r="AC11" i="13"/>
  <c r="AD11" i="13" s="1"/>
  <c r="AC12" i="13"/>
  <c r="AD12" i="13" s="1"/>
  <c r="AC13" i="13"/>
  <c r="AD13" i="13" s="1"/>
  <c r="AC14" i="13"/>
  <c r="AD14" i="13" s="1"/>
  <c r="AC15" i="13"/>
  <c r="AD15" i="13" s="1"/>
  <c r="AC16" i="13"/>
  <c r="AD16" i="13" s="1"/>
  <c r="AC17" i="13"/>
  <c r="AD17" i="13" s="1"/>
  <c r="AC18" i="13"/>
  <c r="AD18" i="13" s="1"/>
  <c r="AC19" i="13"/>
  <c r="AD19" i="13" s="1"/>
  <c r="AC20" i="13"/>
  <c r="AD20" i="13" s="1"/>
  <c r="AC21" i="13"/>
  <c r="AD21" i="13" s="1"/>
  <c r="AC22" i="13"/>
  <c r="AD22" i="13" s="1"/>
  <c r="AC23" i="13"/>
  <c r="AD23" i="13" s="1"/>
  <c r="AC24" i="13"/>
  <c r="AD24" i="13" s="1"/>
  <c r="AC25" i="13"/>
  <c r="AD25" i="13" s="1"/>
  <c r="AC26" i="13"/>
  <c r="AD26" i="13" s="1"/>
  <c r="AC27" i="13"/>
  <c r="AD27" i="13" s="1"/>
  <c r="AC28" i="13"/>
  <c r="AD28" i="13" s="1"/>
  <c r="AC29" i="13"/>
  <c r="AD29" i="13" s="1"/>
  <c r="AC30" i="13"/>
  <c r="AD30" i="13" s="1"/>
  <c r="AC31" i="13"/>
  <c r="AD31" i="13" s="1"/>
  <c r="AC32" i="13"/>
  <c r="AD32" i="13" s="1"/>
  <c r="AC33" i="13"/>
  <c r="AD33" i="13" s="1"/>
  <c r="AC34" i="13"/>
  <c r="AD34" i="13" s="1"/>
  <c r="AC35" i="13"/>
  <c r="AD35" i="13" s="1"/>
  <c r="AC36" i="13"/>
  <c r="AD36" i="13" s="1"/>
  <c r="AC37" i="13"/>
  <c r="AD37" i="13" s="1"/>
  <c r="AC38" i="13"/>
  <c r="AD38" i="13" s="1"/>
  <c r="AC39" i="13"/>
  <c r="AD39" i="13" s="1"/>
  <c r="AC40" i="13"/>
  <c r="AD40" i="13" s="1"/>
  <c r="AC41" i="13"/>
  <c r="AD41" i="13" s="1"/>
  <c r="AC42" i="13"/>
  <c r="AD42" i="13" s="1"/>
  <c r="AC43" i="13"/>
  <c r="AD43" i="13" s="1"/>
  <c r="AC44" i="13"/>
  <c r="AD44" i="13" s="1"/>
  <c r="AC45" i="13"/>
  <c r="AD45" i="13" s="1"/>
  <c r="AC46" i="13"/>
  <c r="AD46" i="13" s="1"/>
  <c r="AC47" i="13"/>
  <c r="AD47" i="13" s="1"/>
  <c r="AC48" i="13"/>
  <c r="AD48" i="13" s="1"/>
  <c r="AC49" i="13"/>
  <c r="AD49" i="13" s="1"/>
  <c r="AC50" i="13"/>
  <c r="AD50" i="13" s="1"/>
  <c r="AC112" i="13"/>
  <c r="AC7" i="13"/>
  <c r="L17" i="24"/>
  <c r="H4" i="24"/>
  <c r="E3" i="24"/>
  <c r="I5" i="13"/>
  <c r="B5" i="13"/>
  <c r="D4" i="13"/>
  <c r="DK7" i="13" l="1"/>
  <c r="U26" i="24"/>
  <c r="BW34" i="13"/>
  <c r="P34" i="18"/>
  <c r="BW35" i="13"/>
  <c r="P35" i="18"/>
  <c r="BW31" i="13"/>
  <c r="P31" i="18"/>
  <c r="BW27" i="13"/>
  <c r="P27" i="18"/>
  <c r="BW23" i="13"/>
  <c r="P23" i="18"/>
  <c r="BW15" i="13"/>
  <c r="P15" i="18"/>
  <c r="BW11" i="13"/>
  <c r="P11" i="18"/>
  <c r="BW22" i="13"/>
  <c r="P22" i="18"/>
  <c r="BW18" i="13"/>
  <c r="P18" i="18"/>
  <c r="BW14" i="13"/>
  <c r="P14" i="18"/>
  <c r="BW10" i="13"/>
  <c r="P10" i="18"/>
  <c r="BW26" i="13"/>
  <c r="P26" i="18"/>
  <c r="BW37" i="13"/>
  <c r="P37" i="18"/>
  <c r="BW33" i="13"/>
  <c r="P33" i="18"/>
  <c r="BW29" i="13"/>
  <c r="P29" i="18"/>
  <c r="BW21" i="13"/>
  <c r="P21" i="18"/>
  <c r="BW17" i="13"/>
  <c r="P17" i="18"/>
  <c r="BW13" i="13"/>
  <c r="P13" i="18"/>
  <c r="BW30" i="13"/>
  <c r="P30" i="18"/>
  <c r="BW36" i="13"/>
  <c r="P36" i="18"/>
  <c r="BW32" i="13"/>
  <c r="P32" i="18"/>
  <c r="BW28" i="13"/>
  <c r="P28" i="18"/>
  <c r="BW24" i="13"/>
  <c r="P24" i="18"/>
  <c r="BW20" i="13"/>
  <c r="P20" i="18"/>
  <c r="BW16" i="13"/>
  <c r="P16" i="18"/>
  <c r="BW12" i="13"/>
  <c r="P12" i="18"/>
  <c r="DK49" i="13"/>
  <c r="DL49" i="13"/>
  <c r="DK41" i="13"/>
  <c r="DL41" i="13"/>
  <c r="DK33" i="13"/>
  <c r="DL33" i="13"/>
  <c r="DK25" i="13"/>
  <c r="DL25" i="13"/>
  <c r="DK17" i="13"/>
  <c r="DL17" i="13"/>
  <c r="DK9" i="13"/>
  <c r="DL9" i="13"/>
  <c r="DK48" i="13"/>
  <c r="DL48" i="13"/>
  <c r="DK40" i="13"/>
  <c r="DL40" i="13"/>
  <c r="DK32" i="13"/>
  <c r="DL32" i="13"/>
  <c r="DK24" i="13"/>
  <c r="DL24" i="13"/>
  <c r="DK16" i="13"/>
  <c r="DL16" i="13"/>
  <c r="DK8" i="13"/>
  <c r="DL8" i="13"/>
  <c r="DK47" i="13"/>
  <c r="DL47" i="13"/>
  <c r="DK39" i="13"/>
  <c r="DL39" i="13"/>
  <c r="DK23" i="13"/>
  <c r="DL23" i="13"/>
  <c r="DK15" i="13"/>
  <c r="DL15" i="13"/>
  <c r="DK46" i="13"/>
  <c r="DL46" i="13"/>
  <c r="DK38" i="13"/>
  <c r="DL38" i="13"/>
  <c r="DK30" i="13"/>
  <c r="DL30" i="13"/>
  <c r="DK22" i="13"/>
  <c r="DL22" i="13"/>
  <c r="DK45" i="13"/>
  <c r="DL45" i="13"/>
  <c r="DK37" i="13"/>
  <c r="DL37" i="13"/>
  <c r="DK29" i="13"/>
  <c r="DL29" i="13"/>
  <c r="DK21" i="13"/>
  <c r="DL21" i="13"/>
  <c r="DK44" i="13"/>
  <c r="DL44" i="13"/>
  <c r="DK36" i="13"/>
  <c r="DL36" i="13"/>
  <c r="DK20" i="13"/>
  <c r="DL20" i="13"/>
  <c r="DK12" i="13"/>
  <c r="DL12" i="13"/>
  <c r="DK43" i="13"/>
  <c r="DL43" i="13"/>
  <c r="DK35" i="13"/>
  <c r="DL35" i="13"/>
  <c r="DK27" i="13"/>
  <c r="DL27" i="13"/>
  <c r="DK19" i="13"/>
  <c r="DL19" i="13"/>
  <c r="DK11" i="13"/>
  <c r="DL11" i="13"/>
  <c r="DK50" i="13"/>
  <c r="DL50" i="13"/>
  <c r="DK42" i="13"/>
  <c r="DL42" i="13"/>
  <c r="DK34" i="13"/>
  <c r="DL34" i="13"/>
  <c r="DK18" i="13"/>
  <c r="DL18" i="13"/>
  <c r="DK10" i="13"/>
  <c r="DL10" i="13"/>
  <c r="BU43" i="13"/>
  <c r="BU35" i="13"/>
  <c r="BU27" i="13"/>
  <c r="BU11" i="13"/>
  <c r="BU44" i="13"/>
  <c r="BU36" i="13"/>
  <c r="BU24" i="13"/>
  <c r="BU16" i="13"/>
  <c r="BU49" i="13"/>
  <c r="BU41" i="13"/>
  <c r="BU37" i="13"/>
  <c r="BU33" i="13"/>
  <c r="BU29" i="13"/>
  <c r="BU21" i="13"/>
  <c r="BU17" i="13"/>
  <c r="BU13" i="13"/>
  <c r="BU9" i="13"/>
  <c r="BV9" i="13" s="1"/>
  <c r="BU47" i="13"/>
  <c r="BU39" i="13"/>
  <c r="BU31" i="13"/>
  <c r="BU23" i="13"/>
  <c r="BU15" i="13"/>
  <c r="BU48" i="13"/>
  <c r="BU40" i="13"/>
  <c r="BU32" i="13"/>
  <c r="BU28" i="13"/>
  <c r="BU20" i="13"/>
  <c r="BU12" i="13"/>
  <c r="BU50" i="13"/>
  <c r="BU46" i="13"/>
  <c r="BU42" i="13"/>
  <c r="BU38" i="13"/>
  <c r="BU34" i="13"/>
  <c r="BU30" i="13"/>
  <c r="BU26" i="13"/>
  <c r="BU22" i="13"/>
  <c r="BU18" i="13"/>
  <c r="BU14" i="13"/>
  <c r="BU10" i="13"/>
  <c r="CQ112" i="13"/>
  <c r="CP112" i="13"/>
  <c r="CQ47" i="13"/>
  <c r="P47" i="19" s="1"/>
  <c r="CQ39" i="13"/>
  <c r="P39" i="19" s="1"/>
  <c r="CQ27" i="13"/>
  <c r="P27" i="19" s="1"/>
  <c r="CQ19" i="13"/>
  <c r="P19" i="19" s="1"/>
  <c r="CQ15" i="13"/>
  <c r="P15" i="19" s="1"/>
  <c r="DL7" i="13"/>
  <c r="CQ44" i="13"/>
  <c r="P44" i="19" s="1"/>
  <c r="CQ36" i="13"/>
  <c r="P36" i="19" s="1"/>
  <c r="CQ20" i="13"/>
  <c r="P20" i="19" s="1"/>
  <c r="CQ12" i="13"/>
  <c r="P12" i="19" s="1"/>
  <c r="CQ49" i="13"/>
  <c r="P49" i="19" s="1"/>
  <c r="CQ45" i="13"/>
  <c r="P45" i="19" s="1"/>
  <c r="CQ41" i="13"/>
  <c r="P41" i="19" s="1"/>
  <c r="CQ37" i="13"/>
  <c r="P37" i="19" s="1"/>
  <c r="CQ29" i="13"/>
  <c r="P29" i="19" s="1"/>
  <c r="CQ25" i="13"/>
  <c r="P25" i="19" s="1"/>
  <c r="CQ21" i="13"/>
  <c r="P21" i="19" s="1"/>
  <c r="CQ17" i="13"/>
  <c r="P17" i="19" s="1"/>
  <c r="CQ13" i="13"/>
  <c r="P13" i="19" s="1"/>
  <c r="CQ43" i="13"/>
  <c r="P43" i="19" s="1"/>
  <c r="CQ35" i="13"/>
  <c r="P35" i="19" s="1"/>
  <c r="CQ31" i="13"/>
  <c r="P31" i="19" s="1"/>
  <c r="CQ23" i="13"/>
  <c r="P23" i="19" s="1"/>
  <c r="CQ48" i="13"/>
  <c r="P48" i="19" s="1"/>
  <c r="CQ40" i="13"/>
  <c r="P40" i="19" s="1"/>
  <c r="CQ32" i="13"/>
  <c r="P32" i="19" s="1"/>
  <c r="CQ50" i="13"/>
  <c r="P50" i="19" s="1"/>
  <c r="CQ46" i="13"/>
  <c r="P46" i="19" s="1"/>
  <c r="CQ38" i="13"/>
  <c r="P38" i="19" s="1"/>
  <c r="CQ34" i="13"/>
  <c r="P34" i="19" s="1"/>
  <c r="CQ30" i="13"/>
  <c r="P30" i="19" s="1"/>
  <c r="CQ26" i="13"/>
  <c r="P26" i="19" s="1"/>
  <c r="CQ18" i="13"/>
  <c r="P18" i="19" s="1"/>
  <c r="CQ14" i="13"/>
  <c r="P14" i="19" s="1"/>
  <c r="DL112" i="13"/>
  <c r="DM112" i="13" s="1"/>
  <c r="DK112" i="13"/>
  <c r="EG6" i="13"/>
  <c r="EF6" i="13"/>
  <c r="EE6" i="13"/>
  <c r="ED6" i="13"/>
  <c r="ET5" i="13"/>
  <c r="EJ5" i="13"/>
  <c r="EP5" i="13" s="1"/>
  <c r="BW9" i="13" l="1"/>
  <c r="P9" i="18"/>
  <c r="P40" i="20"/>
  <c r="P34" i="20"/>
  <c r="P48" i="20"/>
  <c r="P38" i="20"/>
  <c r="P9" i="20"/>
  <c r="P36" i="20"/>
  <c r="P7" i="20"/>
  <c r="P42" i="20"/>
  <c r="P44" i="20"/>
  <c r="P46" i="20"/>
  <c r="P30" i="20"/>
  <c r="P50" i="20"/>
  <c r="DM10" i="13"/>
  <c r="P10" i="20"/>
  <c r="DM19" i="13"/>
  <c r="P19" i="20"/>
  <c r="DM35" i="13"/>
  <c r="P35" i="20"/>
  <c r="DM12" i="13"/>
  <c r="P12" i="20"/>
  <c r="DM21" i="13"/>
  <c r="P21" i="20"/>
  <c r="DM37" i="13"/>
  <c r="P37" i="20"/>
  <c r="DM22" i="13"/>
  <c r="P22" i="20"/>
  <c r="DM15" i="13"/>
  <c r="P15" i="20"/>
  <c r="DM39" i="13"/>
  <c r="P39" i="20"/>
  <c r="DM8" i="13"/>
  <c r="P8" i="20"/>
  <c r="DM24" i="13"/>
  <c r="P24" i="20"/>
  <c r="DM25" i="13"/>
  <c r="P25" i="20"/>
  <c r="DM41" i="13"/>
  <c r="P41" i="20"/>
  <c r="DM11" i="13"/>
  <c r="P11" i="20"/>
  <c r="DM27" i="13"/>
  <c r="P27" i="20"/>
  <c r="DM43" i="13"/>
  <c r="P43" i="20"/>
  <c r="DM20" i="13"/>
  <c r="P20" i="20"/>
  <c r="DM29" i="13"/>
  <c r="P29" i="20"/>
  <c r="DM45" i="13"/>
  <c r="P45" i="20"/>
  <c r="DM23" i="13"/>
  <c r="P23" i="20"/>
  <c r="DM47" i="13"/>
  <c r="P47" i="20"/>
  <c r="DM16" i="13"/>
  <c r="P16" i="20"/>
  <c r="DM32" i="13"/>
  <c r="P32" i="20"/>
  <c r="DM17" i="13"/>
  <c r="P17" i="20"/>
  <c r="DM33" i="13"/>
  <c r="P33" i="20"/>
  <c r="DM49" i="13"/>
  <c r="P49" i="20"/>
  <c r="DM18" i="13"/>
  <c r="P18" i="20"/>
  <c r="DM40" i="13"/>
  <c r="DM38" i="13"/>
  <c r="DM36" i="13"/>
  <c r="DM44" i="13"/>
  <c r="DM30" i="13"/>
  <c r="DM48" i="13"/>
  <c r="DM9" i="13"/>
  <c r="DM46" i="13"/>
  <c r="DM34" i="13"/>
  <c r="DM42" i="13"/>
  <c r="DM50" i="13"/>
  <c r="AY7" i="13"/>
  <c r="AZ7" i="13" s="1"/>
  <c r="DJ6" i="13"/>
  <c r="BT6" i="13"/>
  <c r="BW6" i="13"/>
  <c r="CO6" i="13"/>
  <c r="CP7" i="13" s="1"/>
  <c r="CR6" i="13"/>
  <c r="AY8" i="13"/>
  <c r="AY9" i="13"/>
  <c r="AY10" i="13"/>
  <c r="AY11" i="13"/>
  <c r="AY12" i="13"/>
  <c r="AY13" i="13"/>
  <c r="AY14" i="13"/>
  <c r="AY15" i="13"/>
  <c r="AY16" i="13"/>
  <c r="AY17" i="13"/>
  <c r="AY18" i="13"/>
  <c r="AY19" i="13"/>
  <c r="AY20" i="13"/>
  <c r="AY21" i="13"/>
  <c r="AY22" i="13"/>
  <c r="AY23" i="13"/>
  <c r="AY24" i="13"/>
  <c r="AY25" i="13"/>
  <c r="AY26" i="13"/>
  <c r="AY27" i="13"/>
  <c r="AY28" i="13"/>
  <c r="AY29" i="13"/>
  <c r="AY30" i="13"/>
  <c r="AY31" i="13"/>
  <c r="AY32" i="13"/>
  <c r="AY33" i="13"/>
  <c r="AY34" i="13"/>
  <c r="AY35" i="13"/>
  <c r="AY36" i="13"/>
  <c r="AY37" i="13"/>
  <c r="AY38" i="13"/>
  <c r="AY39" i="13"/>
  <c r="AY40" i="13"/>
  <c r="AY41" i="13"/>
  <c r="AY42" i="13"/>
  <c r="AY43" i="13"/>
  <c r="AY44" i="13"/>
  <c r="AY45" i="13"/>
  <c r="AY46" i="13"/>
  <c r="AY47" i="13"/>
  <c r="AY48" i="13"/>
  <c r="AY49" i="13"/>
  <c r="AY50" i="13"/>
  <c r="AY112" i="13"/>
  <c r="AZ112" i="13" s="1"/>
  <c r="AY6" i="13"/>
  <c r="AZ6" i="13" s="1"/>
  <c r="BB6" i="13"/>
  <c r="AC6" i="13"/>
  <c r="AF6" i="13"/>
  <c r="AD8" i="13" l="1"/>
  <c r="AD9" i="13"/>
  <c r="AD6" i="13"/>
  <c r="AD7" i="13"/>
  <c r="CP28" i="13"/>
  <c r="CP16" i="13"/>
  <c r="CP10" i="13"/>
  <c r="BU19" i="13"/>
  <c r="BU25" i="13"/>
  <c r="BU7" i="13"/>
  <c r="BV7" i="13" s="1"/>
  <c r="BU45" i="13"/>
  <c r="DK14" i="13"/>
  <c r="DK26" i="13"/>
  <c r="DK13" i="13"/>
  <c r="AZ30" i="13"/>
  <c r="BA30" i="13"/>
  <c r="Q30" i="17" s="1"/>
  <c r="AZ14" i="13"/>
  <c r="BA14" i="13"/>
  <c r="Q14" i="17" s="1"/>
  <c r="CP24" i="13"/>
  <c r="CP33" i="13"/>
  <c r="CP22" i="13"/>
  <c r="AZ45" i="13"/>
  <c r="BA45" i="13"/>
  <c r="Q45" i="17" s="1"/>
  <c r="AZ37" i="13"/>
  <c r="BA37" i="13"/>
  <c r="Q37" i="17" s="1"/>
  <c r="AZ29" i="13"/>
  <c r="BA29" i="13"/>
  <c r="Q29" i="17" s="1"/>
  <c r="AZ21" i="13"/>
  <c r="BA21" i="13"/>
  <c r="Q21" i="17" s="1"/>
  <c r="AZ13" i="13"/>
  <c r="BA13" i="13"/>
  <c r="Q13" i="17" s="1"/>
  <c r="AZ49" i="13"/>
  <c r="BA49" i="13"/>
  <c r="Q49" i="17" s="1"/>
  <c r="AZ46" i="13"/>
  <c r="BA46" i="13"/>
  <c r="Q46" i="17" s="1"/>
  <c r="AZ22" i="13"/>
  <c r="BA22" i="13"/>
  <c r="Q22" i="17" s="1"/>
  <c r="AZ44" i="13"/>
  <c r="BA44" i="13"/>
  <c r="Q44" i="17" s="1"/>
  <c r="AZ36" i="13"/>
  <c r="BA36" i="13"/>
  <c r="Q36" i="17" s="1"/>
  <c r="AZ28" i="13"/>
  <c r="BA28" i="13"/>
  <c r="Q28" i="17" s="1"/>
  <c r="AZ20" i="13"/>
  <c r="BA20" i="13"/>
  <c r="Q20" i="17" s="1"/>
  <c r="AZ12" i="13"/>
  <c r="BA12" i="13"/>
  <c r="Q12" i="17" s="1"/>
  <c r="AZ40" i="13"/>
  <c r="BA40" i="13"/>
  <c r="Q40" i="17" s="1"/>
  <c r="AZ38" i="13"/>
  <c r="BA38" i="13"/>
  <c r="Q38" i="17" s="1"/>
  <c r="AZ43" i="13"/>
  <c r="BA43" i="13"/>
  <c r="Q43" i="17" s="1"/>
  <c r="AZ35" i="13"/>
  <c r="BA35" i="13"/>
  <c r="Q35" i="17" s="1"/>
  <c r="AZ27" i="13"/>
  <c r="BA27" i="13"/>
  <c r="Q27" i="17" s="1"/>
  <c r="AZ19" i="13"/>
  <c r="BA19" i="13"/>
  <c r="Q19" i="17" s="1"/>
  <c r="AZ11" i="13"/>
  <c r="BA11" i="13"/>
  <c r="Q11" i="17" s="1"/>
  <c r="AZ50" i="13"/>
  <c r="BA50" i="13"/>
  <c r="Q50" i="17" s="1"/>
  <c r="AZ42" i="13"/>
  <c r="BA42" i="13"/>
  <c r="Q42" i="17" s="1"/>
  <c r="AZ34" i="13"/>
  <c r="BA34" i="13"/>
  <c r="Q34" i="17" s="1"/>
  <c r="AZ26" i="13"/>
  <c r="BA26" i="13"/>
  <c r="Q26" i="17" s="1"/>
  <c r="AZ18" i="13"/>
  <c r="BA18" i="13"/>
  <c r="Q18" i="17" s="1"/>
  <c r="AZ10" i="13"/>
  <c r="BA10" i="13"/>
  <c r="Q10" i="17" s="1"/>
  <c r="AZ41" i="13"/>
  <c r="BA41" i="13"/>
  <c r="Q41" i="17" s="1"/>
  <c r="AZ33" i="13"/>
  <c r="BA33" i="13"/>
  <c r="Q33" i="17" s="1"/>
  <c r="AZ25" i="13"/>
  <c r="BA25" i="13"/>
  <c r="Q25" i="17" s="1"/>
  <c r="AZ17" i="13"/>
  <c r="BA17" i="13"/>
  <c r="Q17" i="17" s="1"/>
  <c r="AZ9" i="13"/>
  <c r="AZ48" i="13"/>
  <c r="BA48" i="13"/>
  <c r="Q48" i="17" s="1"/>
  <c r="AZ32" i="13"/>
  <c r="BA32" i="13"/>
  <c r="Q32" i="17" s="1"/>
  <c r="AZ24" i="13"/>
  <c r="BA24" i="13"/>
  <c r="Q24" i="17" s="1"/>
  <c r="AZ16" i="13"/>
  <c r="BA16" i="13"/>
  <c r="Q16" i="17" s="1"/>
  <c r="AZ8" i="13"/>
  <c r="AZ47" i="13"/>
  <c r="BA47" i="13"/>
  <c r="Q47" i="17" s="1"/>
  <c r="AZ39" i="13"/>
  <c r="BA39" i="13"/>
  <c r="Q39" i="17" s="1"/>
  <c r="AZ31" i="13"/>
  <c r="BA31" i="13"/>
  <c r="Q31" i="17" s="1"/>
  <c r="AZ23" i="13"/>
  <c r="BA23" i="13"/>
  <c r="Q23" i="17" s="1"/>
  <c r="AZ15" i="13"/>
  <c r="BA15" i="13"/>
  <c r="Q15" i="17" s="1"/>
  <c r="DK6" i="13"/>
  <c r="DK28" i="13"/>
  <c r="DK31" i="13"/>
  <c r="BU6" i="13"/>
  <c r="BU8" i="13"/>
  <c r="BV8" i="13" s="1"/>
  <c r="CP11" i="13"/>
  <c r="CP8" i="13"/>
  <c r="CP42" i="13"/>
  <c r="CP6" i="13"/>
  <c r="BA112" i="13"/>
  <c r="P8" i="18" l="1"/>
  <c r="BW8" i="13"/>
  <c r="I49" i="13"/>
  <c r="J49" i="13"/>
  <c r="K49" i="13"/>
  <c r="CS50" i="13"/>
  <c r="CU50" i="13"/>
  <c r="CW50" i="13"/>
  <c r="DB50" i="13"/>
  <c r="DC50" i="13"/>
  <c r="DD50" i="13"/>
  <c r="DF50" i="13"/>
  <c r="CG50" i="13"/>
  <c r="CH50" i="13"/>
  <c r="CI50" i="13"/>
  <c r="CK50" i="13"/>
  <c r="BX50" i="13"/>
  <c r="BZ50" i="13"/>
  <c r="CB50" i="13"/>
  <c r="BX112" i="13"/>
  <c r="BZ112" i="13"/>
  <c r="CB112" i="13"/>
  <c r="BP50" i="13"/>
  <c r="BP112" i="13"/>
  <c r="BN50" i="13"/>
  <c r="BN112" i="13"/>
  <c r="BM50" i="13"/>
  <c r="BM112" i="13"/>
  <c r="BL50" i="13"/>
  <c r="BL112" i="13"/>
  <c r="L49" i="30" l="1"/>
  <c r="L49" i="29"/>
  <c r="M49" i="30"/>
  <c r="M49" i="29"/>
  <c r="K49" i="30"/>
  <c r="K49" i="29"/>
  <c r="L6" i="13"/>
  <c r="N6" i="13"/>
  <c r="P6" i="13"/>
  <c r="U6" i="13"/>
  <c r="V6" i="13"/>
  <c r="W6" i="13"/>
  <c r="Y6" i="13"/>
  <c r="Z6" i="13" s="1"/>
  <c r="L8" i="13"/>
  <c r="N8" i="13"/>
  <c r="P8" i="13"/>
  <c r="U8" i="13"/>
  <c r="V8" i="13"/>
  <c r="W8" i="13"/>
  <c r="Y8" i="13"/>
  <c r="L9" i="13"/>
  <c r="N9" i="13"/>
  <c r="P9" i="13"/>
  <c r="U9" i="13"/>
  <c r="V9" i="13"/>
  <c r="W9" i="13"/>
  <c r="Y9" i="13"/>
  <c r="L10" i="13"/>
  <c r="N10" i="13"/>
  <c r="P10" i="13"/>
  <c r="U10" i="13"/>
  <c r="V10" i="13"/>
  <c r="W10" i="13"/>
  <c r="Y10" i="13"/>
  <c r="L11" i="13"/>
  <c r="N11" i="13"/>
  <c r="P11" i="13"/>
  <c r="U11" i="13"/>
  <c r="V11" i="13"/>
  <c r="W11" i="13"/>
  <c r="Y11" i="13"/>
  <c r="L12" i="13"/>
  <c r="N12" i="13"/>
  <c r="P12" i="13"/>
  <c r="U12" i="13"/>
  <c r="V12" i="13"/>
  <c r="W12" i="13"/>
  <c r="Y12" i="13"/>
  <c r="L13" i="13"/>
  <c r="N13" i="13"/>
  <c r="P13" i="13"/>
  <c r="U13" i="13"/>
  <c r="V13" i="13"/>
  <c r="W13" i="13"/>
  <c r="Y13" i="13"/>
  <c r="L14" i="13"/>
  <c r="N14" i="13"/>
  <c r="P14" i="13"/>
  <c r="U14" i="13"/>
  <c r="V14" i="13"/>
  <c r="W14" i="13"/>
  <c r="Y14" i="13"/>
  <c r="L15" i="13"/>
  <c r="N15" i="13"/>
  <c r="P15" i="13"/>
  <c r="U15" i="13"/>
  <c r="V15" i="13"/>
  <c r="W15" i="13"/>
  <c r="Y15" i="13"/>
  <c r="L16" i="13"/>
  <c r="N16" i="13"/>
  <c r="P16" i="13"/>
  <c r="U16" i="13"/>
  <c r="V16" i="13"/>
  <c r="W16" i="13"/>
  <c r="Y16" i="13"/>
  <c r="L17" i="13"/>
  <c r="N17" i="13"/>
  <c r="P17" i="13"/>
  <c r="U17" i="13"/>
  <c r="V17" i="13"/>
  <c r="W17" i="13"/>
  <c r="Y17" i="13"/>
  <c r="L18" i="13"/>
  <c r="N18" i="13"/>
  <c r="P18" i="13"/>
  <c r="U18" i="13"/>
  <c r="V18" i="13"/>
  <c r="W18" i="13"/>
  <c r="Y18" i="13"/>
  <c r="L19" i="13"/>
  <c r="N19" i="13"/>
  <c r="P19" i="13"/>
  <c r="U19" i="13"/>
  <c r="V19" i="13"/>
  <c r="W19" i="13"/>
  <c r="Y19" i="13"/>
  <c r="L20" i="13"/>
  <c r="N20" i="13"/>
  <c r="P20" i="13"/>
  <c r="U20" i="13"/>
  <c r="V20" i="13"/>
  <c r="W20" i="13"/>
  <c r="Y20" i="13"/>
  <c r="L21" i="13"/>
  <c r="N21" i="13"/>
  <c r="P21" i="13"/>
  <c r="U21" i="13"/>
  <c r="V21" i="13"/>
  <c r="W21" i="13"/>
  <c r="Y21" i="13"/>
  <c r="L22" i="13"/>
  <c r="N22" i="13"/>
  <c r="P22" i="13"/>
  <c r="U22" i="13"/>
  <c r="V22" i="13"/>
  <c r="W22" i="13"/>
  <c r="Y22" i="13"/>
  <c r="L23" i="13"/>
  <c r="N23" i="13"/>
  <c r="P23" i="13"/>
  <c r="U23" i="13"/>
  <c r="V23" i="13"/>
  <c r="W23" i="13"/>
  <c r="Y23" i="13"/>
  <c r="L24" i="13"/>
  <c r="N24" i="13"/>
  <c r="P24" i="13"/>
  <c r="U24" i="13"/>
  <c r="V24" i="13"/>
  <c r="W24" i="13"/>
  <c r="Y24" i="13"/>
  <c r="L25" i="13"/>
  <c r="N25" i="13"/>
  <c r="P25" i="13"/>
  <c r="U25" i="13"/>
  <c r="V25" i="13"/>
  <c r="W25" i="13"/>
  <c r="Y25" i="13"/>
  <c r="L26" i="13"/>
  <c r="N26" i="13"/>
  <c r="P26" i="13"/>
  <c r="U26" i="13"/>
  <c r="V26" i="13"/>
  <c r="W26" i="13"/>
  <c r="Y26" i="13"/>
  <c r="L27" i="13"/>
  <c r="N27" i="13"/>
  <c r="P27" i="13"/>
  <c r="U27" i="13"/>
  <c r="V27" i="13"/>
  <c r="W27" i="13"/>
  <c r="Y27" i="13"/>
  <c r="L28" i="13"/>
  <c r="N28" i="13"/>
  <c r="P28" i="13"/>
  <c r="U28" i="13"/>
  <c r="V28" i="13"/>
  <c r="W28" i="13"/>
  <c r="Y28" i="13"/>
  <c r="L29" i="13"/>
  <c r="N29" i="13"/>
  <c r="P29" i="13"/>
  <c r="U29" i="13"/>
  <c r="V29" i="13"/>
  <c r="W29" i="13"/>
  <c r="Y29" i="13"/>
  <c r="L30" i="13"/>
  <c r="N30" i="13"/>
  <c r="P30" i="13"/>
  <c r="U30" i="13"/>
  <c r="V30" i="13"/>
  <c r="W30" i="13"/>
  <c r="Y30" i="13"/>
  <c r="L31" i="13"/>
  <c r="N31" i="13"/>
  <c r="P31" i="13"/>
  <c r="U31" i="13"/>
  <c r="V31" i="13"/>
  <c r="W31" i="13"/>
  <c r="Y31" i="13"/>
  <c r="L32" i="13"/>
  <c r="N32" i="13"/>
  <c r="P32" i="13"/>
  <c r="U32" i="13"/>
  <c r="V32" i="13"/>
  <c r="W32" i="13"/>
  <c r="Y32" i="13"/>
  <c r="L33" i="13"/>
  <c r="N33" i="13"/>
  <c r="P33" i="13"/>
  <c r="U33" i="13"/>
  <c r="V33" i="13"/>
  <c r="W33" i="13"/>
  <c r="Y33" i="13"/>
  <c r="L34" i="13"/>
  <c r="N34" i="13"/>
  <c r="P34" i="13"/>
  <c r="U34" i="13"/>
  <c r="V34" i="13"/>
  <c r="W34" i="13"/>
  <c r="Y34" i="13"/>
  <c r="L35" i="13"/>
  <c r="N35" i="13"/>
  <c r="P35" i="13"/>
  <c r="U35" i="13"/>
  <c r="V35" i="13"/>
  <c r="W35" i="13"/>
  <c r="Y35" i="13"/>
  <c r="L36" i="13"/>
  <c r="N36" i="13"/>
  <c r="P36" i="13"/>
  <c r="U36" i="13"/>
  <c r="V36" i="13"/>
  <c r="W36" i="13"/>
  <c r="Y36" i="13"/>
  <c r="L37" i="13"/>
  <c r="N37" i="13"/>
  <c r="P37" i="13"/>
  <c r="U37" i="13"/>
  <c r="V37" i="13"/>
  <c r="W37" i="13"/>
  <c r="Y37" i="13"/>
  <c r="L38" i="13"/>
  <c r="N38" i="13"/>
  <c r="P38" i="13"/>
  <c r="U38" i="13"/>
  <c r="V38" i="13"/>
  <c r="W38" i="13"/>
  <c r="Y38" i="13"/>
  <c r="L39" i="13"/>
  <c r="N39" i="13"/>
  <c r="P39" i="13"/>
  <c r="U39" i="13"/>
  <c r="V39" i="13"/>
  <c r="W39" i="13"/>
  <c r="Y39" i="13"/>
  <c r="L40" i="13"/>
  <c r="N40" i="13"/>
  <c r="P40" i="13"/>
  <c r="U40" i="13"/>
  <c r="V40" i="13"/>
  <c r="W40" i="13"/>
  <c r="Y40" i="13"/>
  <c r="L41" i="13"/>
  <c r="N41" i="13"/>
  <c r="P41" i="13"/>
  <c r="U41" i="13"/>
  <c r="V41" i="13"/>
  <c r="W41" i="13"/>
  <c r="Y41" i="13"/>
  <c r="L42" i="13"/>
  <c r="N42" i="13"/>
  <c r="P42" i="13"/>
  <c r="U42" i="13"/>
  <c r="V42" i="13"/>
  <c r="W42" i="13"/>
  <c r="Y42" i="13"/>
  <c r="L43" i="13"/>
  <c r="N43" i="13"/>
  <c r="P43" i="13"/>
  <c r="U43" i="13"/>
  <c r="V43" i="13"/>
  <c r="W43" i="13"/>
  <c r="Y43" i="13"/>
  <c r="L44" i="13"/>
  <c r="N44" i="13"/>
  <c r="P44" i="13"/>
  <c r="U44" i="13"/>
  <c r="V44" i="13"/>
  <c r="W44" i="13"/>
  <c r="Y44" i="13"/>
  <c r="L45" i="13"/>
  <c r="N45" i="13"/>
  <c r="P45" i="13"/>
  <c r="U45" i="13"/>
  <c r="V45" i="13"/>
  <c r="W45" i="13"/>
  <c r="Y45" i="13"/>
  <c r="L46" i="13"/>
  <c r="N46" i="13"/>
  <c r="P46" i="13"/>
  <c r="U46" i="13"/>
  <c r="V46" i="13"/>
  <c r="W46" i="13"/>
  <c r="Y46" i="13"/>
  <c r="L47" i="13"/>
  <c r="M47" i="13" s="1"/>
  <c r="N47" i="13"/>
  <c r="P47" i="13"/>
  <c r="U47" i="13"/>
  <c r="V47" i="13"/>
  <c r="W47" i="13"/>
  <c r="Y47" i="13"/>
  <c r="L48" i="13"/>
  <c r="N48" i="13"/>
  <c r="P48" i="13"/>
  <c r="U48" i="13"/>
  <c r="V48" i="13"/>
  <c r="W48" i="13"/>
  <c r="Y48" i="13"/>
  <c r="L49" i="13"/>
  <c r="N49" i="13"/>
  <c r="P49" i="13"/>
  <c r="U49" i="13"/>
  <c r="V49" i="13"/>
  <c r="W49" i="13"/>
  <c r="Y49" i="13"/>
  <c r="L50" i="13"/>
  <c r="N50" i="13"/>
  <c r="P50" i="13"/>
  <c r="U50" i="13"/>
  <c r="V50" i="13"/>
  <c r="W50" i="13"/>
  <c r="Y50" i="13"/>
  <c r="L112" i="13"/>
  <c r="M112" i="13" s="1"/>
  <c r="N112" i="13"/>
  <c r="O112" i="13" s="1"/>
  <c r="P112" i="13"/>
  <c r="Q112" i="13" s="1"/>
  <c r="U112" i="13"/>
  <c r="V112" i="13"/>
  <c r="W112" i="13"/>
  <c r="Y112" i="13"/>
  <c r="DS50" i="13" l="1"/>
  <c r="X50" i="30"/>
  <c r="X50" i="29"/>
  <c r="DS26" i="13"/>
  <c r="J26" i="39" s="1"/>
  <c r="X26" i="30"/>
  <c r="X26" i="29"/>
  <c r="DS35" i="13"/>
  <c r="J35" i="39" s="1"/>
  <c r="X35" i="29"/>
  <c r="X35" i="30"/>
  <c r="DS36" i="13"/>
  <c r="J36" i="39" s="1"/>
  <c r="X36" i="29"/>
  <c r="X36" i="30"/>
  <c r="DS28" i="13"/>
  <c r="J28" i="39" s="1"/>
  <c r="X28" i="29"/>
  <c r="X28" i="30"/>
  <c r="DS20" i="13"/>
  <c r="J20" i="39" s="1"/>
  <c r="X20" i="29"/>
  <c r="X20" i="30"/>
  <c r="DS12" i="13"/>
  <c r="J12" i="39" s="1"/>
  <c r="X12" i="29"/>
  <c r="X12" i="30"/>
  <c r="DS45" i="13"/>
  <c r="J45" i="39" s="1"/>
  <c r="X45" i="29"/>
  <c r="X45" i="30"/>
  <c r="DS37" i="13"/>
  <c r="X37" i="30"/>
  <c r="X37" i="29"/>
  <c r="DS29" i="13"/>
  <c r="J29" i="39" s="1"/>
  <c r="X29" i="30"/>
  <c r="X29" i="29"/>
  <c r="DS21" i="13"/>
  <c r="X21" i="30"/>
  <c r="X21" i="29"/>
  <c r="DS13" i="13"/>
  <c r="J13" i="39" s="1"/>
  <c r="X13" i="29"/>
  <c r="X13" i="30"/>
  <c r="DS33" i="13"/>
  <c r="X33" i="29"/>
  <c r="X33" i="30"/>
  <c r="DS10" i="13"/>
  <c r="J10" i="39" s="1"/>
  <c r="X10" i="30"/>
  <c r="X10" i="29"/>
  <c r="DS14" i="13"/>
  <c r="J14" i="39" s="1"/>
  <c r="X14" i="30"/>
  <c r="X14" i="29"/>
  <c r="DS49" i="13"/>
  <c r="J49" i="39" s="1"/>
  <c r="X49" i="30"/>
  <c r="X49" i="29"/>
  <c r="DS42" i="13"/>
  <c r="J42" i="39" s="1"/>
  <c r="X42" i="30"/>
  <c r="X42" i="29"/>
  <c r="DS44" i="13"/>
  <c r="J44" i="39" s="1"/>
  <c r="X44" i="29"/>
  <c r="X44" i="30"/>
  <c r="DS30" i="13"/>
  <c r="X30" i="30"/>
  <c r="X30" i="29"/>
  <c r="DS47" i="13"/>
  <c r="J47" i="39" s="1"/>
  <c r="X47" i="29"/>
  <c r="X47" i="30"/>
  <c r="DS39" i="13"/>
  <c r="J39" i="39" s="1"/>
  <c r="X39" i="29"/>
  <c r="X39" i="30"/>
  <c r="DS31" i="13"/>
  <c r="J31" i="39" s="1"/>
  <c r="X31" i="29"/>
  <c r="X31" i="30"/>
  <c r="DS23" i="13"/>
  <c r="J23" i="39" s="1"/>
  <c r="X23" i="29"/>
  <c r="X23" i="30"/>
  <c r="DS15" i="13"/>
  <c r="J15" i="39" s="1"/>
  <c r="X15" i="29"/>
  <c r="X15" i="30"/>
  <c r="DS41" i="13"/>
  <c r="X41" i="29"/>
  <c r="X41" i="30"/>
  <c r="DS34" i="13"/>
  <c r="J34" i="39" s="1"/>
  <c r="X34" i="30"/>
  <c r="X34" i="29"/>
  <c r="DS43" i="13"/>
  <c r="J43" i="39" s="1"/>
  <c r="X43" i="29"/>
  <c r="X43" i="30"/>
  <c r="DS27" i="13"/>
  <c r="X27" i="29"/>
  <c r="X27" i="30"/>
  <c r="DS46" i="13"/>
  <c r="J46" i="39" s="1"/>
  <c r="X46" i="30"/>
  <c r="X46" i="29"/>
  <c r="DS38" i="13"/>
  <c r="J38" i="39" s="1"/>
  <c r="X38" i="30"/>
  <c r="X38" i="29"/>
  <c r="DS22" i="13"/>
  <c r="J22" i="39" s="1"/>
  <c r="X22" i="30"/>
  <c r="X22" i="29"/>
  <c r="DS48" i="13"/>
  <c r="J48" i="39" s="1"/>
  <c r="X48" i="29"/>
  <c r="X48" i="30"/>
  <c r="DS40" i="13"/>
  <c r="X40" i="29"/>
  <c r="X40" i="30"/>
  <c r="DS32" i="13"/>
  <c r="X32" i="29"/>
  <c r="X32" i="30"/>
  <c r="DS24" i="13"/>
  <c r="J24" i="39" s="1"/>
  <c r="X24" i="29"/>
  <c r="X24" i="30"/>
  <c r="DS16" i="13"/>
  <c r="J16" i="39" s="1"/>
  <c r="X16" i="29"/>
  <c r="X16" i="30"/>
  <c r="DS8" i="13"/>
  <c r="J8" i="39" s="1"/>
  <c r="X8" i="29"/>
  <c r="X8" i="30"/>
  <c r="DS17" i="13"/>
  <c r="J17" i="39" s="1"/>
  <c r="X17" i="30"/>
  <c r="X17" i="29"/>
  <c r="DS9" i="13"/>
  <c r="J9" i="39" s="1"/>
  <c r="X9" i="29"/>
  <c r="X9" i="30"/>
  <c r="DS25" i="13"/>
  <c r="J25" i="39" s="1"/>
  <c r="X25" i="30"/>
  <c r="X25" i="29"/>
  <c r="DS18" i="13"/>
  <c r="J18" i="39" s="1"/>
  <c r="X18" i="30"/>
  <c r="X18" i="29"/>
  <c r="DS19" i="13"/>
  <c r="J19" i="39" s="1"/>
  <c r="X19" i="29"/>
  <c r="X19" i="30"/>
  <c r="DS11" i="13"/>
  <c r="J11" i="39" s="1"/>
  <c r="X11" i="29"/>
  <c r="X11" i="30"/>
  <c r="I45" i="39"/>
  <c r="I30" i="39"/>
  <c r="I14" i="39"/>
  <c r="I47" i="39"/>
  <c r="I31" i="39"/>
  <c r="I44" i="39"/>
  <c r="I36" i="39"/>
  <c r="I28" i="39"/>
  <c r="I20" i="39"/>
  <c r="I12" i="39"/>
  <c r="I37" i="39"/>
  <c r="I29" i="39"/>
  <c r="I21" i="39"/>
  <c r="I13" i="39"/>
  <c r="I48" i="39"/>
  <c r="I40" i="39"/>
  <c r="I32" i="39"/>
  <c r="I24" i="39"/>
  <c r="I16" i="39"/>
  <c r="I8" i="39"/>
  <c r="I46" i="39"/>
  <c r="I22" i="39"/>
  <c r="I39" i="39"/>
  <c r="I15" i="39"/>
  <c r="I49" i="39"/>
  <c r="J41" i="39"/>
  <c r="I41" i="39"/>
  <c r="J33" i="39"/>
  <c r="I33" i="39"/>
  <c r="I25" i="39"/>
  <c r="I17" i="39"/>
  <c r="I9" i="39"/>
  <c r="I38" i="39"/>
  <c r="I23" i="39"/>
  <c r="I50" i="39"/>
  <c r="J50" i="39"/>
  <c r="I42" i="39"/>
  <c r="I34" i="39"/>
  <c r="I26" i="39"/>
  <c r="I18" i="39"/>
  <c r="I10" i="39"/>
  <c r="I43" i="39"/>
  <c r="I35" i="39"/>
  <c r="I27" i="39"/>
  <c r="I19" i="39"/>
  <c r="I11" i="39"/>
  <c r="Z31" i="13"/>
  <c r="Z15" i="13"/>
  <c r="Z47" i="13"/>
  <c r="Z39" i="13"/>
  <c r="Z23" i="13"/>
  <c r="Z112" i="13"/>
  <c r="DR112" i="13"/>
  <c r="DS112" i="13" s="1"/>
  <c r="Z43" i="13"/>
  <c r="Z35" i="13"/>
  <c r="Z27" i="13"/>
  <c r="Z19" i="13"/>
  <c r="O27" i="13"/>
  <c r="Z11" i="13"/>
  <c r="O11" i="13"/>
  <c r="Q27" i="13"/>
  <c r="Q23" i="13"/>
  <c r="Q19" i="13"/>
  <c r="Q11" i="13"/>
  <c r="Q6" i="13"/>
  <c r="AM51" i="13"/>
  <c r="M6" i="13"/>
  <c r="AI51" i="13"/>
  <c r="O6" i="13"/>
  <c r="AK51" i="13"/>
  <c r="M11" i="13"/>
  <c r="M48" i="13"/>
  <c r="M44" i="13"/>
  <c r="M32" i="13"/>
  <c r="Z50" i="13"/>
  <c r="Z46" i="13"/>
  <c r="Z42" i="13"/>
  <c r="Z38" i="13"/>
  <c r="Z34" i="13"/>
  <c r="Z30" i="13"/>
  <c r="Z26" i="13"/>
  <c r="Z22" i="13"/>
  <c r="Z18" i="13"/>
  <c r="Z14" i="13"/>
  <c r="Z10" i="13"/>
  <c r="Z49" i="13"/>
  <c r="Z45" i="13"/>
  <c r="Z41" i="13"/>
  <c r="Z37" i="13"/>
  <c r="Z33" i="13"/>
  <c r="Z29" i="13"/>
  <c r="Z25" i="13"/>
  <c r="Z21" i="13"/>
  <c r="Z17" i="13"/>
  <c r="Z13" i="13"/>
  <c r="Z48" i="13"/>
  <c r="Z44" i="13"/>
  <c r="Z40" i="13"/>
  <c r="Z36" i="13"/>
  <c r="Z32" i="13"/>
  <c r="Z28" i="13"/>
  <c r="Z24" i="13"/>
  <c r="Z20" i="13"/>
  <c r="Z16" i="13"/>
  <c r="Z12" i="13"/>
  <c r="Z8" i="13"/>
  <c r="O48" i="13"/>
  <c r="O44" i="13"/>
  <c r="Z9" i="13"/>
  <c r="M41" i="13"/>
  <c r="M37" i="13"/>
  <c r="M33" i="13"/>
  <c r="M25" i="13"/>
  <c r="M21" i="13"/>
  <c r="M17" i="13"/>
  <c r="Q49" i="13"/>
  <c r="Q45" i="13"/>
  <c r="Q41" i="13"/>
  <c r="Q37" i="13"/>
  <c r="Q33" i="13"/>
  <c r="Q48" i="13"/>
  <c r="Q44" i="13"/>
  <c r="Q40" i="13"/>
  <c r="Q36" i="13"/>
  <c r="Q32" i="13"/>
  <c r="Q28" i="13"/>
  <c r="Q24" i="13"/>
  <c r="Q20" i="13"/>
  <c r="Q16" i="13"/>
  <c r="Q12" i="13"/>
  <c r="Q8" i="13"/>
  <c r="O43" i="13"/>
  <c r="O26" i="13"/>
  <c r="O22" i="13"/>
  <c r="O18" i="13"/>
  <c r="O14" i="13"/>
  <c r="Q50" i="13"/>
  <c r="O49" i="13"/>
  <c r="Q46" i="13"/>
  <c r="Q42" i="13"/>
  <c r="O41" i="13"/>
  <c r="Q38" i="13"/>
  <c r="O37" i="13"/>
  <c r="Q34" i="13"/>
  <c r="W67" i="13" s="1"/>
  <c r="O33" i="13"/>
  <c r="Q30" i="13"/>
  <c r="Q29" i="13"/>
  <c r="O28" i="13"/>
  <c r="Q25" i="13"/>
  <c r="Q21" i="13"/>
  <c r="Q17" i="13"/>
  <c r="Q13" i="13"/>
  <c r="O12" i="13"/>
  <c r="O8" i="13"/>
  <c r="O47" i="13"/>
  <c r="Q47" i="13"/>
  <c r="Q43" i="13"/>
  <c r="O42" i="13"/>
  <c r="Q39" i="13"/>
  <c r="O38" i="13"/>
  <c r="Q35" i="13"/>
  <c r="O34" i="13"/>
  <c r="Q31" i="13"/>
  <c r="Q26" i="13"/>
  <c r="O25" i="13"/>
  <c r="Q22" i="13"/>
  <c r="O21" i="13"/>
  <c r="Q18" i="13"/>
  <c r="O17" i="13"/>
  <c r="Q14" i="13"/>
  <c r="O13" i="13"/>
  <c r="M46" i="13"/>
  <c r="M36" i="13"/>
  <c r="M31" i="13"/>
  <c r="M30" i="13"/>
  <c r="M20" i="13"/>
  <c r="M16" i="13"/>
  <c r="M10" i="13"/>
  <c r="M50" i="13"/>
  <c r="O46" i="13"/>
  <c r="M45" i="13"/>
  <c r="O40" i="13"/>
  <c r="M39" i="13"/>
  <c r="O36" i="13"/>
  <c r="M35" i="13"/>
  <c r="O32" i="13"/>
  <c r="O31" i="13"/>
  <c r="O30" i="13"/>
  <c r="M29" i="13"/>
  <c r="O24" i="13"/>
  <c r="M23" i="13"/>
  <c r="O20" i="13"/>
  <c r="M19" i="13"/>
  <c r="O16" i="13"/>
  <c r="M15" i="13"/>
  <c r="O10" i="13"/>
  <c r="M9" i="13"/>
  <c r="M40" i="13"/>
  <c r="M24" i="13"/>
  <c r="O50" i="13"/>
  <c r="M49" i="13"/>
  <c r="O45" i="13"/>
  <c r="M43" i="13"/>
  <c r="M42" i="13"/>
  <c r="O39" i="13"/>
  <c r="M38" i="13"/>
  <c r="O35" i="13"/>
  <c r="M34" i="13"/>
  <c r="O29" i="13"/>
  <c r="M28" i="13"/>
  <c r="M27" i="13"/>
  <c r="M26" i="13"/>
  <c r="O23" i="13"/>
  <c r="M22" i="13"/>
  <c r="O19" i="13"/>
  <c r="M18" i="13"/>
  <c r="O15" i="13"/>
  <c r="M14" i="13"/>
  <c r="M13" i="13"/>
  <c r="M12" i="13"/>
  <c r="M8" i="13"/>
  <c r="Q10" i="13"/>
  <c r="O9" i="13"/>
  <c r="Q15" i="13"/>
  <c r="Q9" i="13"/>
  <c r="R112" i="13"/>
  <c r="S112" i="13"/>
  <c r="J27" i="39" l="1"/>
  <c r="Y19" i="29"/>
  <c r="Y19" i="30"/>
  <c r="Y40" i="29"/>
  <c r="Y40" i="30"/>
  <c r="Y41" i="30"/>
  <c r="Y41" i="29"/>
  <c r="Y42" i="30"/>
  <c r="Y42" i="29"/>
  <c r="Y37" i="30"/>
  <c r="Y37" i="29"/>
  <c r="Y50" i="30"/>
  <c r="Y50" i="29"/>
  <c r="J40" i="39"/>
  <c r="Y17" i="30"/>
  <c r="Y17" i="29"/>
  <c r="Y38" i="30"/>
  <c r="Y38" i="29"/>
  <c r="Y31" i="29"/>
  <c r="Y31" i="30"/>
  <c r="Y10" i="30"/>
  <c r="Y10" i="29"/>
  <c r="Y20" i="29"/>
  <c r="Y20" i="30"/>
  <c r="Y24" i="29"/>
  <c r="Y24" i="30"/>
  <c r="Y30" i="30"/>
  <c r="Y30" i="29"/>
  <c r="Y35" i="29"/>
  <c r="Y35" i="30"/>
  <c r="J37" i="39"/>
  <c r="Y25" i="30"/>
  <c r="Y25" i="29"/>
  <c r="Y48" i="29"/>
  <c r="Y48" i="30"/>
  <c r="Y15" i="29"/>
  <c r="Y15" i="30"/>
  <c r="Y49" i="30"/>
  <c r="Y49" i="29"/>
  <c r="Y45" i="30"/>
  <c r="Y45" i="29"/>
  <c r="Y29" i="30"/>
  <c r="Y29" i="29"/>
  <c r="Y11" i="29"/>
  <c r="Y11" i="30"/>
  <c r="Y43" i="29"/>
  <c r="Y43" i="30"/>
  <c r="Y21" i="30"/>
  <c r="Y21" i="29"/>
  <c r="J30" i="39"/>
  <c r="Y8" i="29"/>
  <c r="Y8" i="30"/>
  <c r="Y46" i="30"/>
  <c r="Y46" i="29"/>
  <c r="Y39" i="29"/>
  <c r="Y39" i="30"/>
  <c r="Y33" i="30"/>
  <c r="Y33" i="29"/>
  <c r="Y28" i="29"/>
  <c r="Y28" i="30"/>
  <c r="Y34" i="30"/>
  <c r="Y34" i="29"/>
  <c r="Y26" i="30"/>
  <c r="Y26" i="29"/>
  <c r="Y32" i="29"/>
  <c r="Y32" i="30"/>
  <c r="Y44" i="29"/>
  <c r="Y44" i="30"/>
  <c r="Y9" i="30"/>
  <c r="Y9" i="29"/>
  <c r="Y22" i="30"/>
  <c r="Y22" i="29"/>
  <c r="Y23" i="29"/>
  <c r="Y23" i="30"/>
  <c r="Y14" i="30"/>
  <c r="Y14" i="29"/>
  <c r="Y12" i="29"/>
  <c r="Y12" i="30"/>
  <c r="J32" i="39"/>
  <c r="J21" i="39"/>
  <c r="Y16" i="29"/>
  <c r="Y16" i="30"/>
  <c r="Y27" i="29"/>
  <c r="Y27" i="30"/>
  <c r="Y47" i="29"/>
  <c r="Y47" i="30"/>
  <c r="Y13" i="30"/>
  <c r="Y13" i="29"/>
  <c r="Y36" i="29"/>
  <c r="Y36" i="30"/>
  <c r="Y18" i="30"/>
  <c r="Y18" i="29"/>
  <c r="R27" i="13"/>
  <c r="R11" i="13"/>
  <c r="R6" i="13"/>
  <c r="S6" i="13"/>
  <c r="AN51" i="13"/>
  <c r="AO51" i="13"/>
  <c r="R25" i="13"/>
  <c r="R47" i="13"/>
  <c r="R48" i="13"/>
  <c r="S11" i="13"/>
  <c r="S48" i="13"/>
  <c r="S15" i="13"/>
  <c r="S23" i="13"/>
  <c r="R19" i="13"/>
  <c r="R43" i="13"/>
  <c r="R32" i="13"/>
  <c r="S44" i="13"/>
  <c r="R37" i="13"/>
  <c r="R14" i="13"/>
  <c r="R40" i="13"/>
  <c r="S31" i="13"/>
  <c r="S49" i="13"/>
  <c r="R44" i="13"/>
  <c r="S37" i="13"/>
  <c r="R36" i="13"/>
  <c r="R49" i="13"/>
  <c r="R22" i="13"/>
  <c r="R23" i="13"/>
  <c r="R13" i="13"/>
  <c r="S10" i="13"/>
  <c r="R30" i="13"/>
  <c r="S38" i="13"/>
  <c r="S47" i="13"/>
  <c r="R28" i="13"/>
  <c r="R42" i="13"/>
  <c r="S14" i="13"/>
  <c r="S32" i="13"/>
  <c r="R15" i="13"/>
  <c r="S28" i="13"/>
  <c r="R21" i="13"/>
  <c r="S40" i="13"/>
  <c r="R12" i="13"/>
  <c r="R18" i="13"/>
  <c r="S34" i="13"/>
  <c r="R50" i="13"/>
  <c r="R29" i="13"/>
  <c r="R45" i="13"/>
  <c r="R16" i="13"/>
  <c r="S17" i="13"/>
  <c r="R41" i="13"/>
  <c r="R26" i="13"/>
  <c r="S42" i="13"/>
  <c r="S12" i="13"/>
  <c r="S25" i="13"/>
  <c r="S33" i="13"/>
  <c r="S29" i="13"/>
  <c r="S16" i="13"/>
  <c r="R39" i="13"/>
  <c r="R24" i="13"/>
  <c r="R8" i="13"/>
  <c r="S21" i="13"/>
  <c r="S36" i="13"/>
  <c r="S18" i="13"/>
  <c r="R34" i="13"/>
  <c r="S27" i="13"/>
  <c r="R17" i="13"/>
  <c r="R33" i="13"/>
  <c r="R20" i="13"/>
  <c r="S8" i="13"/>
  <c r="S26" i="13"/>
  <c r="S45" i="13"/>
  <c r="T45" i="13" s="1"/>
  <c r="X45" i="13" s="1"/>
  <c r="S41" i="13"/>
  <c r="R9" i="13"/>
  <c r="S22" i="13"/>
  <c r="R38" i="13"/>
  <c r="S24" i="13"/>
  <c r="R31" i="13"/>
  <c r="T31" i="13" s="1"/>
  <c r="X31" i="13" s="1"/>
  <c r="S39" i="13"/>
  <c r="S50" i="13"/>
  <c r="R46" i="13"/>
  <c r="R35" i="13"/>
  <c r="S20" i="13"/>
  <c r="S43" i="13"/>
  <c r="R10" i="13"/>
  <c r="S46" i="13"/>
  <c r="S35" i="13"/>
  <c r="S13" i="13"/>
  <c r="S30" i="13"/>
  <c r="S19" i="13"/>
  <c r="S9" i="13"/>
  <c r="T112" i="13"/>
  <c r="T11" i="13" l="1"/>
  <c r="X11" i="13" s="1"/>
  <c r="T27" i="13"/>
  <c r="X27" i="13" s="1"/>
  <c r="T6" i="13"/>
  <c r="AA6" i="13" s="1"/>
  <c r="N6" i="30" s="1"/>
  <c r="N56" i="30" s="1"/>
  <c r="O56" i="30" s="1"/>
  <c r="AP51" i="13"/>
  <c r="AT51" i="13" s="1"/>
  <c r="T33" i="13"/>
  <c r="X33" i="13" s="1"/>
  <c r="T25" i="13"/>
  <c r="X25" i="13" s="1"/>
  <c r="T34" i="13"/>
  <c r="X34" i="13" s="1"/>
  <c r="T23" i="13"/>
  <c r="T32" i="13"/>
  <c r="X32" i="13" s="1"/>
  <c r="T47" i="13"/>
  <c r="X47" i="13" s="1"/>
  <c r="T15" i="13"/>
  <c r="X15" i="13" s="1"/>
  <c r="T13" i="13"/>
  <c r="X13" i="13" s="1"/>
  <c r="T48" i="13"/>
  <c r="X48" i="13" s="1"/>
  <c r="T43" i="13"/>
  <c r="T49" i="13"/>
  <c r="T19" i="13"/>
  <c r="T44" i="13"/>
  <c r="X44" i="13" s="1"/>
  <c r="T12" i="13"/>
  <c r="T35" i="13"/>
  <c r="X35" i="13" s="1"/>
  <c r="T41" i="13"/>
  <c r="T8" i="13"/>
  <c r="X8" i="13" s="1"/>
  <c r="T29" i="13"/>
  <c r="X29" i="13" s="1"/>
  <c r="T16" i="13"/>
  <c r="T21" i="13"/>
  <c r="X21" i="13" s="1"/>
  <c r="T37" i="13"/>
  <c r="X37" i="13" s="1"/>
  <c r="T40" i="13"/>
  <c r="X40" i="13" s="1"/>
  <c r="T28" i="13"/>
  <c r="X28" i="13" s="1"/>
  <c r="T10" i="13"/>
  <c r="T17" i="13"/>
  <c r="X17" i="13" s="1"/>
  <c r="T14" i="13"/>
  <c r="T36" i="13"/>
  <c r="X36" i="13" s="1"/>
  <c r="T46" i="13"/>
  <c r="T50" i="13"/>
  <c r="T38" i="13"/>
  <c r="X38" i="13" s="1"/>
  <c r="T24" i="13"/>
  <c r="X24" i="13" s="1"/>
  <c r="T22" i="13"/>
  <c r="T9" i="13"/>
  <c r="T39" i="13"/>
  <c r="T18" i="13"/>
  <c r="T42" i="13"/>
  <c r="X42" i="13" s="1"/>
  <c r="T30" i="13"/>
  <c r="T20" i="13"/>
  <c r="X20" i="13" s="1"/>
  <c r="T26" i="13"/>
  <c r="X112" i="13"/>
  <c r="X6" i="13" l="1"/>
  <c r="N6" i="29"/>
  <c r="N56" i="29" s="1"/>
  <c r="O56" i="29" s="1"/>
  <c r="AB6" i="13"/>
  <c r="N6" i="4" s="1"/>
  <c r="DX6" i="13"/>
  <c r="EV6" i="13" s="1"/>
  <c r="X49" i="13"/>
  <c r="X23" i="13"/>
  <c r="X19" i="13"/>
  <c r="X12" i="13"/>
  <c r="X43" i="13"/>
  <c r="X10" i="13"/>
  <c r="X41" i="13"/>
  <c r="X46" i="13"/>
  <c r="X18" i="13"/>
  <c r="X22" i="13"/>
  <c r="X16" i="13"/>
  <c r="X14" i="13"/>
  <c r="X39" i="13"/>
  <c r="X50" i="13"/>
  <c r="X9" i="13"/>
  <c r="X30" i="13"/>
  <c r="X26" i="13"/>
  <c r="J7" i="13"/>
  <c r="Q8" i="11"/>
  <c r="Q9" i="11"/>
  <c r="Q10" i="11"/>
  <c r="Q11" i="11"/>
  <c r="Q12" i="11"/>
  <c r="Q13" i="11"/>
  <c r="Q14" i="11"/>
  <c r="Q15" i="11"/>
  <c r="Q16" i="11"/>
  <c r="Q17" i="11"/>
  <c r="Q18" i="11"/>
  <c r="Q19" i="11"/>
  <c r="Q20" i="11"/>
  <c r="Q21" i="11"/>
  <c r="Q22" i="11"/>
  <c r="Q23" i="11"/>
  <c r="Q24" i="11"/>
  <c r="Q25" i="11"/>
  <c r="Q26" i="11"/>
  <c r="Q27" i="11"/>
  <c r="Q28" i="11"/>
  <c r="Q29" i="11"/>
  <c r="Q30" i="11"/>
  <c r="Q31" i="11"/>
  <c r="Q32" i="11"/>
  <c r="Q33" i="11"/>
  <c r="Q34" i="11"/>
  <c r="Q35" i="11"/>
  <c r="Q36" i="11"/>
  <c r="Q37" i="11"/>
  <c r="Q38" i="11"/>
  <c r="Q39" i="11"/>
  <c r="Q40" i="11"/>
  <c r="Q41" i="11"/>
  <c r="Q42" i="11"/>
  <c r="Q43" i="11"/>
  <c r="Q44" i="11"/>
  <c r="Q45" i="11"/>
  <c r="Q46" i="11"/>
  <c r="Q47" i="11"/>
  <c r="Q48" i="11"/>
  <c r="Q49" i="11"/>
  <c r="Q50" i="11"/>
  <c r="Q51" i="11"/>
  <c r="Q52" i="11"/>
  <c r="Q7" i="11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GB7" i="13" l="1"/>
  <c r="N98" i="29"/>
  <c r="O6" i="30"/>
  <c r="O6" i="29"/>
  <c r="O98" i="29" s="1"/>
  <c r="GA7" i="13"/>
  <c r="FV7" i="13"/>
  <c r="L7" i="30"/>
  <c r="L7" i="29"/>
  <c r="FV6" i="13"/>
  <c r="I8" i="13"/>
  <c r="FW8" i="13" l="1"/>
  <c r="FW9" i="13"/>
  <c r="FW6" i="13"/>
  <c r="FW7" i="13"/>
  <c r="K8" i="30"/>
  <c r="K8" i="29"/>
  <c r="L7" i="13"/>
  <c r="N7" i="13"/>
  <c r="P7" i="13"/>
  <c r="U7" i="13"/>
  <c r="V7" i="13"/>
  <c r="W7" i="13"/>
  <c r="Y7" i="13"/>
  <c r="AH7" i="13"/>
  <c r="AJ7" i="13"/>
  <c r="AL7" i="13"/>
  <c r="AQ7" i="13"/>
  <c r="AR7" i="13"/>
  <c r="AS7" i="13"/>
  <c r="AU7" i="13"/>
  <c r="U23" i="24" s="1"/>
  <c r="BC7" i="13"/>
  <c r="BE7" i="13"/>
  <c r="BG7" i="13"/>
  <c r="BL7" i="13"/>
  <c r="BM7" i="13"/>
  <c r="BN7" i="13"/>
  <c r="BP7" i="13"/>
  <c r="U24" i="24" s="1"/>
  <c r="BX7" i="13"/>
  <c r="BZ7" i="13"/>
  <c r="CB7" i="13"/>
  <c r="CG7" i="13"/>
  <c r="CH7" i="13"/>
  <c r="CI7" i="13"/>
  <c r="CK7" i="13"/>
  <c r="CS7" i="13"/>
  <c r="CU7" i="13"/>
  <c r="CW7" i="13"/>
  <c r="DB7" i="13"/>
  <c r="DC7" i="13"/>
  <c r="DD7" i="13"/>
  <c r="DF7" i="13"/>
  <c r="AH8" i="13"/>
  <c r="AJ8" i="13"/>
  <c r="AL8" i="13"/>
  <c r="AQ8" i="13"/>
  <c r="AR8" i="13"/>
  <c r="AS8" i="13"/>
  <c r="BC8" i="13"/>
  <c r="BE8" i="13"/>
  <c r="BG8" i="13"/>
  <c r="BL8" i="13"/>
  <c r="BM8" i="13"/>
  <c r="BN8" i="13"/>
  <c r="BP8" i="13"/>
  <c r="BX8" i="13"/>
  <c r="BZ8" i="13"/>
  <c r="CB8" i="13"/>
  <c r="CG8" i="13"/>
  <c r="CH8" i="13"/>
  <c r="CI8" i="13"/>
  <c r="CK8" i="13"/>
  <c r="CS8" i="13"/>
  <c r="CU8" i="13"/>
  <c r="CW8" i="13"/>
  <c r="DB8" i="13"/>
  <c r="DC8" i="13"/>
  <c r="DD8" i="13"/>
  <c r="DF8" i="13"/>
  <c r="AH9" i="13"/>
  <c r="AJ9" i="13"/>
  <c r="AL9" i="13"/>
  <c r="AQ9" i="13"/>
  <c r="AR9" i="13"/>
  <c r="AS9" i="13"/>
  <c r="BC9" i="13"/>
  <c r="BE9" i="13"/>
  <c r="BG9" i="13"/>
  <c r="BL9" i="13"/>
  <c r="BM9" i="13"/>
  <c r="BN9" i="13"/>
  <c r="BP9" i="13"/>
  <c r="BX9" i="13"/>
  <c r="BZ9" i="13"/>
  <c r="CB9" i="13"/>
  <c r="CG9" i="13"/>
  <c r="CH9" i="13"/>
  <c r="CI9" i="13"/>
  <c r="CK9" i="13"/>
  <c r="CS9" i="13"/>
  <c r="CU9" i="13"/>
  <c r="CW9" i="13"/>
  <c r="DB9" i="13"/>
  <c r="DC9" i="13"/>
  <c r="DD9" i="13"/>
  <c r="DF9" i="13"/>
  <c r="AH10" i="13"/>
  <c r="AJ10" i="13"/>
  <c r="AL10" i="13"/>
  <c r="AQ10" i="13"/>
  <c r="AR10" i="13"/>
  <c r="AS10" i="13"/>
  <c r="BC10" i="13"/>
  <c r="BE10" i="13"/>
  <c r="BG10" i="13"/>
  <c r="BL10" i="13"/>
  <c r="BM10" i="13"/>
  <c r="BN10" i="13"/>
  <c r="BP10" i="13"/>
  <c r="BX10" i="13"/>
  <c r="BZ10" i="13"/>
  <c r="CB10" i="13"/>
  <c r="CG10" i="13"/>
  <c r="CH10" i="13"/>
  <c r="CI10" i="13"/>
  <c r="CK10" i="13"/>
  <c r="CS10" i="13"/>
  <c r="CU10" i="13"/>
  <c r="CW10" i="13"/>
  <c r="DB10" i="13"/>
  <c r="DC10" i="13"/>
  <c r="DD10" i="13"/>
  <c r="DF10" i="13"/>
  <c r="AH11" i="13"/>
  <c r="AJ11" i="13"/>
  <c r="AL11" i="13"/>
  <c r="AQ11" i="13"/>
  <c r="AR11" i="13"/>
  <c r="AS11" i="13"/>
  <c r="BC11" i="13"/>
  <c r="BE11" i="13"/>
  <c r="BG11" i="13"/>
  <c r="BL11" i="13"/>
  <c r="BM11" i="13"/>
  <c r="BN11" i="13"/>
  <c r="BP11" i="13"/>
  <c r="BX11" i="13"/>
  <c r="BZ11" i="13"/>
  <c r="CB11" i="13"/>
  <c r="CG11" i="13"/>
  <c r="CH11" i="13"/>
  <c r="CI11" i="13"/>
  <c r="CK11" i="13"/>
  <c r="CS11" i="13"/>
  <c r="CU11" i="13"/>
  <c r="CW11" i="13"/>
  <c r="DB11" i="13"/>
  <c r="DC11" i="13"/>
  <c r="DD11" i="13"/>
  <c r="DF11" i="13"/>
  <c r="AH12" i="13"/>
  <c r="AJ12" i="13"/>
  <c r="AL12" i="13"/>
  <c r="AQ12" i="13"/>
  <c r="AR12" i="13"/>
  <c r="AS12" i="13"/>
  <c r="BC12" i="13"/>
  <c r="BE12" i="13"/>
  <c r="BG12" i="13"/>
  <c r="BL12" i="13"/>
  <c r="BM12" i="13"/>
  <c r="BN12" i="13"/>
  <c r="BP12" i="13"/>
  <c r="BX12" i="13"/>
  <c r="BZ12" i="13"/>
  <c r="CB12" i="13"/>
  <c r="CG12" i="13"/>
  <c r="CH12" i="13"/>
  <c r="CI12" i="13"/>
  <c r="CK12" i="13"/>
  <c r="CS12" i="13"/>
  <c r="CU12" i="13"/>
  <c r="CW12" i="13"/>
  <c r="DB12" i="13"/>
  <c r="DC12" i="13"/>
  <c r="DD12" i="13"/>
  <c r="DF12" i="13"/>
  <c r="AH13" i="13"/>
  <c r="AJ13" i="13"/>
  <c r="AL13" i="13"/>
  <c r="AQ13" i="13"/>
  <c r="AR13" i="13"/>
  <c r="AS13" i="13"/>
  <c r="BC13" i="13"/>
  <c r="BE13" i="13"/>
  <c r="BG13" i="13"/>
  <c r="BL13" i="13"/>
  <c r="BM13" i="13"/>
  <c r="BN13" i="13"/>
  <c r="BP13" i="13"/>
  <c r="BX13" i="13"/>
  <c r="BZ13" i="13"/>
  <c r="CB13" i="13"/>
  <c r="CG13" i="13"/>
  <c r="CH13" i="13"/>
  <c r="CI13" i="13"/>
  <c r="CK13" i="13"/>
  <c r="CS13" i="13"/>
  <c r="CU13" i="13"/>
  <c r="CW13" i="13"/>
  <c r="DB13" i="13"/>
  <c r="DC13" i="13"/>
  <c r="DD13" i="13"/>
  <c r="DF13" i="13"/>
  <c r="AH14" i="13"/>
  <c r="AJ14" i="13"/>
  <c r="AL14" i="13"/>
  <c r="AQ14" i="13"/>
  <c r="AR14" i="13"/>
  <c r="AS14" i="13"/>
  <c r="BC14" i="13"/>
  <c r="BE14" i="13"/>
  <c r="BG14" i="13"/>
  <c r="BL14" i="13"/>
  <c r="BM14" i="13"/>
  <c r="BN14" i="13"/>
  <c r="BP14" i="13"/>
  <c r="BX14" i="13"/>
  <c r="BZ14" i="13"/>
  <c r="CB14" i="13"/>
  <c r="CG14" i="13"/>
  <c r="CH14" i="13"/>
  <c r="CI14" i="13"/>
  <c r="CK14" i="13"/>
  <c r="CS14" i="13"/>
  <c r="CU14" i="13"/>
  <c r="CW14" i="13"/>
  <c r="DB14" i="13"/>
  <c r="DC14" i="13"/>
  <c r="DD14" i="13"/>
  <c r="DF14" i="13"/>
  <c r="AH15" i="13"/>
  <c r="AJ15" i="13"/>
  <c r="AL15" i="13"/>
  <c r="AQ15" i="13"/>
  <c r="AR15" i="13"/>
  <c r="AS15" i="13"/>
  <c r="BC15" i="13"/>
  <c r="BE15" i="13"/>
  <c r="BG15" i="13"/>
  <c r="BL15" i="13"/>
  <c r="BM15" i="13"/>
  <c r="BN15" i="13"/>
  <c r="BP15" i="13"/>
  <c r="BX15" i="13"/>
  <c r="BZ15" i="13"/>
  <c r="CB15" i="13"/>
  <c r="CG15" i="13"/>
  <c r="CH15" i="13"/>
  <c r="CI15" i="13"/>
  <c r="CK15" i="13"/>
  <c r="CS15" i="13"/>
  <c r="CU15" i="13"/>
  <c r="CW15" i="13"/>
  <c r="DB15" i="13"/>
  <c r="DC15" i="13"/>
  <c r="DD15" i="13"/>
  <c r="DF15" i="13"/>
  <c r="AH16" i="13"/>
  <c r="AJ16" i="13"/>
  <c r="AL16" i="13"/>
  <c r="AQ16" i="13"/>
  <c r="AR16" i="13"/>
  <c r="AS16" i="13"/>
  <c r="BC16" i="13"/>
  <c r="BE16" i="13"/>
  <c r="BG16" i="13"/>
  <c r="BL16" i="13"/>
  <c r="BM16" i="13"/>
  <c r="BN16" i="13"/>
  <c r="BP16" i="13"/>
  <c r="BX16" i="13"/>
  <c r="BZ16" i="13"/>
  <c r="CB16" i="13"/>
  <c r="CG16" i="13"/>
  <c r="CH16" i="13"/>
  <c r="CI16" i="13"/>
  <c r="CK16" i="13"/>
  <c r="CS16" i="13"/>
  <c r="CU16" i="13"/>
  <c r="CW16" i="13"/>
  <c r="DB16" i="13"/>
  <c r="DC16" i="13"/>
  <c r="DD16" i="13"/>
  <c r="DF16" i="13"/>
  <c r="AH17" i="13"/>
  <c r="AJ17" i="13"/>
  <c r="AL17" i="13"/>
  <c r="AQ17" i="13"/>
  <c r="AR17" i="13"/>
  <c r="AS17" i="13"/>
  <c r="BC17" i="13"/>
  <c r="BE17" i="13"/>
  <c r="BG17" i="13"/>
  <c r="BL17" i="13"/>
  <c r="BM17" i="13"/>
  <c r="BN17" i="13"/>
  <c r="BP17" i="13"/>
  <c r="BX17" i="13"/>
  <c r="BZ17" i="13"/>
  <c r="CB17" i="13"/>
  <c r="CG17" i="13"/>
  <c r="CH17" i="13"/>
  <c r="CI17" i="13"/>
  <c r="CK17" i="13"/>
  <c r="CS17" i="13"/>
  <c r="CU17" i="13"/>
  <c r="CW17" i="13"/>
  <c r="DB17" i="13"/>
  <c r="DC17" i="13"/>
  <c r="DD17" i="13"/>
  <c r="DF17" i="13"/>
  <c r="AH18" i="13"/>
  <c r="AJ18" i="13"/>
  <c r="AL18" i="13"/>
  <c r="AQ18" i="13"/>
  <c r="AR18" i="13"/>
  <c r="AS18" i="13"/>
  <c r="BC18" i="13"/>
  <c r="BE18" i="13"/>
  <c r="BG18" i="13"/>
  <c r="BL18" i="13"/>
  <c r="BM18" i="13"/>
  <c r="BN18" i="13"/>
  <c r="BP18" i="13"/>
  <c r="BX18" i="13"/>
  <c r="BZ18" i="13"/>
  <c r="CB18" i="13"/>
  <c r="CG18" i="13"/>
  <c r="CH18" i="13"/>
  <c r="CI18" i="13"/>
  <c r="CK18" i="13"/>
  <c r="CS18" i="13"/>
  <c r="CU18" i="13"/>
  <c r="CW18" i="13"/>
  <c r="DB18" i="13"/>
  <c r="DC18" i="13"/>
  <c r="DD18" i="13"/>
  <c r="DF18" i="13"/>
  <c r="AH19" i="13"/>
  <c r="AJ19" i="13"/>
  <c r="AL19" i="13"/>
  <c r="AQ19" i="13"/>
  <c r="AR19" i="13"/>
  <c r="AS19" i="13"/>
  <c r="BC19" i="13"/>
  <c r="BE19" i="13"/>
  <c r="BG19" i="13"/>
  <c r="BL19" i="13"/>
  <c r="BM19" i="13"/>
  <c r="BN19" i="13"/>
  <c r="BP19" i="13"/>
  <c r="BX19" i="13"/>
  <c r="BZ19" i="13"/>
  <c r="CB19" i="13"/>
  <c r="CG19" i="13"/>
  <c r="CH19" i="13"/>
  <c r="CI19" i="13"/>
  <c r="CK19" i="13"/>
  <c r="CS19" i="13"/>
  <c r="CU19" i="13"/>
  <c r="CW19" i="13"/>
  <c r="DB19" i="13"/>
  <c r="DC19" i="13"/>
  <c r="DD19" i="13"/>
  <c r="DF19" i="13"/>
  <c r="AH20" i="13"/>
  <c r="AJ20" i="13"/>
  <c r="AL20" i="13"/>
  <c r="AQ20" i="13"/>
  <c r="AR20" i="13"/>
  <c r="AS20" i="13"/>
  <c r="BC20" i="13"/>
  <c r="BE20" i="13"/>
  <c r="BG20" i="13"/>
  <c r="BL20" i="13"/>
  <c r="BM20" i="13"/>
  <c r="BN20" i="13"/>
  <c r="BP20" i="13"/>
  <c r="BX20" i="13"/>
  <c r="BZ20" i="13"/>
  <c r="CB20" i="13"/>
  <c r="CG20" i="13"/>
  <c r="CH20" i="13"/>
  <c r="CI20" i="13"/>
  <c r="CK20" i="13"/>
  <c r="CS20" i="13"/>
  <c r="CU20" i="13"/>
  <c r="CW20" i="13"/>
  <c r="DB20" i="13"/>
  <c r="DC20" i="13"/>
  <c r="DD20" i="13"/>
  <c r="DF20" i="13"/>
  <c r="AH21" i="13"/>
  <c r="AJ21" i="13"/>
  <c r="AL21" i="13"/>
  <c r="AQ21" i="13"/>
  <c r="AR21" i="13"/>
  <c r="AS21" i="13"/>
  <c r="BC21" i="13"/>
  <c r="BE21" i="13"/>
  <c r="BG21" i="13"/>
  <c r="BL21" i="13"/>
  <c r="BM21" i="13"/>
  <c r="BN21" i="13"/>
  <c r="BP21" i="13"/>
  <c r="BX21" i="13"/>
  <c r="BZ21" i="13"/>
  <c r="CB21" i="13"/>
  <c r="CG21" i="13"/>
  <c r="CH21" i="13"/>
  <c r="CI21" i="13"/>
  <c r="CK21" i="13"/>
  <c r="CS21" i="13"/>
  <c r="CU21" i="13"/>
  <c r="CW21" i="13"/>
  <c r="DB21" i="13"/>
  <c r="DC21" i="13"/>
  <c r="DD21" i="13"/>
  <c r="DF21" i="13"/>
  <c r="AH22" i="13"/>
  <c r="AJ22" i="13"/>
  <c r="AL22" i="13"/>
  <c r="AQ22" i="13"/>
  <c r="AR22" i="13"/>
  <c r="AS22" i="13"/>
  <c r="BC22" i="13"/>
  <c r="BE22" i="13"/>
  <c r="BG22" i="13"/>
  <c r="BL22" i="13"/>
  <c r="BM22" i="13"/>
  <c r="BN22" i="13"/>
  <c r="BP22" i="13"/>
  <c r="BX22" i="13"/>
  <c r="BZ22" i="13"/>
  <c r="CB22" i="13"/>
  <c r="CG22" i="13"/>
  <c r="CH22" i="13"/>
  <c r="CI22" i="13"/>
  <c r="CK22" i="13"/>
  <c r="CS22" i="13"/>
  <c r="CU22" i="13"/>
  <c r="CW22" i="13"/>
  <c r="DB22" i="13"/>
  <c r="DC22" i="13"/>
  <c r="DD22" i="13"/>
  <c r="DF22" i="13"/>
  <c r="AH23" i="13"/>
  <c r="AJ23" i="13"/>
  <c r="AL23" i="13"/>
  <c r="AQ23" i="13"/>
  <c r="AR23" i="13"/>
  <c r="AS23" i="13"/>
  <c r="BC23" i="13"/>
  <c r="BE23" i="13"/>
  <c r="BG23" i="13"/>
  <c r="BL23" i="13"/>
  <c r="BM23" i="13"/>
  <c r="BN23" i="13"/>
  <c r="BP23" i="13"/>
  <c r="BX23" i="13"/>
  <c r="BZ23" i="13"/>
  <c r="CB23" i="13"/>
  <c r="CG23" i="13"/>
  <c r="CH23" i="13"/>
  <c r="CI23" i="13"/>
  <c r="CK23" i="13"/>
  <c r="CS23" i="13"/>
  <c r="CU23" i="13"/>
  <c r="CW23" i="13"/>
  <c r="DB23" i="13"/>
  <c r="DC23" i="13"/>
  <c r="DD23" i="13"/>
  <c r="DF23" i="13"/>
  <c r="AH24" i="13"/>
  <c r="AH90" i="13" s="1"/>
  <c r="AJ24" i="13"/>
  <c r="AL24" i="13"/>
  <c r="AQ24" i="13"/>
  <c r="AR24" i="13"/>
  <c r="AS24" i="13"/>
  <c r="BC24" i="13"/>
  <c r="BE24" i="13"/>
  <c r="BG24" i="13"/>
  <c r="BL24" i="13"/>
  <c r="BM24" i="13"/>
  <c r="BN24" i="13"/>
  <c r="BP24" i="13"/>
  <c r="BX24" i="13"/>
  <c r="BZ24" i="13"/>
  <c r="CB24" i="13"/>
  <c r="CG24" i="13"/>
  <c r="CH24" i="13"/>
  <c r="CI24" i="13"/>
  <c r="CK24" i="13"/>
  <c r="CS24" i="13"/>
  <c r="CU24" i="13"/>
  <c r="CW24" i="13"/>
  <c r="DB24" i="13"/>
  <c r="DC24" i="13"/>
  <c r="DD24" i="13"/>
  <c r="DF24" i="13"/>
  <c r="AH25" i="13"/>
  <c r="AJ25" i="13"/>
  <c r="AL25" i="13"/>
  <c r="AQ25" i="13"/>
  <c r="AR25" i="13"/>
  <c r="AS25" i="13"/>
  <c r="BC25" i="13"/>
  <c r="BE25" i="13"/>
  <c r="BG25" i="13"/>
  <c r="BL25" i="13"/>
  <c r="BM25" i="13"/>
  <c r="BN25" i="13"/>
  <c r="BP25" i="13"/>
  <c r="BX25" i="13"/>
  <c r="BZ25" i="13"/>
  <c r="CB25" i="13"/>
  <c r="CG25" i="13"/>
  <c r="CH25" i="13"/>
  <c r="CI25" i="13"/>
  <c r="CK25" i="13"/>
  <c r="CS25" i="13"/>
  <c r="CU25" i="13"/>
  <c r="CW25" i="13"/>
  <c r="DB25" i="13"/>
  <c r="DC25" i="13"/>
  <c r="DD25" i="13"/>
  <c r="DF25" i="13"/>
  <c r="AH26" i="13"/>
  <c r="AJ26" i="13"/>
  <c r="AL26" i="13"/>
  <c r="AQ26" i="13"/>
  <c r="AR26" i="13"/>
  <c r="AS26" i="13"/>
  <c r="BC26" i="13"/>
  <c r="BE26" i="13"/>
  <c r="BG26" i="13"/>
  <c r="BL26" i="13"/>
  <c r="BM26" i="13"/>
  <c r="BN26" i="13"/>
  <c r="BP26" i="13"/>
  <c r="BX26" i="13"/>
  <c r="BZ26" i="13"/>
  <c r="CB26" i="13"/>
  <c r="CG26" i="13"/>
  <c r="CH26" i="13"/>
  <c r="CI26" i="13"/>
  <c r="CK26" i="13"/>
  <c r="CS26" i="13"/>
  <c r="CU26" i="13"/>
  <c r="CW26" i="13"/>
  <c r="DB26" i="13"/>
  <c r="DC26" i="13"/>
  <c r="DD26" i="13"/>
  <c r="DF26" i="13"/>
  <c r="AH27" i="13"/>
  <c r="AJ27" i="13"/>
  <c r="AL27" i="13"/>
  <c r="AQ27" i="13"/>
  <c r="AR27" i="13"/>
  <c r="AS27" i="13"/>
  <c r="BC27" i="13"/>
  <c r="BE27" i="13"/>
  <c r="BG27" i="13"/>
  <c r="BL27" i="13"/>
  <c r="BM27" i="13"/>
  <c r="BN27" i="13"/>
  <c r="BP27" i="13"/>
  <c r="BX27" i="13"/>
  <c r="BZ27" i="13"/>
  <c r="CB27" i="13"/>
  <c r="CG27" i="13"/>
  <c r="CH27" i="13"/>
  <c r="CI27" i="13"/>
  <c r="CK27" i="13"/>
  <c r="CS27" i="13"/>
  <c r="CU27" i="13"/>
  <c r="CW27" i="13"/>
  <c r="DB27" i="13"/>
  <c r="DC27" i="13"/>
  <c r="DD27" i="13"/>
  <c r="DF27" i="13"/>
  <c r="AH28" i="13"/>
  <c r="AJ28" i="13"/>
  <c r="AL28" i="13"/>
  <c r="AQ28" i="13"/>
  <c r="AR28" i="13"/>
  <c r="AS28" i="13"/>
  <c r="BC28" i="13"/>
  <c r="BE28" i="13"/>
  <c r="BG28" i="13"/>
  <c r="BL28" i="13"/>
  <c r="BM28" i="13"/>
  <c r="BN28" i="13"/>
  <c r="BP28" i="13"/>
  <c r="BX28" i="13"/>
  <c r="BZ28" i="13"/>
  <c r="CB28" i="13"/>
  <c r="CG28" i="13"/>
  <c r="CH28" i="13"/>
  <c r="CI28" i="13"/>
  <c r="CK28" i="13"/>
  <c r="CS28" i="13"/>
  <c r="CU28" i="13"/>
  <c r="CW28" i="13"/>
  <c r="DB28" i="13"/>
  <c r="DC28" i="13"/>
  <c r="DD28" i="13"/>
  <c r="DF28" i="13"/>
  <c r="AH29" i="13"/>
  <c r="AJ29" i="13"/>
  <c r="AL29" i="13"/>
  <c r="AQ29" i="13"/>
  <c r="AR29" i="13"/>
  <c r="AS29" i="13"/>
  <c r="BC29" i="13"/>
  <c r="BE29" i="13"/>
  <c r="BG29" i="13"/>
  <c r="BL29" i="13"/>
  <c r="BM29" i="13"/>
  <c r="BN29" i="13"/>
  <c r="BP29" i="13"/>
  <c r="BX29" i="13"/>
  <c r="BZ29" i="13"/>
  <c r="CB29" i="13"/>
  <c r="CG29" i="13"/>
  <c r="CH29" i="13"/>
  <c r="CI29" i="13"/>
  <c r="CK29" i="13"/>
  <c r="CS29" i="13"/>
  <c r="CU29" i="13"/>
  <c r="CW29" i="13"/>
  <c r="DB29" i="13"/>
  <c r="DC29" i="13"/>
  <c r="DD29" i="13"/>
  <c r="DF29" i="13"/>
  <c r="AH30" i="13"/>
  <c r="AJ30" i="13"/>
  <c r="AL30" i="13"/>
  <c r="AQ30" i="13"/>
  <c r="AR30" i="13"/>
  <c r="AS30" i="13"/>
  <c r="BC30" i="13"/>
  <c r="BE30" i="13"/>
  <c r="BG30" i="13"/>
  <c r="BL30" i="13"/>
  <c r="BM30" i="13"/>
  <c r="BN30" i="13"/>
  <c r="BP30" i="13"/>
  <c r="BX30" i="13"/>
  <c r="BZ30" i="13"/>
  <c r="CB30" i="13"/>
  <c r="CG30" i="13"/>
  <c r="CH30" i="13"/>
  <c r="CI30" i="13"/>
  <c r="CK30" i="13"/>
  <c r="CS30" i="13"/>
  <c r="CU30" i="13"/>
  <c r="CW30" i="13"/>
  <c r="DB30" i="13"/>
  <c r="DC30" i="13"/>
  <c r="DD30" i="13"/>
  <c r="DF30" i="13"/>
  <c r="AH31" i="13"/>
  <c r="AJ31" i="13"/>
  <c r="AL31" i="13"/>
  <c r="AQ31" i="13"/>
  <c r="AR31" i="13"/>
  <c r="AS31" i="13"/>
  <c r="BC31" i="13"/>
  <c r="BE31" i="13"/>
  <c r="BG31" i="13"/>
  <c r="BL31" i="13"/>
  <c r="BM31" i="13"/>
  <c r="BN31" i="13"/>
  <c r="BP31" i="13"/>
  <c r="BX31" i="13"/>
  <c r="BZ31" i="13"/>
  <c r="CB31" i="13"/>
  <c r="CG31" i="13"/>
  <c r="CH31" i="13"/>
  <c r="CI31" i="13"/>
  <c r="CK31" i="13"/>
  <c r="CS31" i="13"/>
  <c r="CU31" i="13"/>
  <c r="CW31" i="13"/>
  <c r="DB31" i="13"/>
  <c r="DC31" i="13"/>
  <c r="DD31" i="13"/>
  <c r="DF31" i="13"/>
  <c r="AH32" i="13"/>
  <c r="AJ32" i="13"/>
  <c r="AL32" i="13"/>
  <c r="AQ32" i="13"/>
  <c r="AR32" i="13"/>
  <c r="AS32" i="13"/>
  <c r="BC32" i="13"/>
  <c r="BE32" i="13"/>
  <c r="BG32" i="13"/>
  <c r="BL32" i="13"/>
  <c r="BM32" i="13"/>
  <c r="BN32" i="13"/>
  <c r="BP32" i="13"/>
  <c r="BX32" i="13"/>
  <c r="BZ32" i="13"/>
  <c r="CB32" i="13"/>
  <c r="CG32" i="13"/>
  <c r="CH32" i="13"/>
  <c r="CI32" i="13"/>
  <c r="CK32" i="13"/>
  <c r="CS32" i="13"/>
  <c r="CU32" i="13"/>
  <c r="CW32" i="13"/>
  <c r="DB32" i="13"/>
  <c r="DC32" i="13"/>
  <c r="DD32" i="13"/>
  <c r="DF32" i="13"/>
  <c r="AH33" i="13"/>
  <c r="AJ33" i="13"/>
  <c r="AL33" i="13"/>
  <c r="AQ33" i="13"/>
  <c r="AR33" i="13"/>
  <c r="AS33" i="13"/>
  <c r="BC33" i="13"/>
  <c r="BE33" i="13"/>
  <c r="BG33" i="13"/>
  <c r="BL33" i="13"/>
  <c r="BM33" i="13"/>
  <c r="BN33" i="13"/>
  <c r="BP33" i="13"/>
  <c r="BX33" i="13"/>
  <c r="BZ33" i="13"/>
  <c r="CB33" i="13"/>
  <c r="CG33" i="13"/>
  <c r="CH33" i="13"/>
  <c r="CI33" i="13"/>
  <c r="CK33" i="13"/>
  <c r="CS33" i="13"/>
  <c r="CU33" i="13"/>
  <c r="CW33" i="13"/>
  <c r="DB33" i="13"/>
  <c r="DC33" i="13"/>
  <c r="DD33" i="13"/>
  <c r="DF33" i="13"/>
  <c r="AH34" i="13"/>
  <c r="AJ34" i="13"/>
  <c r="AL34" i="13"/>
  <c r="AQ34" i="13"/>
  <c r="AR34" i="13"/>
  <c r="AS34" i="13"/>
  <c r="BC34" i="13"/>
  <c r="BE34" i="13"/>
  <c r="BG34" i="13"/>
  <c r="BL34" i="13"/>
  <c r="BM34" i="13"/>
  <c r="BN34" i="13"/>
  <c r="BP34" i="13"/>
  <c r="BX34" i="13"/>
  <c r="BZ34" i="13"/>
  <c r="CB34" i="13"/>
  <c r="CG34" i="13"/>
  <c r="CH34" i="13"/>
  <c r="CI34" i="13"/>
  <c r="CK34" i="13"/>
  <c r="CS34" i="13"/>
  <c r="CU34" i="13"/>
  <c r="CW34" i="13"/>
  <c r="DB34" i="13"/>
  <c r="DC34" i="13"/>
  <c r="DD34" i="13"/>
  <c r="DF34" i="13"/>
  <c r="AH35" i="13"/>
  <c r="AJ35" i="13"/>
  <c r="AL35" i="13"/>
  <c r="AQ35" i="13"/>
  <c r="AR35" i="13"/>
  <c r="AS35" i="13"/>
  <c r="BC35" i="13"/>
  <c r="BE35" i="13"/>
  <c r="BG35" i="13"/>
  <c r="BL35" i="13"/>
  <c r="BM35" i="13"/>
  <c r="BN35" i="13"/>
  <c r="BP35" i="13"/>
  <c r="BX35" i="13"/>
  <c r="BZ35" i="13"/>
  <c r="CB35" i="13"/>
  <c r="CG35" i="13"/>
  <c r="CH35" i="13"/>
  <c r="CI35" i="13"/>
  <c r="CK35" i="13"/>
  <c r="CS35" i="13"/>
  <c r="CU35" i="13"/>
  <c r="CW35" i="13"/>
  <c r="DB35" i="13"/>
  <c r="DC35" i="13"/>
  <c r="DD35" i="13"/>
  <c r="DF35" i="13"/>
  <c r="AH36" i="13"/>
  <c r="AJ36" i="13"/>
  <c r="AL36" i="13"/>
  <c r="AQ36" i="13"/>
  <c r="AR36" i="13"/>
  <c r="AS36" i="13"/>
  <c r="BC36" i="13"/>
  <c r="BE36" i="13"/>
  <c r="BG36" i="13"/>
  <c r="BL36" i="13"/>
  <c r="BM36" i="13"/>
  <c r="BN36" i="13"/>
  <c r="BP36" i="13"/>
  <c r="BX36" i="13"/>
  <c r="BZ36" i="13"/>
  <c r="CB36" i="13"/>
  <c r="CG36" i="13"/>
  <c r="CH36" i="13"/>
  <c r="CI36" i="13"/>
  <c r="CK36" i="13"/>
  <c r="CS36" i="13"/>
  <c r="CU36" i="13"/>
  <c r="CW36" i="13"/>
  <c r="DB36" i="13"/>
  <c r="DC36" i="13"/>
  <c r="DD36" i="13"/>
  <c r="DF36" i="13"/>
  <c r="AH37" i="13"/>
  <c r="AJ37" i="13"/>
  <c r="AL37" i="13"/>
  <c r="AQ37" i="13"/>
  <c r="AR37" i="13"/>
  <c r="AS37" i="13"/>
  <c r="BC37" i="13"/>
  <c r="BE37" i="13"/>
  <c r="BG37" i="13"/>
  <c r="BL37" i="13"/>
  <c r="BM37" i="13"/>
  <c r="BN37" i="13"/>
  <c r="BP37" i="13"/>
  <c r="BX37" i="13"/>
  <c r="BZ37" i="13"/>
  <c r="CB37" i="13"/>
  <c r="CG37" i="13"/>
  <c r="CH37" i="13"/>
  <c r="CI37" i="13"/>
  <c r="CK37" i="13"/>
  <c r="CS37" i="13"/>
  <c r="CU37" i="13"/>
  <c r="CW37" i="13"/>
  <c r="DB37" i="13"/>
  <c r="DC37" i="13"/>
  <c r="DD37" i="13"/>
  <c r="DF37" i="13"/>
  <c r="AH38" i="13"/>
  <c r="AJ38" i="13"/>
  <c r="AL38" i="13"/>
  <c r="AQ38" i="13"/>
  <c r="AR38" i="13"/>
  <c r="AS38" i="13"/>
  <c r="BC38" i="13"/>
  <c r="BE38" i="13"/>
  <c r="BG38" i="13"/>
  <c r="BL38" i="13"/>
  <c r="BM38" i="13"/>
  <c r="BN38" i="13"/>
  <c r="BP38" i="13"/>
  <c r="BX38" i="13"/>
  <c r="BZ38" i="13"/>
  <c r="CB38" i="13"/>
  <c r="CG38" i="13"/>
  <c r="CH38" i="13"/>
  <c r="CI38" i="13"/>
  <c r="CK38" i="13"/>
  <c r="CS38" i="13"/>
  <c r="CU38" i="13"/>
  <c r="CW38" i="13"/>
  <c r="DB38" i="13"/>
  <c r="DC38" i="13"/>
  <c r="DD38" i="13"/>
  <c r="DF38" i="13"/>
  <c r="AH39" i="13"/>
  <c r="AJ39" i="13"/>
  <c r="AL39" i="13"/>
  <c r="AQ39" i="13"/>
  <c r="AR39" i="13"/>
  <c r="AS39" i="13"/>
  <c r="BC39" i="13"/>
  <c r="BE39" i="13"/>
  <c r="BG39" i="13"/>
  <c r="BL39" i="13"/>
  <c r="BM39" i="13"/>
  <c r="BN39" i="13"/>
  <c r="BP39" i="13"/>
  <c r="BX39" i="13"/>
  <c r="BZ39" i="13"/>
  <c r="CB39" i="13"/>
  <c r="CG39" i="13"/>
  <c r="CH39" i="13"/>
  <c r="CI39" i="13"/>
  <c r="CK39" i="13"/>
  <c r="CS39" i="13"/>
  <c r="CU39" i="13"/>
  <c r="CW39" i="13"/>
  <c r="DB39" i="13"/>
  <c r="DC39" i="13"/>
  <c r="DD39" i="13"/>
  <c r="DF39" i="13"/>
  <c r="AH40" i="13"/>
  <c r="AJ40" i="13"/>
  <c r="AL40" i="13"/>
  <c r="AQ40" i="13"/>
  <c r="AR40" i="13"/>
  <c r="AS40" i="13"/>
  <c r="BC40" i="13"/>
  <c r="BE40" i="13"/>
  <c r="BG40" i="13"/>
  <c r="BL40" i="13"/>
  <c r="BM40" i="13"/>
  <c r="BN40" i="13"/>
  <c r="BP40" i="13"/>
  <c r="BX40" i="13"/>
  <c r="BZ40" i="13"/>
  <c r="CB40" i="13"/>
  <c r="CG40" i="13"/>
  <c r="CH40" i="13"/>
  <c r="CI40" i="13"/>
  <c r="CK40" i="13"/>
  <c r="CS40" i="13"/>
  <c r="CU40" i="13"/>
  <c r="CW40" i="13"/>
  <c r="DB40" i="13"/>
  <c r="DC40" i="13"/>
  <c r="DD40" i="13"/>
  <c r="DF40" i="13"/>
  <c r="AH41" i="13"/>
  <c r="AJ41" i="13"/>
  <c r="AL41" i="13"/>
  <c r="AQ41" i="13"/>
  <c r="AR41" i="13"/>
  <c r="AS41" i="13"/>
  <c r="BC41" i="13"/>
  <c r="BE41" i="13"/>
  <c r="BG41" i="13"/>
  <c r="BL41" i="13"/>
  <c r="BM41" i="13"/>
  <c r="BN41" i="13"/>
  <c r="BP41" i="13"/>
  <c r="BX41" i="13"/>
  <c r="BZ41" i="13"/>
  <c r="CB41" i="13"/>
  <c r="CG41" i="13"/>
  <c r="CH41" i="13"/>
  <c r="CI41" i="13"/>
  <c r="CK41" i="13"/>
  <c r="CS41" i="13"/>
  <c r="CU41" i="13"/>
  <c r="CW41" i="13"/>
  <c r="DB41" i="13"/>
  <c r="DC41" i="13"/>
  <c r="DD41" i="13"/>
  <c r="DF41" i="13"/>
  <c r="AH42" i="13"/>
  <c r="AJ42" i="13"/>
  <c r="AL42" i="13"/>
  <c r="AQ42" i="13"/>
  <c r="AR42" i="13"/>
  <c r="AS42" i="13"/>
  <c r="BC42" i="13"/>
  <c r="BE42" i="13"/>
  <c r="BG42" i="13"/>
  <c r="BL42" i="13"/>
  <c r="BM42" i="13"/>
  <c r="BN42" i="13"/>
  <c r="BP42" i="13"/>
  <c r="BX42" i="13"/>
  <c r="BZ42" i="13"/>
  <c r="CB42" i="13"/>
  <c r="CG42" i="13"/>
  <c r="CH42" i="13"/>
  <c r="CI42" i="13"/>
  <c r="CK42" i="13"/>
  <c r="CS42" i="13"/>
  <c r="CU42" i="13"/>
  <c r="CW42" i="13"/>
  <c r="DB42" i="13"/>
  <c r="DC42" i="13"/>
  <c r="DD42" i="13"/>
  <c r="DF42" i="13"/>
  <c r="AH43" i="13"/>
  <c r="AJ43" i="13"/>
  <c r="AL43" i="13"/>
  <c r="AQ43" i="13"/>
  <c r="AR43" i="13"/>
  <c r="AS43" i="13"/>
  <c r="BC43" i="13"/>
  <c r="BE43" i="13"/>
  <c r="BG43" i="13"/>
  <c r="BL43" i="13"/>
  <c r="BM43" i="13"/>
  <c r="BN43" i="13"/>
  <c r="BP43" i="13"/>
  <c r="BX43" i="13"/>
  <c r="BZ43" i="13"/>
  <c r="CB43" i="13"/>
  <c r="CG43" i="13"/>
  <c r="CH43" i="13"/>
  <c r="CI43" i="13"/>
  <c r="CK43" i="13"/>
  <c r="CS43" i="13"/>
  <c r="CU43" i="13"/>
  <c r="CW43" i="13"/>
  <c r="DB43" i="13"/>
  <c r="DC43" i="13"/>
  <c r="DD43" i="13"/>
  <c r="DF43" i="13"/>
  <c r="AH44" i="13"/>
  <c r="AJ44" i="13"/>
  <c r="AL44" i="13"/>
  <c r="AQ44" i="13"/>
  <c r="AR44" i="13"/>
  <c r="AS44" i="13"/>
  <c r="BC44" i="13"/>
  <c r="BE44" i="13"/>
  <c r="BG44" i="13"/>
  <c r="BL44" i="13"/>
  <c r="BM44" i="13"/>
  <c r="BN44" i="13"/>
  <c r="BP44" i="13"/>
  <c r="BX44" i="13"/>
  <c r="BZ44" i="13"/>
  <c r="CB44" i="13"/>
  <c r="CG44" i="13"/>
  <c r="CH44" i="13"/>
  <c r="CI44" i="13"/>
  <c r="CK44" i="13"/>
  <c r="CS44" i="13"/>
  <c r="CU44" i="13"/>
  <c r="CW44" i="13"/>
  <c r="DB44" i="13"/>
  <c r="DC44" i="13"/>
  <c r="DD44" i="13"/>
  <c r="DF44" i="13"/>
  <c r="AH45" i="13"/>
  <c r="AJ45" i="13"/>
  <c r="AL45" i="13"/>
  <c r="AQ45" i="13"/>
  <c r="AR45" i="13"/>
  <c r="AS45" i="13"/>
  <c r="BC45" i="13"/>
  <c r="BE45" i="13"/>
  <c r="BG45" i="13"/>
  <c r="BL45" i="13"/>
  <c r="BM45" i="13"/>
  <c r="BN45" i="13"/>
  <c r="BP45" i="13"/>
  <c r="BX45" i="13"/>
  <c r="BZ45" i="13"/>
  <c r="CB45" i="13"/>
  <c r="CG45" i="13"/>
  <c r="CH45" i="13"/>
  <c r="CI45" i="13"/>
  <c r="CK45" i="13"/>
  <c r="CS45" i="13"/>
  <c r="CU45" i="13"/>
  <c r="CW45" i="13"/>
  <c r="DB45" i="13"/>
  <c r="DC45" i="13"/>
  <c r="DD45" i="13"/>
  <c r="DF45" i="13"/>
  <c r="AH46" i="13"/>
  <c r="AJ46" i="13"/>
  <c r="AL46" i="13"/>
  <c r="AQ46" i="13"/>
  <c r="AR46" i="13"/>
  <c r="AS46" i="13"/>
  <c r="BC46" i="13"/>
  <c r="BE46" i="13"/>
  <c r="BG46" i="13"/>
  <c r="BL46" i="13"/>
  <c r="BM46" i="13"/>
  <c r="BN46" i="13"/>
  <c r="BP46" i="13"/>
  <c r="BX46" i="13"/>
  <c r="BZ46" i="13"/>
  <c r="CB46" i="13"/>
  <c r="CG46" i="13"/>
  <c r="CH46" i="13"/>
  <c r="CI46" i="13"/>
  <c r="CK46" i="13"/>
  <c r="CS46" i="13"/>
  <c r="CU46" i="13"/>
  <c r="CW46" i="13"/>
  <c r="DB46" i="13"/>
  <c r="DC46" i="13"/>
  <c r="DD46" i="13"/>
  <c r="DF46" i="13"/>
  <c r="AH47" i="13"/>
  <c r="AJ47" i="13"/>
  <c r="AL47" i="13"/>
  <c r="AQ47" i="13"/>
  <c r="AR47" i="13"/>
  <c r="AS47" i="13"/>
  <c r="BC47" i="13"/>
  <c r="BE47" i="13"/>
  <c r="BG47" i="13"/>
  <c r="BL47" i="13"/>
  <c r="BM47" i="13"/>
  <c r="BN47" i="13"/>
  <c r="BP47" i="13"/>
  <c r="BX47" i="13"/>
  <c r="BZ47" i="13"/>
  <c r="CB47" i="13"/>
  <c r="CG47" i="13"/>
  <c r="CH47" i="13"/>
  <c r="CI47" i="13"/>
  <c r="CK47" i="13"/>
  <c r="CS47" i="13"/>
  <c r="CU47" i="13"/>
  <c r="CW47" i="13"/>
  <c r="DB47" i="13"/>
  <c r="DC47" i="13"/>
  <c r="DD47" i="13"/>
  <c r="DF47" i="13"/>
  <c r="AH48" i="13"/>
  <c r="AJ48" i="13"/>
  <c r="AL48" i="13"/>
  <c r="AQ48" i="13"/>
  <c r="AR48" i="13"/>
  <c r="AS48" i="13"/>
  <c r="BC48" i="13"/>
  <c r="BE48" i="13"/>
  <c r="BG48" i="13"/>
  <c r="BL48" i="13"/>
  <c r="BM48" i="13"/>
  <c r="BN48" i="13"/>
  <c r="BP48" i="13"/>
  <c r="BX48" i="13"/>
  <c r="BZ48" i="13"/>
  <c r="CB48" i="13"/>
  <c r="CG48" i="13"/>
  <c r="CH48" i="13"/>
  <c r="CI48" i="13"/>
  <c r="CK48" i="13"/>
  <c r="CS48" i="13"/>
  <c r="CU48" i="13"/>
  <c r="CW48" i="13"/>
  <c r="DB48" i="13"/>
  <c r="DC48" i="13"/>
  <c r="DD48" i="13"/>
  <c r="DF48" i="13"/>
  <c r="AH49" i="13"/>
  <c r="AJ49" i="13"/>
  <c r="AL49" i="13"/>
  <c r="AQ49" i="13"/>
  <c r="AR49" i="13"/>
  <c r="AS49" i="13"/>
  <c r="BC49" i="13"/>
  <c r="BE49" i="13"/>
  <c r="BG49" i="13"/>
  <c r="BL49" i="13"/>
  <c r="BM49" i="13"/>
  <c r="BN49" i="13"/>
  <c r="BP49" i="13"/>
  <c r="BX49" i="13"/>
  <c r="BZ49" i="13"/>
  <c r="CB49" i="13"/>
  <c r="CG49" i="13"/>
  <c r="CH49" i="13"/>
  <c r="CI49" i="13"/>
  <c r="CK49" i="13"/>
  <c r="CS49" i="13"/>
  <c r="CU49" i="13"/>
  <c r="CW49" i="13"/>
  <c r="DB49" i="13"/>
  <c r="DC49" i="13"/>
  <c r="DD49" i="13"/>
  <c r="DF49" i="13"/>
  <c r="H7" i="13"/>
  <c r="AS50" i="13"/>
  <c r="AS112" i="13"/>
  <c r="DC6" i="13"/>
  <c r="DD6" i="13"/>
  <c r="DF6" i="13"/>
  <c r="CH6" i="13"/>
  <c r="CI6" i="13"/>
  <c r="CK6" i="13"/>
  <c r="BN6" i="13"/>
  <c r="BP6" i="13"/>
  <c r="BQ51" i="13" s="1"/>
  <c r="AS6" i="13"/>
  <c r="AU6" i="13"/>
  <c r="AV26" i="13" s="1"/>
  <c r="AQ6" i="13"/>
  <c r="Y5" i="13"/>
  <c r="V5" i="13"/>
  <c r="W5" i="13"/>
  <c r="U5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7" i="13"/>
  <c r="I7" i="39" l="1"/>
  <c r="X7" i="29"/>
  <c r="X7" i="30"/>
  <c r="DG7" i="13"/>
  <c r="AV51" i="13"/>
  <c r="AW51" i="13" s="1"/>
  <c r="AV8" i="13"/>
  <c r="AV10" i="13"/>
  <c r="AV12" i="13"/>
  <c r="AV14" i="13"/>
  <c r="AV16" i="13"/>
  <c r="AV18" i="13"/>
  <c r="AV20" i="13"/>
  <c r="AV22" i="13"/>
  <c r="AV24" i="13"/>
  <c r="AV28" i="13"/>
  <c r="AV30" i="13"/>
  <c r="AV32" i="13"/>
  <c r="AV34" i="13"/>
  <c r="AV36" i="13"/>
  <c r="AV38" i="13"/>
  <c r="AV40" i="13"/>
  <c r="AV42" i="13"/>
  <c r="AV44" i="13"/>
  <c r="AV46" i="13"/>
  <c r="AV48" i="13"/>
  <c r="AV50" i="13"/>
  <c r="AV9" i="13"/>
  <c r="AV11" i="13"/>
  <c r="AV13" i="13"/>
  <c r="AV15" i="13"/>
  <c r="AV17" i="13"/>
  <c r="AV19" i="13"/>
  <c r="AV21" i="13"/>
  <c r="AV23" i="13"/>
  <c r="AV25" i="13"/>
  <c r="AV27" i="13"/>
  <c r="AV29" i="13"/>
  <c r="AV31" i="13"/>
  <c r="AV33" i="13"/>
  <c r="AV35" i="13"/>
  <c r="AV37" i="13"/>
  <c r="AV39" i="13"/>
  <c r="AV41" i="13"/>
  <c r="AV43" i="13"/>
  <c r="AV45" i="13"/>
  <c r="AV47" i="13"/>
  <c r="AV49" i="13"/>
  <c r="DG50" i="13"/>
  <c r="DG51" i="13"/>
  <c r="CL50" i="13"/>
  <c r="CL51" i="13"/>
  <c r="BQ50" i="13"/>
  <c r="BQ112" i="13"/>
  <c r="J7" i="30"/>
  <c r="J7" i="29"/>
  <c r="CL49" i="13"/>
  <c r="DG46" i="13"/>
  <c r="CL45" i="13"/>
  <c r="DG42" i="13"/>
  <c r="CL41" i="13"/>
  <c r="DG38" i="13"/>
  <c r="CL37" i="13"/>
  <c r="DG34" i="13"/>
  <c r="CL33" i="13"/>
  <c r="DG30" i="13"/>
  <c r="CL29" i="13"/>
  <c r="DG26" i="13"/>
  <c r="CL25" i="13"/>
  <c r="DG22" i="13"/>
  <c r="CL21" i="13"/>
  <c r="DG18" i="13"/>
  <c r="CL17" i="13"/>
  <c r="DG14" i="13"/>
  <c r="CL13" i="13"/>
  <c r="DG10" i="13"/>
  <c r="CL9" i="13"/>
  <c r="BQ40" i="13"/>
  <c r="BQ36" i="13"/>
  <c r="BQ32" i="13"/>
  <c r="BQ20" i="13"/>
  <c r="BQ16" i="13"/>
  <c r="BQ12" i="13"/>
  <c r="BQ49" i="13"/>
  <c r="DG47" i="13"/>
  <c r="BQ45" i="13"/>
  <c r="DG43" i="13"/>
  <c r="BQ41" i="13"/>
  <c r="DG39" i="13"/>
  <c r="BQ37" i="13"/>
  <c r="DG35" i="13"/>
  <c r="BQ33" i="13"/>
  <c r="DG31" i="13"/>
  <c r="BQ29" i="13"/>
  <c r="DG27" i="13"/>
  <c r="BQ25" i="13"/>
  <c r="DG23" i="13"/>
  <c r="BQ21" i="13"/>
  <c r="DG19" i="13"/>
  <c r="BQ17" i="13"/>
  <c r="DG15" i="13"/>
  <c r="BQ13" i="13"/>
  <c r="DG11" i="13"/>
  <c r="BQ9" i="13"/>
  <c r="BQ48" i="13"/>
  <c r="BQ44" i="13"/>
  <c r="BQ28" i="13"/>
  <c r="BQ24" i="13"/>
  <c r="CL42" i="13"/>
  <c r="CL38" i="13"/>
  <c r="CL46" i="13"/>
  <c r="CL34" i="13"/>
  <c r="CL30" i="13"/>
  <c r="CL26" i="13"/>
  <c r="CL18" i="13"/>
  <c r="DG49" i="13"/>
  <c r="CL48" i="13"/>
  <c r="BQ47" i="13"/>
  <c r="DG45" i="13"/>
  <c r="CL44" i="13"/>
  <c r="BQ43" i="13"/>
  <c r="DG41" i="13"/>
  <c r="CL40" i="13"/>
  <c r="BQ39" i="13"/>
  <c r="DG37" i="13"/>
  <c r="CL36" i="13"/>
  <c r="BQ35" i="13"/>
  <c r="DG33" i="13"/>
  <c r="CL32" i="13"/>
  <c r="BQ31" i="13"/>
  <c r="DG29" i="13"/>
  <c r="CL28" i="13"/>
  <c r="BQ27" i="13"/>
  <c r="DG25" i="13"/>
  <c r="CL24" i="13"/>
  <c r="BQ23" i="13"/>
  <c r="DG21" i="13"/>
  <c r="CL20" i="13"/>
  <c r="BQ19" i="13"/>
  <c r="DG17" i="13"/>
  <c r="CL16" i="13"/>
  <c r="BQ15" i="13"/>
  <c r="DG13" i="13"/>
  <c r="CL12" i="13"/>
  <c r="BQ11" i="13"/>
  <c r="DG9" i="13"/>
  <c r="CL22" i="13"/>
  <c r="CL14" i="13"/>
  <c r="CL10" i="13"/>
  <c r="DG48" i="13"/>
  <c r="CL47" i="13"/>
  <c r="BQ46" i="13"/>
  <c r="DG44" i="13"/>
  <c r="CL43" i="13"/>
  <c r="BQ42" i="13"/>
  <c r="DG40" i="13"/>
  <c r="CL39" i="13"/>
  <c r="BQ38" i="13"/>
  <c r="DG36" i="13"/>
  <c r="CL35" i="13"/>
  <c r="BQ34" i="13"/>
  <c r="DG32" i="13"/>
  <c r="CL31" i="13"/>
  <c r="BQ30" i="13"/>
  <c r="DG28" i="13"/>
  <c r="CL27" i="13"/>
  <c r="BQ26" i="13"/>
  <c r="DG24" i="13"/>
  <c r="CL23" i="13"/>
  <c r="BQ22" i="13"/>
  <c r="DG20" i="13"/>
  <c r="CL19" i="13"/>
  <c r="BQ18" i="13"/>
  <c r="DG16" i="13"/>
  <c r="CL15" i="13"/>
  <c r="BQ14" i="13"/>
  <c r="DG12" i="13"/>
  <c r="CL11" i="13"/>
  <c r="BQ10" i="13"/>
  <c r="AV7" i="13"/>
  <c r="BQ8" i="13"/>
  <c r="BQ7" i="13"/>
  <c r="DG8" i="13"/>
  <c r="CL8" i="13"/>
  <c r="CL7" i="13"/>
  <c r="C8" i="22"/>
  <c r="D8" i="22"/>
  <c r="C9" i="22"/>
  <c r="D9" i="22"/>
  <c r="C10" i="22"/>
  <c r="D10" i="22"/>
  <c r="C11" i="22"/>
  <c r="D11" i="22"/>
  <c r="C12" i="22"/>
  <c r="D12" i="22"/>
  <c r="C13" i="22"/>
  <c r="D13" i="22"/>
  <c r="C14" i="22"/>
  <c r="D14" i="22"/>
  <c r="C15" i="22"/>
  <c r="D15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4" i="22"/>
  <c r="D34" i="22"/>
  <c r="C35" i="22"/>
  <c r="D35" i="22"/>
  <c r="C36" i="22"/>
  <c r="D36" i="22"/>
  <c r="C37" i="22"/>
  <c r="D37" i="22"/>
  <c r="C38" i="22"/>
  <c r="D38" i="22"/>
  <c r="C39" i="22"/>
  <c r="D39" i="22"/>
  <c r="C40" i="22"/>
  <c r="D40" i="22"/>
  <c r="C41" i="22"/>
  <c r="D41" i="22"/>
  <c r="C42" i="22"/>
  <c r="D42" i="22"/>
  <c r="C43" i="22"/>
  <c r="D43" i="22"/>
  <c r="C44" i="22"/>
  <c r="D44" i="22"/>
  <c r="C45" i="22"/>
  <c r="D45" i="22"/>
  <c r="C46" i="22"/>
  <c r="D46" i="22"/>
  <c r="C47" i="22"/>
  <c r="D47" i="22"/>
  <c r="C48" i="22"/>
  <c r="D48" i="22"/>
  <c r="C49" i="22"/>
  <c r="D49" i="22"/>
  <c r="C50" i="22"/>
  <c r="D50" i="22"/>
  <c r="C51" i="22"/>
  <c r="D51" i="22"/>
  <c r="C8" i="20"/>
  <c r="D8" i="20"/>
  <c r="C9" i="20"/>
  <c r="D9" i="20"/>
  <c r="C10" i="20"/>
  <c r="D10" i="20"/>
  <c r="C11" i="20"/>
  <c r="D11" i="20"/>
  <c r="C12" i="20"/>
  <c r="D12" i="20"/>
  <c r="C13" i="20"/>
  <c r="D13" i="20"/>
  <c r="C14" i="20"/>
  <c r="D14" i="20"/>
  <c r="C15" i="20"/>
  <c r="D15" i="20"/>
  <c r="C16" i="20"/>
  <c r="D16" i="20"/>
  <c r="C17" i="20"/>
  <c r="D17" i="20"/>
  <c r="C18" i="20"/>
  <c r="D18" i="20"/>
  <c r="C19" i="20"/>
  <c r="D19" i="20"/>
  <c r="C20" i="20"/>
  <c r="D20" i="20"/>
  <c r="C21" i="20"/>
  <c r="D21" i="20"/>
  <c r="C22" i="20"/>
  <c r="D22" i="20"/>
  <c r="C23" i="20"/>
  <c r="D23" i="20"/>
  <c r="C24" i="20"/>
  <c r="D24" i="20"/>
  <c r="C25" i="20"/>
  <c r="D25" i="20"/>
  <c r="C26" i="20"/>
  <c r="D26" i="20"/>
  <c r="C27" i="20"/>
  <c r="D27" i="20"/>
  <c r="C28" i="20"/>
  <c r="D28" i="20"/>
  <c r="C29" i="20"/>
  <c r="D29" i="20"/>
  <c r="C30" i="20"/>
  <c r="D30" i="20"/>
  <c r="C31" i="20"/>
  <c r="D31" i="20"/>
  <c r="C32" i="20"/>
  <c r="D32" i="20"/>
  <c r="C33" i="20"/>
  <c r="D33" i="20"/>
  <c r="C34" i="20"/>
  <c r="D34" i="20"/>
  <c r="C35" i="20"/>
  <c r="D35" i="20"/>
  <c r="C36" i="20"/>
  <c r="D36" i="20"/>
  <c r="C37" i="20"/>
  <c r="D37" i="20"/>
  <c r="C38" i="20"/>
  <c r="D38" i="20"/>
  <c r="C39" i="20"/>
  <c r="D39" i="20"/>
  <c r="C40" i="20"/>
  <c r="D40" i="20"/>
  <c r="C41" i="20"/>
  <c r="D41" i="20"/>
  <c r="C42" i="20"/>
  <c r="D42" i="20"/>
  <c r="C43" i="20"/>
  <c r="D43" i="20"/>
  <c r="C44" i="20"/>
  <c r="D44" i="20"/>
  <c r="C45" i="20"/>
  <c r="D45" i="20"/>
  <c r="C46" i="20"/>
  <c r="D46" i="20"/>
  <c r="C47" i="20"/>
  <c r="D47" i="20"/>
  <c r="C48" i="20"/>
  <c r="D48" i="20"/>
  <c r="C49" i="20"/>
  <c r="D49" i="20"/>
  <c r="C50" i="20"/>
  <c r="D50" i="20"/>
  <c r="C51" i="20"/>
  <c r="D51" i="20"/>
  <c r="C8" i="19"/>
  <c r="D8" i="19"/>
  <c r="C9" i="19"/>
  <c r="D9" i="19"/>
  <c r="C10" i="19"/>
  <c r="D10" i="19"/>
  <c r="C11" i="19"/>
  <c r="D11" i="19"/>
  <c r="C12" i="19"/>
  <c r="D12" i="19"/>
  <c r="C13" i="19"/>
  <c r="D13" i="19"/>
  <c r="C14" i="19"/>
  <c r="D14" i="19"/>
  <c r="C15" i="19"/>
  <c r="D15" i="19"/>
  <c r="C16" i="19"/>
  <c r="D16" i="19"/>
  <c r="C17" i="19"/>
  <c r="D17" i="19"/>
  <c r="C18" i="19"/>
  <c r="D18" i="19"/>
  <c r="C19" i="19"/>
  <c r="D19" i="19"/>
  <c r="C20" i="19"/>
  <c r="D20" i="19"/>
  <c r="C21" i="19"/>
  <c r="D21" i="19"/>
  <c r="C22" i="19"/>
  <c r="D22" i="19"/>
  <c r="C23" i="19"/>
  <c r="D23" i="19"/>
  <c r="C24" i="19"/>
  <c r="D24" i="19"/>
  <c r="C25" i="19"/>
  <c r="D25" i="19"/>
  <c r="C26" i="19"/>
  <c r="D26" i="19"/>
  <c r="C27" i="19"/>
  <c r="D27" i="19"/>
  <c r="C28" i="19"/>
  <c r="D28" i="19"/>
  <c r="C29" i="19"/>
  <c r="D29" i="19"/>
  <c r="C30" i="19"/>
  <c r="D30" i="19"/>
  <c r="C31" i="19"/>
  <c r="D31" i="19"/>
  <c r="C32" i="19"/>
  <c r="D32" i="19"/>
  <c r="C33" i="19"/>
  <c r="D33" i="19"/>
  <c r="C34" i="19"/>
  <c r="D34" i="19"/>
  <c r="C35" i="19"/>
  <c r="D35" i="19"/>
  <c r="C36" i="19"/>
  <c r="D36" i="19"/>
  <c r="C37" i="19"/>
  <c r="D37" i="19"/>
  <c r="C38" i="19"/>
  <c r="D38" i="19"/>
  <c r="C39" i="19"/>
  <c r="D39" i="19"/>
  <c r="C40" i="19"/>
  <c r="D40" i="19"/>
  <c r="C41" i="19"/>
  <c r="D41" i="19"/>
  <c r="C42" i="19"/>
  <c r="D42" i="19"/>
  <c r="C43" i="19"/>
  <c r="D43" i="19"/>
  <c r="C44" i="19"/>
  <c r="D44" i="19"/>
  <c r="C45" i="19"/>
  <c r="D45" i="19"/>
  <c r="C46" i="19"/>
  <c r="D46" i="19"/>
  <c r="C47" i="19"/>
  <c r="D47" i="19"/>
  <c r="C48" i="19"/>
  <c r="D48" i="19"/>
  <c r="C49" i="19"/>
  <c r="D49" i="19"/>
  <c r="C50" i="19"/>
  <c r="D50" i="19"/>
  <c r="C51" i="19"/>
  <c r="D51" i="19"/>
  <c r="C8" i="18"/>
  <c r="D8" i="18"/>
  <c r="C9" i="18"/>
  <c r="D9" i="18"/>
  <c r="C10" i="18"/>
  <c r="D10" i="18"/>
  <c r="C11" i="18"/>
  <c r="D11" i="18"/>
  <c r="C12" i="18"/>
  <c r="D12" i="18"/>
  <c r="C13" i="18"/>
  <c r="D13" i="18"/>
  <c r="C14" i="18"/>
  <c r="D14" i="18"/>
  <c r="C15" i="18"/>
  <c r="D15" i="18"/>
  <c r="C16" i="18"/>
  <c r="D16" i="18"/>
  <c r="C17" i="18"/>
  <c r="D17" i="18"/>
  <c r="C18" i="18"/>
  <c r="D18" i="18"/>
  <c r="C19" i="18"/>
  <c r="D19" i="18"/>
  <c r="C20" i="18"/>
  <c r="D20" i="18"/>
  <c r="C21" i="18"/>
  <c r="D21" i="18"/>
  <c r="C22" i="18"/>
  <c r="D22" i="18"/>
  <c r="C23" i="18"/>
  <c r="D23" i="18"/>
  <c r="C24" i="18"/>
  <c r="D24" i="18"/>
  <c r="C25" i="18"/>
  <c r="D25" i="18"/>
  <c r="C26" i="18"/>
  <c r="D26" i="18"/>
  <c r="C27" i="18"/>
  <c r="D27" i="18"/>
  <c r="C28" i="18"/>
  <c r="D28" i="18"/>
  <c r="C29" i="18"/>
  <c r="D29" i="18"/>
  <c r="C30" i="18"/>
  <c r="D30" i="18"/>
  <c r="C31" i="18"/>
  <c r="D31" i="18"/>
  <c r="C32" i="18"/>
  <c r="D32" i="18"/>
  <c r="C33" i="18"/>
  <c r="D33" i="18"/>
  <c r="C34" i="18"/>
  <c r="D34" i="18"/>
  <c r="C35" i="18"/>
  <c r="D35" i="18"/>
  <c r="C36" i="18"/>
  <c r="D36" i="18"/>
  <c r="C37" i="18"/>
  <c r="D37" i="18"/>
  <c r="C38" i="18"/>
  <c r="D38" i="18"/>
  <c r="C39" i="18"/>
  <c r="D39" i="18"/>
  <c r="C40" i="18"/>
  <c r="D40" i="18"/>
  <c r="C41" i="18"/>
  <c r="D41" i="18"/>
  <c r="C42" i="18"/>
  <c r="D42" i="18"/>
  <c r="C43" i="18"/>
  <c r="D43" i="18"/>
  <c r="C44" i="18"/>
  <c r="D44" i="18"/>
  <c r="C45" i="18"/>
  <c r="D45" i="18"/>
  <c r="C46" i="18"/>
  <c r="D46" i="18"/>
  <c r="C47" i="18"/>
  <c r="D47" i="18"/>
  <c r="C48" i="18"/>
  <c r="D48" i="18"/>
  <c r="C49" i="18"/>
  <c r="D49" i="18"/>
  <c r="C50" i="18"/>
  <c r="D50" i="18"/>
  <c r="C51" i="18"/>
  <c r="D51" i="18"/>
  <c r="C8" i="17"/>
  <c r="D8" i="17"/>
  <c r="C9" i="17"/>
  <c r="D9" i="17"/>
  <c r="C23" i="24" s="1"/>
  <c r="C10" i="17"/>
  <c r="D10" i="17"/>
  <c r="C11" i="17"/>
  <c r="D11" i="17"/>
  <c r="C12" i="17"/>
  <c r="D12" i="17"/>
  <c r="C13" i="17"/>
  <c r="D13" i="17"/>
  <c r="C14" i="17"/>
  <c r="D14" i="17"/>
  <c r="C15" i="17"/>
  <c r="D15" i="17"/>
  <c r="C16" i="17"/>
  <c r="D16" i="17"/>
  <c r="C17" i="17"/>
  <c r="D17" i="17"/>
  <c r="C18" i="17"/>
  <c r="D18" i="17"/>
  <c r="C19" i="17"/>
  <c r="D19" i="17"/>
  <c r="C20" i="17"/>
  <c r="D20" i="17"/>
  <c r="C21" i="17"/>
  <c r="D21" i="17"/>
  <c r="C22" i="17"/>
  <c r="D22" i="17"/>
  <c r="C23" i="17"/>
  <c r="D23" i="17"/>
  <c r="C24" i="17"/>
  <c r="D24" i="17"/>
  <c r="C25" i="17"/>
  <c r="D25" i="17"/>
  <c r="C26" i="17"/>
  <c r="D26" i="17"/>
  <c r="C27" i="17"/>
  <c r="D27" i="17"/>
  <c r="C28" i="17"/>
  <c r="D28" i="17"/>
  <c r="C29" i="17"/>
  <c r="D29" i="17"/>
  <c r="C30" i="17"/>
  <c r="D30" i="17"/>
  <c r="C31" i="17"/>
  <c r="D31" i="17"/>
  <c r="C32" i="17"/>
  <c r="D32" i="17"/>
  <c r="C33" i="17"/>
  <c r="D33" i="17"/>
  <c r="C34" i="17"/>
  <c r="D34" i="17"/>
  <c r="C35" i="17"/>
  <c r="D35" i="17"/>
  <c r="C36" i="17"/>
  <c r="D36" i="17"/>
  <c r="C37" i="17"/>
  <c r="D37" i="17"/>
  <c r="C38" i="17"/>
  <c r="D38" i="17"/>
  <c r="C39" i="17"/>
  <c r="D39" i="17"/>
  <c r="C40" i="17"/>
  <c r="D40" i="17"/>
  <c r="C41" i="17"/>
  <c r="D41" i="17"/>
  <c r="C42" i="17"/>
  <c r="D42" i="17"/>
  <c r="C43" i="17"/>
  <c r="D43" i="17"/>
  <c r="C44" i="17"/>
  <c r="D44" i="17"/>
  <c r="C45" i="17"/>
  <c r="D45" i="17"/>
  <c r="C46" i="17"/>
  <c r="D46" i="17"/>
  <c r="C47" i="17"/>
  <c r="D47" i="17"/>
  <c r="C48" i="17"/>
  <c r="D48" i="17"/>
  <c r="C49" i="17"/>
  <c r="D49" i="17"/>
  <c r="C50" i="17"/>
  <c r="D50" i="17"/>
  <c r="C51" i="17"/>
  <c r="D51" i="17"/>
  <c r="D7" i="22"/>
  <c r="C7" i="22"/>
  <c r="D7" i="20"/>
  <c r="C7" i="20"/>
  <c r="D7" i="19"/>
  <c r="C7" i="19"/>
  <c r="D7" i="18"/>
  <c r="C7" i="18"/>
  <c r="D7" i="17"/>
  <c r="C7" i="17"/>
  <c r="D7" i="4"/>
  <c r="C7" i="4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112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112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42" i="13"/>
  <c r="D43" i="13"/>
  <c r="D44" i="13"/>
  <c r="D45" i="13"/>
  <c r="D46" i="13"/>
  <c r="D47" i="13"/>
  <c r="D48" i="13"/>
  <c r="D49" i="13"/>
  <c r="D50" i="13"/>
  <c r="D112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112" i="13"/>
  <c r="FI112" i="13" s="1"/>
  <c r="H33" i="24" l="1"/>
  <c r="N33" i="24"/>
  <c r="Y26" i="24"/>
  <c r="AG50" i="13"/>
  <c r="AG49" i="13"/>
  <c r="AG48" i="13"/>
  <c r="AG47" i="13"/>
  <c r="AG46" i="13"/>
  <c r="AG45" i="13"/>
  <c r="AG44" i="13"/>
  <c r="AG43" i="13"/>
  <c r="AG42" i="13"/>
  <c r="AG41" i="13"/>
  <c r="AG40" i="13"/>
  <c r="AG39" i="13"/>
  <c r="AG38" i="13"/>
  <c r="AG37" i="13"/>
  <c r="AG36" i="13"/>
  <c r="AG35" i="13"/>
  <c r="AG34" i="13"/>
  <c r="AG33" i="13"/>
  <c r="AG32" i="13"/>
  <c r="AG31" i="13"/>
  <c r="AG30" i="13"/>
  <c r="AG29" i="13"/>
  <c r="AG28" i="13"/>
  <c r="AG27" i="13"/>
  <c r="AG26" i="13"/>
  <c r="AG25" i="13"/>
  <c r="AG24" i="13"/>
  <c r="AG23" i="13"/>
  <c r="AG22" i="13"/>
  <c r="AG21" i="13"/>
  <c r="AG20" i="13"/>
  <c r="AG19" i="13"/>
  <c r="AG18" i="13"/>
  <c r="AG17" i="13"/>
  <c r="AG16" i="13"/>
  <c r="AG15" i="13"/>
  <c r="AG14" i="13"/>
  <c r="AG13" i="13"/>
  <c r="AG12" i="13"/>
  <c r="AG11" i="13"/>
  <c r="AG10" i="13"/>
  <c r="AG9" i="13"/>
  <c r="AG8" i="13"/>
  <c r="FN37" i="13"/>
  <c r="FS37" i="13" s="1"/>
  <c r="FN44" i="13"/>
  <c r="FN20" i="13"/>
  <c r="FS20" i="13" s="1"/>
  <c r="FN50" i="13"/>
  <c r="FN42" i="13"/>
  <c r="FN34" i="13"/>
  <c r="FR34" i="13" s="1"/>
  <c r="FN26" i="13"/>
  <c r="FS26" i="13" s="1"/>
  <c r="FN18" i="13"/>
  <c r="FR18" i="13" s="1"/>
  <c r="FS10" i="13"/>
  <c r="FN12" i="13"/>
  <c r="FS12" i="13" s="1"/>
  <c r="FN49" i="13"/>
  <c r="FR49" i="13" s="1"/>
  <c r="FN41" i="13"/>
  <c r="FS41" i="13" s="1"/>
  <c r="FN33" i="13"/>
  <c r="FR33" i="13" s="1"/>
  <c r="FN25" i="13"/>
  <c r="FS25" i="13" s="1"/>
  <c r="FN17" i="13"/>
  <c r="FR17" i="13" s="1"/>
  <c r="FN13" i="13"/>
  <c r="FS13" i="13" s="1"/>
  <c r="FN45" i="13"/>
  <c r="FN40" i="13"/>
  <c r="FR40" i="13" s="1"/>
  <c r="FN24" i="13"/>
  <c r="FR24" i="13" s="1"/>
  <c r="FN47" i="13"/>
  <c r="FS47" i="13" s="1"/>
  <c r="FN39" i="13"/>
  <c r="FS39" i="13" s="1"/>
  <c r="FN31" i="13"/>
  <c r="FS31" i="13" s="1"/>
  <c r="FN23" i="13"/>
  <c r="FR23" i="13" s="1"/>
  <c r="FN15" i="13"/>
  <c r="FR15" i="13" s="1"/>
  <c r="FN21" i="13"/>
  <c r="FS21" i="13" s="1"/>
  <c r="FN48" i="13"/>
  <c r="FR48" i="13" s="1"/>
  <c r="FN32" i="13"/>
  <c r="FS32" i="13" s="1"/>
  <c r="FN16" i="13"/>
  <c r="FR16" i="13" s="1"/>
  <c r="FN46" i="13"/>
  <c r="FS46" i="13" s="1"/>
  <c r="FN38" i="13"/>
  <c r="FS38" i="13" s="1"/>
  <c r="FN30" i="13"/>
  <c r="FN22" i="13"/>
  <c r="FS22" i="13" s="1"/>
  <c r="FN14" i="13"/>
  <c r="FS14" i="13" s="1"/>
  <c r="FN36" i="13"/>
  <c r="FS36" i="13" s="1"/>
  <c r="FN29" i="13"/>
  <c r="FS29" i="13" s="1"/>
  <c r="FN28" i="13"/>
  <c r="FS28" i="13" s="1"/>
  <c r="FN43" i="13"/>
  <c r="FR43" i="13" s="1"/>
  <c r="FN35" i="13"/>
  <c r="FS35" i="13" s="1"/>
  <c r="FN27" i="13"/>
  <c r="FN19" i="13"/>
  <c r="FS19" i="13" s="1"/>
  <c r="FN11" i="13"/>
  <c r="FS11" i="13" s="1"/>
  <c r="EE48" i="13"/>
  <c r="EQ48" i="13" s="1"/>
  <c r="EG48" i="13"/>
  <c r="ES48" i="13" s="1"/>
  <c r="EH48" i="13"/>
  <c r="ET48" i="13" s="1"/>
  <c r="EF48" i="13"/>
  <c r="ER48" i="13" s="1"/>
  <c r="EC48" i="13"/>
  <c r="EH29" i="13"/>
  <c r="ET29" i="13" s="1"/>
  <c r="EC29" i="13"/>
  <c r="EF29" i="13"/>
  <c r="ER29" i="13" s="1"/>
  <c r="EE29" i="13"/>
  <c r="EQ29" i="13" s="1"/>
  <c r="EG29" i="13"/>
  <c r="ES29" i="13" s="1"/>
  <c r="EF50" i="13"/>
  <c r="ER50" i="13" s="1"/>
  <c r="EG50" i="13"/>
  <c r="ES50" i="13" s="1"/>
  <c r="EH50" i="13"/>
  <c r="ET50" i="13" s="1"/>
  <c r="EE50" i="13"/>
  <c r="EQ50" i="13" s="1"/>
  <c r="EC50" i="13"/>
  <c r="EE42" i="13"/>
  <c r="EQ42" i="13" s="1"/>
  <c r="EF42" i="13"/>
  <c r="ER42" i="13" s="1"/>
  <c r="EH42" i="13"/>
  <c r="ET42" i="13" s="1"/>
  <c r="EC42" i="13"/>
  <c r="EE34" i="13"/>
  <c r="EQ34" i="13" s="1"/>
  <c r="EF34" i="13"/>
  <c r="ER34" i="13" s="1"/>
  <c r="EH34" i="13"/>
  <c r="ET34" i="13" s="1"/>
  <c r="EG34" i="13"/>
  <c r="ES34" i="13" s="1"/>
  <c r="EC34" i="13"/>
  <c r="EE26" i="13"/>
  <c r="EQ26" i="13" s="1"/>
  <c r="EG26" i="13"/>
  <c r="ES26" i="13" s="1"/>
  <c r="EF26" i="13"/>
  <c r="ER26" i="13" s="1"/>
  <c r="EC26" i="13"/>
  <c r="EH18" i="13"/>
  <c r="ET18" i="13" s="1"/>
  <c r="EF18" i="13"/>
  <c r="ER18" i="13" s="1"/>
  <c r="EG18" i="13"/>
  <c r="ES18" i="13" s="1"/>
  <c r="EE18" i="13"/>
  <c r="EQ18" i="13" s="1"/>
  <c r="EC18" i="13"/>
  <c r="EH10" i="13"/>
  <c r="ET10" i="13" s="1"/>
  <c r="EE10" i="13"/>
  <c r="EQ10" i="13" s="1"/>
  <c r="EF10" i="13"/>
  <c r="ER10" i="13" s="1"/>
  <c r="EC10" i="13"/>
  <c r="EO10" i="13" s="1"/>
  <c r="EH24" i="13"/>
  <c r="ET24" i="13" s="1"/>
  <c r="EE24" i="13"/>
  <c r="EQ24" i="13" s="1"/>
  <c r="EF24" i="13"/>
  <c r="ER24" i="13" s="1"/>
  <c r="EC24" i="13"/>
  <c r="EG21" i="13"/>
  <c r="ES21" i="13" s="1"/>
  <c r="EH21" i="13"/>
  <c r="ET21" i="13" s="1"/>
  <c r="EC21" i="13"/>
  <c r="EE21" i="13"/>
  <c r="EQ21" i="13" s="1"/>
  <c r="EF21" i="13"/>
  <c r="ER21" i="13" s="1"/>
  <c r="EF49" i="13"/>
  <c r="ER49" i="13" s="1"/>
  <c r="EG49" i="13"/>
  <c r="ES49" i="13" s="1"/>
  <c r="EH49" i="13"/>
  <c r="ET49" i="13" s="1"/>
  <c r="EE49" i="13"/>
  <c r="EQ49" i="13" s="1"/>
  <c r="EC49" i="13"/>
  <c r="EE41" i="13"/>
  <c r="EQ41" i="13" s="1"/>
  <c r="EF41" i="13"/>
  <c r="ER41" i="13" s="1"/>
  <c r="EH41" i="13"/>
  <c r="ET41" i="13" s="1"/>
  <c r="EG41" i="13"/>
  <c r="ES41" i="13" s="1"/>
  <c r="EC41" i="13"/>
  <c r="EE33" i="13"/>
  <c r="EQ33" i="13" s="1"/>
  <c r="EF33" i="13"/>
  <c r="ER33" i="13" s="1"/>
  <c r="EH33" i="13"/>
  <c r="ET33" i="13" s="1"/>
  <c r="EC33" i="13"/>
  <c r="EE25" i="13"/>
  <c r="EQ25" i="13" s="1"/>
  <c r="EG25" i="13"/>
  <c r="ES25" i="13" s="1"/>
  <c r="EH25" i="13"/>
  <c r="ET25" i="13" s="1"/>
  <c r="EC25" i="13"/>
  <c r="EE17" i="13"/>
  <c r="EQ17" i="13" s="1"/>
  <c r="EF17" i="13"/>
  <c r="ER17" i="13" s="1"/>
  <c r="EG17" i="13"/>
  <c r="ES17" i="13" s="1"/>
  <c r="EH17" i="13"/>
  <c r="ET17" i="13" s="1"/>
  <c r="EC17" i="13"/>
  <c r="EC9" i="13"/>
  <c r="EF9" i="13"/>
  <c r="ER9" i="13" s="1"/>
  <c r="EH9" i="13"/>
  <c r="ET9" i="13" s="1"/>
  <c r="EF16" i="13"/>
  <c r="ER16" i="13" s="1"/>
  <c r="EH16" i="13"/>
  <c r="ET16" i="13" s="1"/>
  <c r="EE16" i="13"/>
  <c r="EQ16" i="13" s="1"/>
  <c r="EC16" i="13"/>
  <c r="EF47" i="13"/>
  <c r="ER47" i="13" s="1"/>
  <c r="EG47" i="13"/>
  <c r="ES47" i="13" s="1"/>
  <c r="EE47" i="13"/>
  <c r="EQ47" i="13" s="1"/>
  <c r="EH47" i="13"/>
  <c r="ET47" i="13" s="1"/>
  <c r="EC47" i="13"/>
  <c r="EE39" i="13"/>
  <c r="EQ39" i="13" s="1"/>
  <c r="EF39" i="13"/>
  <c r="ER39" i="13" s="1"/>
  <c r="EH39" i="13"/>
  <c r="ET39" i="13" s="1"/>
  <c r="EG39" i="13"/>
  <c r="ES39" i="13" s="1"/>
  <c r="EC39" i="13"/>
  <c r="EE31" i="13"/>
  <c r="EQ31" i="13" s="1"/>
  <c r="EF31" i="13"/>
  <c r="ER31" i="13" s="1"/>
  <c r="EG31" i="13"/>
  <c r="ES31" i="13" s="1"/>
  <c r="EC31" i="13"/>
  <c r="EE23" i="13"/>
  <c r="EQ23" i="13" s="1"/>
  <c r="EG23" i="13"/>
  <c r="ES23" i="13" s="1"/>
  <c r="EF23" i="13"/>
  <c r="ER23" i="13" s="1"/>
  <c r="EH23" i="13"/>
  <c r="ET23" i="13" s="1"/>
  <c r="EC23" i="13"/>
  <c r="EH15" i="13"/>
  <c r="ET15" i="13" s="1"/>
  <c r="EF15" i="13"/>
  <c r="ER15" i="13" s="1"/>
  <c r="EE15" i="13"/>
  <c r="EQ15" i="13" s="1"/>
  <c r="EG15" i="13"/>
  <c r="ES15" i="13" s="1"/>
  <c r="EC15" i="13"/>
  <c r="EH40" i="13"/>
  <c r="ET40" i="13" s="1"/>
  <c r="EF40" i="13"/>
  <c r="ER40" i="13" s="1"/>
  <c r="EE40" i="13"/>
  <c r="EQ40" i="13" s="1"/>
  <c r="EG40" i="13"/>
  <c r="ES40" i="13" s="1"/>
  <c r="EC40" i="13"/>
  <c r="EF46" i="13"/>
  <c r="ER46" i="13" s="1"/>
  <c r="EG46" i="13"/>
  <c r="ES46" i="13" s="1"/>
  <c r="EC46" i="13"/>
  <c r="EE46" i="13"/>
  <c r="EQ46" i="13" s="1"/>
  <c r="EH46" i="13"/>
  <c r="ET46" i="13" s="1"/>
  <c r="EE38" i="13"/>
  <c r="EQ38" i="13" s="1"/>
  <c r="EF38" i="13"/>
  <c r="ER38" i="13" s="1"/>
  <c r="EH38" i="13"/>
  <c r="ET38" i="13" s="1"/>
  <c r="EC38" i="13"/>
  <c r="EG38" i="13"/>
  <c r="ES38" i="13" s="1"/>
  <c r="EE30" i="13"/>
  <c r="EQ30" i="13" s="1"/>
  <c r="EG30" i="13"/>
  <c r="ES30" i="13" s="1"/>
  <c r="EF30" i="13"/>
  <c r="ER30" i="13" s="1"/>
  <c r="EH30" i="13"/>
  <c r="ET30" i="13" s="1"/>
  <c r="EC30" i="13"/>
  <c r="EE22" i="13"/>
  <c r="EQ22" i="13" s="1"/>
  <c r="EF22" i="13"/>
  <c r="ER22" i="13" s="1"/>
  <c r="EH22" i="13"/>
  <c r="ET22" i="13" s="1"/>
  <c r="EC22" i="13"/>
  <c r="EC14" i="13"/>
  <c r="EE14" i="13"/>
  <c r="EQ14" i="13" s="1"/>
  <c r="EF14" i="13"/>
  <c r="ER14" i="13" s="1"/>
  <c r="EG14" i="13"/>
  <c r="ES14" i="13" s="1"/>
  <c r="EH37" i="13"/>
  <c r="ET37" i="13" s="1"/>
  <c r="EC37" i="13"/>
  <c r="EF37" i="13"/>
  <c r="ER37" i="13" s="1"/>
  <c r="EE37" i="13"/>
  <c r="EQ37" i="13" s="1"/>
  <c r="EG37" i="13"/>
  <c r="ES37" i="13" s="1"/>
  <c r="EH32" i="13"/>
  <c r="ET32" i="13" s="1"/>
  <c r="EF32" i="13"/>
  <c r="ER32" i="13" s="1"/>
  <c r="EE32" i="13"/>
  <c r="EQ32" i="13" s="1"/>
  <c r="EG32" i="13"/>
  <c r="ES32" i="13" s="1"/>
  <c r="EC32" i="13"/>
  <c r="EE45" i="13"/>
  <c r="EQ45" i="13" s="1"/>
  <c r="EG45" i="13"/>
  <c r="ES45" i="13" s="1"/>
  <c r="EC45" i="13"/>
  <c r="EH45" i="13"/>
  <c r="ET45" i="13" s="1"/>
  <c r="EF13" i="13"/>
  <c r="ER13" i="13" s="1"/>
  <c r="EG13" i="13"/>
  <c r="ES13" i="13" s="1"/>
  <c r="EE13" i="13"/>
  <c r="EQ13" i="13" s="1"/>
  <c r="EC13" i="13"/>
  <c r="EO13" i="13" s="1"/>
  <c r="EE44" i="13"/>
  <c r="EQ44" i="13" s="1"/>
  <c r="EG44" i="13"/>
  <c r="ES44" i="13" s="1"/>
  <c r="EH44" i="13"/>
  <c r="ET44" i="13" s="1"/>
  <c r="EF44" i="13"/>
  <c r="ER44" i="13" s="1"/>
  <c r="EC44" i="13"/>
  <c r="EE36" i="13"/>
  <c r="EQ36" i="13" s="1"/>
  <c r="EG36" i="13"/>
  <c r="ES36" i="13" s="1"/>
  <c r="EH36" i="13"/>
  <c r="ET36" i="13" s="1"/>
  <c r="EF36" i="13"/>
  <c r="ER36" i="13" s="1"/>
  <c r="EC36" i="13"/>
  <c r="EF28" i="13"/>
  <c r="ER28" i="13" s="1"/>
  <c r="EE28" i="13"/>
  <c r="EQ28" i="13" s="1"/>
  <c r="EC28" i="13"/>
  <c r="EE20" i="13"/>
  <c r="EQ20" i="13" s="1"/>
  <c r="EF20" i="13"/>
  <c r="ER20" i="13" s="1"/>
  <c r="EG20" i="13"/>
  <c r="ES20" i="13" s="1"/>
  <c r="EH20" i="13"/>
  <c r="ET20" i="13" s="1"/>
  <c r="EC20" i="13"/>
  <c r="EE12" i="13"/>
  <c r="EQ12" i="13" s="1"/>
  <c r="EF12" i="13"/>
  <c r="ER12" i="13" s="1"/>
  <c r="EH12" i="13"/>
  <c r="ET12" i="13" s="1"/>
  <c r="EG12" i="13"/>
  <c r="ES12" i="13" s="1"/>
  <c r="EC12" i="13"/>
  <c r="EO12" i="13" s="1"/>
  <c r="N51" i="17"/>
  <c r="DY51" i="13"/>
  <c r="EF8" i="13"/>
  <c r="EH8" i="13"/>
  <c r="ET8" i="13" s="1"/>
  <c r="EC8" i="13"/>
  <c r="EO8" i="13" s="1"/>
  <c r="EF43" i="13"/>
  <c r="ER43" i="13" s="1"/>
  <c r="EG43" i="13"/>
  <c r="ES43" i="13" s="1"/>
  <c r="EC43" i="13"/>
  <c r="EE43" i="13"/>
  <c r="EQ43" i="13" s="1"/>
  <c r="EH43" i="13"/>
  <c r="ET43" i="13" s="1"/>
  <c r="EF35" i="13"/>
  <c r="ER35" i="13" s="1"/>
  <c r="EG35" i="13"/>
  <c r="ES35" i="13" s="1"/>
  <c r="EH35" i="13"/>
  <c r="ET35" i="13" s="1"/>
  <c r="EC35" i="13"/>
  <c r="EE35" i="13"/>
  <c r="EQ35" i="13" s="1"/>
  <c r="EF27" i="13"/>
  <c r="ER27" i="13" s="1"/>
  <c r="EG27" i="13"/>
  <c r="ES27" i="13" s="1"/>
  <c r="EH27" i="13"/>
  <c r="ET27" i="13" s="1"/>
  <c r="EE27" i="13"/>
  <c r="EQ27" i="13" s="1"/>
  <c r="EC27" i="13"/>
  <c r="EE19" i="13"/>
  <c r="EQ19" i="13" s="1"/>
  <c r="EG19" i="13"/>
  <c r="ES19" i="13" s="1"/>
  <c r="EH19" i="13"/>
  <c r="ET19" i="13" s="1"/>
  <c r="EC19" i="13"/>
  <c r="EE11" i="13"/>
  <c r="EQ11" i="13" s="1"/>
  <c r="EF11" i="13"/>
  <c r="ER11" i="13" s="1"/>
  <c r="EH11" i="13"/>
  <c r="ET11" i="13" s="1"/>
  <c r="EC11" i="13"/>
  <c r="EO11" i="13" s="1"/>
  <c r="DS7" i="13"/>
  <c r="P51" i="30"/>
  <c r="AX51" i="13"/>
  <c r="Q51" i="29" s="1"/>
  <c r="P51" i="29"/>
  <c r="E43" i="30"/>
  <c r="E43" i="29"/>
  <c r="E31" i="30"/>
  <c r="E31" i="29"/>
  <c r="E23" i="30"/>
  <c r="E23" i="29"/>
  <c r="E15" i="30"/>
  <c r="E15" i="29"/>
  <c r="F43" i="30"/>
  <c r="F43" i="29"/>
  <c r="F39" i="30"/>
  <c r="F39" i="29"/>
  <c r="F31" i="30"/>
  <c r="F31" i="29"/>
  <c r="F23" i="30"/>
  <c r="F23" i="29"/>
  <c r="F15" i="30"/>
  <c r="F15" i="29"/>
  <c r="G43" i="30"/>
  <c r="G43" i="29"/>
  <c r="G35" i="30"/>
  <c r="G35" i="29"/>
  <c r="G27" i="30"/>
  <c r="G27" i="29"/>
  <c r="G19" i="30"/>
  <c r="G19" i="29"/>
  <c r="G11" i="30"/>
  <c r="G11" i="29"/>
  <c r="H47" i="30"/>
  <c r="H47" i="29"/>
  <c r="H39" i="30"/>
  <c r="H39" i="29"/>
  <c r="H31" i="30"/>
  <c r="H31" i="29"/>
  <c r="H23" i="30"/>
  <c r="H23" i="29"/>
  <c r="H15" i="30"/>
  <c r="H15" i="29"/>
  <c r="E48" i="30"/>
  <c r="E48" i="29"/>
  <c r="E40" i="30"/>
  <c r="E40" i="29"/>
  <c r="E32" i="30"/>
  <c r="E32" i="29"/>
  <c r="E24" i="30"/>
  <c r="E24" i="29"/>
  <c r="E20" i="30"/>
  <c r="E20" i="29"/>
  <c r="E12" i="30"/>
  <c r="E12" i="29"/>
  <c r="F48" i="30"/>
  <c r="F48" i="29"/>
  <c r="F40" i="30"/>
  <c r="F40" i="29"/>
  <c r="F32" i="30"/>
  <c r="F32" i="29"/>
  <c r="F24" i="30"/>
  <c r="F24" i="29"/>
  <c r="F12" i="30"/>
  <c r="F12" i="29"/>
  <c r="G48" i="30"/>
  <c r="G48" i="29"/>
  <c r="G40" i="30"/>
  <c r="G40" i="29"/>
  <c r="G32" i="30"/>
  <c r="G32" i="29"/>
  <c r="G24" i="30"/>
  <c r="G24" i="29"/>
  <c r="G20" i="30"/>
  <c r="G20" i="29"/>
  <c r="G12" i="30"/>
  <c r="G12" i="29"/>
  <c r="H44" i="30"/>
  <c r="H44" i="29"/>
  <c r="H36" i="30"/>
  <c r="H36" i="29"/>
  <c r="H28" i="30"/>
  <c r="H28" i="29"/>
  <c r="H20" i="30"/>
  <c r="H20" i="29"/>
  <c r="H12" i="30"/>
  <c r="H12" i="29"/>
  <c r="E50" i="30"/>
  <c r="E50" i="29"/>
  <c r="E46" i="30"/>
  <c r="E46" i="29"/>
  <c r="E42" i="30"/>
  <c r="E42" i="29"/>
  <c r="E38" i="30"/>
  <c r="E38" i="29"/>
  <c r="E34" i="30"/>
  <c r="E34" i="29"/>
  <c r="E30" i="30"/>
  <c r="E30" i="29"/>
  <c r="E26" i="30"/>
  <c r="E26" i="29"/>
  <c r="E22" i="30"/>
  <c r="E22" i="29"/>
  <c r="E18" i="30"/>
  <c r="E18" i="29"/>
  <c r="E14" i="30"/>
  <c r="E14" i="29"/>
  <c r="E10" i="30"/>
  <c r="E10" i="29"/>
  <c r="F50" i="30"/>
  <c r="F50" i="29"/>
  <c r="F46" i="30"/>
  <c r="F46" i="29"/>
  <c r="F42" i="30"/>
  <c r="F42" i="29"/>
  <c r="F38" i="30"/>
  <c r="F38" i="29"/>
  <c r="F34" i="30"/>
  <c r="F34" i="29"/>
  <c r="F30" i="30"/>
  <c r="F30" i="29"/>
  <c r="F26" i="30"/>
  <c r="F26" i="29"/>
  <c r="F22" i="30"/>
  <c r="F22" i="29"/>
  <c r="F18" i="30"/>
  <c r="F18" i="29"/>
  <c r="F14" i="30"/>
  <c r="F14" i="29"/>
  <c r="F10" i="30"/>
  <c r="F10" i="29"/>
  <c r="G50" i="30"/>
  <c r="G50" i="29"/>
  <c r="G46" i="30"/>
  <c r="G46" i="29"/>
  <c r="G42" i="30"/>
  <c r="G42" i="29"/>
  <c r="G38" i="30"/>
  <c r="G38" i="29"/>
  <c r="G34" i="30"/>
  <c r="G34" i="29"/>
  <c r="G30" i="30"/>
  <c r="G30" i="29"/>
  <c r="G26" i="30"/>
  <c r="G26" i="29"/>
  <c r="G22" i="30"/>
  <c r="G22" i="29"/>
  <c r="G18" i="30"/>
  <c r="G18" i="29"/>
  <c r="G14" i="30"/>
  <c r="G14" i="29"/>
  <c r="G10" i="30"/>
  <c r="G10" i="29"/>
  <c r="H50" i="30"/>
  <c r="H50" i="29"/>
  <c r="H46" i="30"/>
  <c r="H46" i="29"/>
  <c r="H42" i="30"/>
  <c r="H42" i="29"/>
  <c r="H38" i="30"/>
  <c r="H38" i="29"/>
  <c r="H34" i="30"/>
  <c r="H34" i="29"/>
  <c r="H30" i="30"/>
  <c r="H30" i="29"/>
  <c r="H26" i="30"/>
  <c r="H26" i="29"/>
  <c r="H22" i="30"/>
  <c r="H22" i="29"/>
  <c r="H18" i="30"/>
  <c r="H18" i="29"/>
  <c r="H14" i="30"/>
  <c r="H14" i="29"/>
  <c r="H10" i="30"/>
  <c r="H10" i="29"/>
  <c r="E47" i="30"/>
  <c r="E47" i="29"/>
  <c r="E39" i="30"/>
  <c r="E39" i="29"/>
  <c r="E35" i="30"/>
  <c r="E35" i="29"/>
  <c r="E27" i="30"/>
  <c r="E27" i="29"/>
  <c r="E19" i="30"/>
  <c r="E19" i="29"/>
  <c r="E11" i="30"/>
  <c r="E11" i="29"/>
  <c r="F47" i="30"/>
  <c r="F47" i="29"/>
  <c r="F35" i="30"/>
  <c r="F35" i="29"/>
  <c r="F27" i="30"/>
  <c r="F27" i="29"/>
  <c r="F19" i="30"/>
  <c r="F19" i="29"/>
  <c r="F11" i="30"/>
  <c r="F11" i="29"/>
  <c r="G47" i="30"/>
  <c r="G47" i="29"/>
  <c r="G39" i="30"/>
  <c r="G39" i="29"/>
  <c r="G31" i="30"/>
  <c r="G31" i="29"/>
  <c r="G23" i="30"/>
  <c r="G23" i="29"/>
  <c r="G15" i="30"/>
  <c r="G15" i="29"/>
  <c r="H43" i="30"/>
  <c r="H43" i="29"/>
  <c r="H35" i="30"/>
  <c r="H35" i="29"/>
  <c r="H27" i="30"/>
  <c r="H27" i="29"/>
  <c r="H19" i="30"/>
  <c r="H19" i="29"/>
  <c r="H11" i="30"/>
  <c r="H11" i="29"/>
  <c r="E44" i="30"/>
  <c r="E44" i="29"/>
  <c r="E36" i="30"/>
  <c r="E36" i="29"/>
  <c r="E28" i="30"/>
  <c r="E28" i="29"/>
  <c r="E16" i="30"/>
  <c r="E16" i="29"/>
  <c r="E8" i="30"/>
  <c r="E8" i="29"/>
  <c r="F44" i="30"/>
  <c r="F44" i="29"/>
  <c r="F36" i="30"/>
  <c r="F36" i="29"/>
  <c r="F28" i="30"/>
  <c r="F28" i="29"/>
  <c r="F20" i="30"/>
  <c r="F20" i="29"/>
  <c r="F16" i="30"/>
  <c r="F16" i="29"/>
  <c r="F8" i="30"/>
  <c r="F8" i="29"/>
  <c r="G44" i="30"/>
  <c r="G44" i="29"/>
  <c r="G36" i="30"/>
  <c r="G36" i="29"/>
  <c r="G28" i="30"/>
  <c r="G28" i="29"/>
  <c r="G16" i="30"/>
  <c r="G16" i="29"/>
  <c r="G8" i="30"/>
  <c r="G8" i="29"/>
  <c r="H48" i="30"/>
  <c r="H48" i="29"/>
  <c r="H40" i="30"/>
  <c r="H40" i="29"/>
  <c r="H32" i="30"/>
  <c r="H32" i="29"/>
  <c r="H24" i="30"/>
  <c r="H24" i="29"/>
  <c r="H16" i="30"/>
  <c r="H16" i="29"/>
  <c r="H8" i="30"/>
  <c r="H8" i="29"/>
  <c r="E49" i="30"/>
  <c r="E49" i="29"/>
  <c r="E45" i="30"/>
  <c r="E45" i="29"/>
  <c r="E41" i="30"/>
  <c r="E41" i="29"/>
  <c r="E37" i="30"/>
  <c r="E37" i="29"/>
  <c r="E33" i="30"/>
  <c r="E33" i="29"/>
  <c r="E29" i="30"/>
  <c r="E29" i="29"/>
  <c r="E25" i="30"/>
  <c r="E25" i="29"/>
  <c r="E21" i="30"/>
  <c r="E21" i="29"/>
  <c r="E17" i="30"/>
  <c r="E17" i="29"/>
  <c r="E13" i="30"/>
  <c r="E13" i="29"/>
  <c r="E9" i="30"/>
  <c r="E9" i="29"/>
  <c r="F49" i="30"/>
  <c r="F49" i="29"/>
  <c r="F45" i="30"/>
  <c r="F45" i="29"/>
  <c r="F41" i="30"/>
  <c r="F41" i="29"/>
  <c r="F37" i="30"/>
  <c r="F37" i="29"/>
  <c r="F33" i="30"/>
  <c r="F33" i="29"/>
  <c r="F29" i="30"/>
  <c r="F29" i="29"/>
  <c r="F25" i="30"/>
  <c r="F25" i="29"/>
  <c r="F21" i="30"/>
  <c r="F21" i="29"/>
  <c r="F17" i="30"/>
  <c r="F17" i="29"/>
  <c r="F13" i="30"/>
  <c r="F13" i="29"/>
  <c r="F9" i="30"/>
  <c r="F9" i="29"/>
  <c r="G49" i="30"/>
  <c r="G49" i="29"/>
  <c r="G45" i="30"/>
  <c r="G45" i="29"/>
  <c r="G41" i="30"/>
  <c r="G41" i="29"/>
  <c r="G37" i="30"/>
  <c r="G37" i="29"/>
  <c r="G33" i="30"/>
  <c r="G33" i="29"/>
  <c r="G29" i="30"/>
  <c r="G29" i="29"/>
  <c r="G25" i="30"/>
  <c r="G25" i="29"/>
  <c r="G21" i="30"/>
  <c r="G21" i="29"/>
  <c r="G17" i="30"/>
  <c r="G17" i="29"/>
  <c r="G13" i="30"/>
  <c r="G13" i="29"/>
  <c r="G9" i="30"/>
  <c r="G9" i="29"/>
  <c r="H49" i="30"/>
  <c r="H49" i="29"/>
  <c r="H45" i="30"/>
  <c r="H45" i="29"/>
  <c r="H41" i="30"/>
  <c r="H41" i="29"/>
  <c r="H37" i="30"/>
  <c r="H37" i="29"/>
  <c r="H33" i="30"/>
  <c r="H33" i="29"/>
  <c r="H29" i="30"/>
  <c r="H29" i="29"/>
  <c r="H25" i="30"/>
  <c r="H25" i="29"/>
  <c r="H21" i="30"/>
  <c r="H21" i="29"/>
  <c r="H17" i="30"/>
  <c r="H17" i="29"/>
  <c r="H13" i="30"/>
  <c r="H13" i="29"/>
  <c r="H9" i="30"/>
  <c r="H9" i="29"/>
  <c r="AA44" i="13"/>
  <c r="DX44" i="13" s="1"/>
  <c r="EV44" i="13" s="1"/>
  <c r="AA40" i="13"/>
  <c r="DX40" i="13" s="1"/>
  <c r="EV40" i="13" s="1"/>
  <c r="AA32" i="13"/>
  <c r="DX32" i="13" s="1"/>
  <c r="EV32" i="13" s="1"/>
  <c r="AA24" i="13"/>
  <c r="DX24" i="13" s="1"/>
  <c r="EV24" i="13" s="1"/>
  <c r="AA16" i="13"/>
  <c r="DX16" i="13" s="1"/>
  <c r="EV16" i="13" s="1"/>
  <c r="AA8" i="13"/>
  <c r="DX8" i="13" s="1"/>
  <c r="EV8" i="13" s="1"/>
  <c r="AA45" i="13"/>
  <c r="DX45" i="13" s="1"/>
  <c r="EV45" i="13" s="1"/>
  <c r="AA37" i="13"/>
  <c r="DX37" i="13" s="1"/>
  <c r="EV37" i="13" s="1"/>
  <c r="AA29" i="13"/>
  <c r="DX29" i="13" s="1"/>
  <c r="EV29" i="13" s="1"/>
  <c r="AA21" i="13"/>
  <c r="DX21" i="13" s="1"/>
  <c r="EV21" i="13" s="1"/>
  <c r="AA13" i="13"/>
  <c r="DX13" i="13" s="1"/>
  <c r="EV13" i="13" s="1"/>
  <c r="AA112" i="13"/>
  <c r="AB112" i="13" s="1"/>
  <c r="EF112" i="13"/>
  <c r="ER112" i="13" s="1"/>
  <c r="EH112" i="13"/>
  <c r="ET112" i="13" s="1"/>
  <c r="EG112" i="13"/>
  <c r="EE112" i="13"/>
  <c r="AA47" i="13"/>
  <c r="DX47" i="13" s="1"/>
  <c r="EV47" i="13" s="1"/>
  <c r="AA43" i="13"/>
  <c r="DX43" i="13" s="1"/>
  <c r="EV43" i="13" s="1"/>
  <c r="AA39" i="13"/>
  <c r="DX39" i="13" s="1"/>
  <c r="EV39" i="13" s="1"/>
  <c r="AA35" i="13"/>
  <c r="DX35" i="13" s="1"/>
  <c r="EV35" i="13" s="1"/>
  <c r="AA31" i="13"/>
  <c r="DX31" i="13" s="1"/>
  <c r="EV31" i="13" s="1"/>
  <c r="AA27" i="13"/>
  <c r="DX27" i="13" s="1"/>
  <c r="EV27" i="13" s="1"/>
  <c r="AA23" i="13"/>
  <c r="DX23" i="13" s="1"/>
  <c r="EV23" i="13" s="1"/>
  <c r="AA19" i="13"/>
  <c r="DX19" i="13" s="1"/>
  <c r="EV19" i="13" s="1"/>
  <c r="AA15" i="13"/>
  <c r="DX15" i="13" s="1"/>
  <c r="EV15" i="13" s="1"/>
  <c r="AA11" i="13"/>
  <c r="DX11" i="13" s="1"/>
  <c r="EV11" i="13" s="1"/>
  <c r="AA48" i="13"/>
  <c r="DX48" i="13" s="1"/>
  <c r="EV48" i="13" s="1"/>
  <c r="AA36" i="13"/>
  <c r="DX36" i="13" s="1"/>
  <c r="EV36" i="13" s="1"/>
  <c r="AA28" i="13"/>
  <c r="DX28" i="13" s="1"/>
  <c r="EV28" i="13" s="1"/>
  <c r="AA20" i="13"/>
  <c r="DX20" i="13" s="1"/>
  <c r="EV20" i="13" s="1"/>
  <c r="AA12" i="13"/>
  <c r="DX12" i="13" s="1"/>
  <c r="EV12" i="13" s="1"/>
  <c r="AA49" i="13"/>
  <c r="DX49" i="13" s="1"/>
  <c r="EV49" i="13" s="1"/>
  <c r="AA41" i="13"/>
  <c r="DX41" i="13" s="1"/>
  <c r="EV41" i="13" s="1"/>
  <c r="AA33" i="13"/>
  <c r="DX33" i="13" s="1"/>
  <c r="EV33" i="13" s="1"/>
  <c r="AA25" i="13"/>
  <c r="DX25" i="13" s="1"/>
  <c r="EV25" i="13" s="1"/>
  <c r="AA17" i="13"/>
  <c r="DX17" i="13" s="1"/>
  <c r="EV17" i="13" s="1"/>
  <c r="AA9" i="13"/>
  <c r="DX9" i="13" s="1"/>
  <c r="EV9" i="13" s="1"/>
  <c r="AA50" i="13"/>
  <c r="DX50" i="13" s="1"/>
  <c r="EV50" i="13" s="1"/>
  <c r="AA46" i="13"/>
  <c r="DX46" i="13" s="1"/>
  <c r="EV46" i="13" s="1"/>
  <c r="AA42" i="13"/>
  <c r="DX42" i="13" s="1"/>
  <c r="EV42" i="13" s="1"/>
  <c r="AA38" i="13"/>
  <c r="DX38" i="13" s="1"/>
  <c r="EV38" i="13" s="1"/>
  <c r="AA34" i="13"/>
  <c r="DX34" i="13" s="1"/>
  <c r="EV34" i="13" s="1"/>
  <c r="AA30" i="13"/>
  <c r="DX30" i="13" s="1"/>
  <c r="EV30" i="13" s="1"/>
  <c r="AA26" i="13"/>
  <c r="DX26" i="13" s="1"/>
  <c r="EV26" i="13" s="1"/>
  <c r="AA22" i="13"/>
  <c r="DX22" i="13" s="1"/>
  <c r="EV22" i="13" s="1"/>
  <c r="AA18" i="13"/>
  <c r="DX18" i="13" s="1"/>
  <c r="EV18" i="13" s="1"/>
  <c r="AA14" i="13"/>
  <c r="DX14" i="13" s="1"/>
  <c r="EV14" i="13" s="1"/>
  <c r="AA10" i="13"/>
  <c r="DX10" i="13" s="1"/>
  <c r="EV10" i="13" s="1"/>
  <c r="Q39" i="24"/>
  <c r="Q41" i="24"/>
  <c r="Q37" i="24"/>
  <c r="Q38" i="24"/>
  <c r="H6" i="14"/>
  <c r="G6" i="14"/>
  <c r="F6" i="14"/>
  <c r="C6" i="14"/>
  <c r="J16" i="35" l="1"/>
  <c r="J24" i="35"/>
  <c r="J32" i="35"/>
  <c r="J40" i="35"/>
  <c r="J48" i="35"/>
  <c r="J21" i="35"/>
  <c r="J39" i="35"/>
  <c r="J17" i="35"/>
  <c r="J25" i="35"/>
  <c r="J33" i="35"/>
  <c r="J41" i="35"/>
  <c r="J49" i="35"/>
  <c r="J45" i="35"/>
  <c r="J18" i="35"/>
  <c r="J26" i="35"/>
  <c r="J34" i="35"/>
  <c r="J42" i="35"/>
  <c r="J50" i="35"/>
  <c r="J13" i="35"/>
  <c r="J47" i="35"/>
  <c r="J11" i="35"/>
  <c r="J19" i="35"/>
  <c r="J27" i="35"/>
  <c r="J35" i="35"/>
  <c r="J43" i="35"/>
  <c r="J51" i="35"/>
  <c r="J15" i="35"/>
  <c r="J12" i="35"/>
  <c r="J20" i="35"/>
  <c r="J28" i="35"/>
  <c r="J36" i="35"/>
  <c r="J44" i="35"/>
  <c r="J29" i="35"/>
  <c r="J31" i="35"/>
  <c r="J37" i="35"/>
  <c r="J23" i="35"/>
  <c r="J14" i="35"/>
  <c r="J22" i="35"/>
  <c r="J30" i="35"/>
  <c r="J38" i="35"/>
  <c r="J46" i="35"/>
  <c r="EO30" i="13"/>
  <c r="EO34" i="13"/>
  <c r="EO38" i="13"/>
  <c r="EO42" i="13"/>
  <c r="EO14" i="13"/>
  <c r="EO18" i="13"/>
  <c r="EO22" i="13"/>
  <c r="EO26" i="13"/>
  <c r="EO46" i="13"/>
  <c r="EO50" i="13"/>
  <c r="EO15" i="13"/>
  <c r="EO19" i="13"/>
  <c r="EO23" i="13"/>
  <c r="EO27" i="13"/>
  <c r="EO31" i="13"/>
  <c r="EO35" i="13"/>
  <c r="EO39" i="13"/>
  <c r="EO43" i="13"/>
  <c r="EO47" i="13"/>
  <c r="EO16" i="13"/>
  <c r="EO20" i="13"/>
  <c r="EO24" i="13"/>
  <c r="EO28" i="13"/>
  <c r="EO32" i="13"/>
  <c r="EO36" i="13"/>
  <c r="EO40" i="13"/>
  <c r="EO44" i="13"/>
  <c r="EO48" i="13"/>
  <c r="EO17" i="13"/>
  <c r="EO21" i="13"/>
  <c r="EO25" i="13"/>
  <c r="EO29" i="13"/>
  <c r="EO33" i="13"/>
  <c r="EO37" i="13"/>
  <c r="EO41" i="13"/>
  <c r="EO45" i="13"/>
  <c r="EO49" i="13"/>
  <c r="EO9" i="13"/>
  <c r="DT87" i="13"/>
  <c r="DT107" i="13"/>
  <c r="K23" i="14" s="1"/>
  <c r="DT67" i="13"/>
  <c r="EW51" i="13"/>
  <c r="FC51" i="13" s="1"/>
  <c r="EK51" i="13"/>
  <c r="DT64" i="13"/>
  <c r="I19" i="14" s="1"/>
  <c r="DT63" i="13"/>
  <c r="I18" i="14" s="1"/>
  <c r="DT80" i="13"/>
  <c r="J15" i="14" s="1"/>
  <c r="DT78" i="13"/>
  <c r="J13" i="14" s="1"/>
  <c r="DT84" i="13"/>
  <c r="J19" i="14" s="1"/>
  <c r="DT60" i="13"/>
  <c r="I15" i="14" s="1"/>
  <c r="DT58" i="13"/>
  <c r="I13" i="14" s="1"/>
  <c r="DT83" i="13"/>
  <c r="J18" i="14" s="1"/>
  <c r="DT100" i="13"/>
  <c r="K15" i="14" s="1"/>
  <c r="DT98" i="13"/>
  <c r="K13" i="14" s="1"/>
  <c r="DT104" i="13"/>
  <c r="K19" i="14" s="1"/>
  <c r="DT103" i="13"/>
  <c r="K18" i="14" s="1"/>
  <c r="DT62" i="13"/>
  <c r="I17" i="14" s="1"/>
  <c r="DT68" i="13"/>
  <c r="DT88" i="13"/>
  <c r="DT59" i="13"/>
  <c r="I14" i="14" s="1"/>
  <c r="DT102" i="13"/>
  <c r="K17" i="14" s="1"/>
  <c r="DT82" i="13"/>
  <c r="J17" i="14" s="1"/>
  <c r="DT99" i="13"/>
  <c r="K14" i="14" s="1"/>
  <c r="DT108" i="13"/>
  <c r="K24" i="14" s="1"/>
  <c r="DT79" i="13"/>
  <c r="J14" i="14" s="1"/>
  <c r="FR13" i="13"/>
  <c r="FR29" i="13"/>
  <c r="FR32" i="13"/>
  <c r="FS24" i="13"/>
  <c r="FT24" i="13" s="1"/>
  <c r="FR26" i="13"/>
  <c r="FR28" i="13"/>
  <c r="FS18" i="13"/>
  <c r="FU18" i="13" s="1"/>
  <c r="FR39" i="13"/>
  <c r="FR12" i="13"/>
  <c r="FR10" i="13"/>
  <c r="Y7" i="29"/>
  <c r="Y7" i="30"/>
  <c r="FT38" i="13"/>
  <c r="FU38" i="13"/>
  <c r="FT36" i="13"/>
  <c r="FU36" i="13"/>
  <c r="FT28" i="13"/>
  <c r="FU28" i="13"/>
  <c r="FU14" i="13"/>
  <c r="FT14" i="13"/>
  <c r="FT46" i="13"/>
  <c r="FU46" i="13"/>
  <c r="FU47" i="13"/>
  <c r="FT47" i="13"/>
  <c r="FT12" i="13"/>
  <c r="FU12" i="13"/>
  <c r="FT20" i="13"/>
  <c r="FU20" i="13"/>
  <c r="FT22" i="13"/>
  <c r="FU22" i="13"/>
  <c r="FU21" i="13"/>
  <c r="FT21" i="13"/>
  <c r="FT11" i="13"/>
  <c r="FU11" i="13"/>
  <c r="FT37" i="13"/>
  <c r="FU37" i="13"/>
  <c r="FR27" i="13"/>
  <c r="FP27" i="13"/>
  <c r="FR30" i="13"/>
  <c r="FP30" i="13"/>
  <c r="FS48" i="13"/>
  <c r="FP23" i="13"/>
  <c r="FP31" i="13"/>
  <c r="FP41" i="13"/>
  <c r="FT26" i="13"/>
  <c r="FU26" i="13"/>
  <c r="FP42" i="13"/>
  <c r="FP50" i="13"/>
  <c r="FP44" i="13"/>
  <c r="FU19" i="13"/>
  <c r="FT19" i="13"/>
  <c r="FU29" i="13"/>
  <c r="FT29" i="13"/>
  <c r="FP36" i="13"/>
  <c r="FR47" i="13"/>
  <c r="FP45" i="13"/>
  <c r="FP25" i="13"/>
  <c r="FS33" i="13"/>
  <c r="FP33" i="13"/>
  <c r="FS49" i="13"/>
  <c r="FP12" i="13"/>
  <c r="FS34" i="13"/>
  <c r="FP20" i="13"/>
  <c r="FR19" i="13"/>
  <c r="FP19" i="13"/>
  <c r="FP29" i="13"/>
  <c r="FR21" i="13"/>
  <c r="FS15" i="13"/>
  <c r="FS17" i="13"/>
  <c r="FP17" i="13"/>
  <c r="FP26" i="13"/>
  <c r="FR44" i="13"/>
  <c r="FP28" i="13"/>
  <c r="FS40" i="13"/>
  <c r="FR41" i="13"/>
  <c r="FR20" i="13"/>
  <c r="FR37" i="13"/>
  <c r="FR11" i="13"/>
  <c r="FP11" i="13"/>
  <c r="FR46" i="13"/>
  <c r="FP46" i="13"/>
  <c r="FT32" i="13"/>
  <c r="FU32" i="13"/>
  <c r="FP48" i="13"/>
  <c r="FP15" i="13"/>
  <c r="FP49" i="13"/>
  <c r="FU35" i="13"/>
  <c r="FT35" i="13"/>
  <c r="FS43" i="13"/>
  <c r="FP43" i="13"/>
  <c r="FR14" i="13"/>
  <c r="FP14" i="13"/>
  <c r="FR22" i="13"/>
  <c r="FP22" i="13"/>
  <c r="FR38" i="13"/>
  <c r="FP38" i="13"/>
  <c r="FP16" i="13"/>
  <c r="FP21" i="13"/>
  <c r="FU31" i="13"/>
  <c r="FT31" i="13"/>
  <c r="FT39" i="13"/>
  <c r="FU39" i="13"/>
  <c r="FP47" i="13"/>
  <c r="FT25" i="13"/>
  <c r="FU25" i="13"/>
  <c r="FT41" i="13"/>
  <c r="FU41" i="13"/>
  <c r="FP34" i="13"/>
  <c r="FP37" i="13"/>
  <c r="FR35" i="13"/>
  <c r="FP35" i="13"/>
  <c r="FS16" i="13"/>
  <c r="FP32" i="13"/>
  <c r="FP39" i="13"/>
  <c r="FP40" i="13"/>
  <c r="FR45" i="13"/>
  <c r="FT13" i="13"/>
  <c r="FU13" i="13"/>
  <c r="FT10" i="13"/>
  <c r="FU10" i="13"/>
  <c r="FS42" i="13"/>
  <c r="FS50" i="13"/>
  <c r="FS27" i="13"/>
  <c r="FR36" i="13"/>
  <c r="FS30" i="13"/>
  <c r="FS23" i="13"/>
  <c r="FR31" i="13"/>
  <c r="FP24" i="13"/>
  <c r="FS45" i="13"/>
  <c r="FP13" i="13"/>
  <c r="FR25" i="13"/>
  <c r="FP10" i="13"/>
  <c r="FP18" i="13"/>
  <c r="FR42" i="13"/>
  <c r="FR50" i="13"/>
  <c r="FS44" i="13"/>
  <c r="EJ9" i="13"/>
  <c r="EJ16" i="13"/>
  <c r="EJ26" i="13"/>
  <c r="EJ35" i="13"/>
  <c r="EJ25" i="13"/>
  <c r="EJ39" i="13"/>
  <c r="EJ13" i="13"/>
  <c r="EJ34" i="13"/>
  <c r="EJ33" i="13"/>
  <c r="EJ11" i="13"/>
  <c r="EJ43" i="13"/>
  <c r="EJ21" i="13"/>
  <c r="EJ40" i="13"/>
  <c r="FA19" i="13"/>
  <c r="FG19" i="13" s="1"/>
  <c r="FA43" i="13"/>
  <c r="FG43" i="13" s="1"/>
  <c r="FA13" i="13"/>
  <c r="FG13" i="13" s="1"/>
  <c r="FA32" i="13"/>
  <c r="FG32" i="13" s="1"/>
  <c r="FA37" i="13"/>
  <c r="FG37" i="13" s="1"/>
  <c r="FA38" i="13"/>
  <c r="FG38" i="13" s="1"/>
  <c r="FA31" i="13"/>
  <c r="FG31" i="13" s="1"/>
  <c r="FA49" i="13"/>
  <c r="FG49" i="13" s="1"/>
  <c r="FA42" i="13"/>
  <c r="FG42" i="13" s="1"/>
  <c r="EJ38" i="13"/>
  <c r="EJ41" i="13"/>
  <c r="EJ15" i="13"/>
  <c r="EJ47" i="13"/>
  <c r="EJ29" i="13"/>
  <c r="EJ44" i="13"/>
  <c r="FA12" i="13"/>
  <c r="FG12" i="13" s="1"/>
  <c r="FA40" i="13"/>
  <c r="FG40" i="13" s="1"/>
  <c r="FA47" i="13"/>
  <c r="FG47" i="13" s="1"/>
  <c r="EJ19" i="13"/>
  <c r="FA35" i="13"/>
  <c r="FG35" i="13" s="1"/>
  <c r="FA30" i="13"/>
  <c r="FG30" i="13" s="1"/>
  <c r="FA24" i="13"/>
  <c r="FG24" i="13" s="1"/>
  <c r="FA18" i="13"/>
  <c r="FG18" i="13" s="1"/>
  <c r="EJ12" i="13"/>
  <c r="FA8" i="13"/>
  <c r="FG8" i="13" s="1"/>
  <c r="FA28" i="13"/>
  <c r="FG28" i="13" s="1"/>
  <c r="FA44" i="13"/>
  <c r="FG44" i="13" s="1"/>
  <c r="FA23" i="13"/>
  <c r="FG23" i="13" s="1"/>
  <c r="FA25" i="13"/>
  <c r="FG25" i="13" s="1"/>
  <c r="FA41" i="13"/>
  <c r="FG41" i="13" s="1"/>
  <c r="FA34" i="13"/>
  <c r="FG34" i="13" s="1"/>
  <c r="EJ10" i="13"/>
  <c r="EJ37" i="13"/>
  <c r="EJ14" i="13"/>
  <c r="EJ46" i="13"/>
  <c r="EJ23" i="13"/>
  <c r="EJ45" i="13"/>
  <c r="EJ18" i="13"/>
  <c r="EJ50" i="13"/>
  <c r="EJ20" i="13"/>
  <c r="EJ27" i="13"/>
  <c r="EJ8" i="13"/>
  <c r="FA11" i="13"/>
  <c r="FG11" i="13" s="1"/>
  <c r="FA27" i="13"/>
  <c r="FG27" i="13" s="1"/>
  <c r="FA39" i="13"/>
  <c r="FG39" i="13" s="1"/>
  <c r="FA50" i="13"/>
  <c r="FG50" i="13" s="1"/>
  <c r="FA29" i="13"/>
  <c r="FG29" i="13" s="1"/>
  <c r="FA45" i="13"/>
  <c r="FG45" i="13" s="1"/>
  <c r="FA14" i="13"/>
  <c r="FG14" i="13" s="1"/>
  <c r="FA9" i="13"/>
  <c r="FG9" i="13" s="1"/>
  <c r="EJ42" i="13"/>
  <c r="EJ22" i="13"/>
  <c r="EJ31" i="13"/>
  <c r="EJ36" i="13"/>
  <c r="EJ24" i="13"/>
  <c r="FA20" i="13"/>
  <c r="FG20" i="13" s="1"/>
  <c r="FA36" i="13"/>
  <c r="FG36" i="13" s="1"/>
  <c r="FA22" i="13"/>
  <c r="FG22" i="13" s="1"/>
  <c r="FA46" i="13"/>
  <c r="FG46" i="13" s="1"/>
  <c r="FA15" i="13"/>
  <c r="FG15" i="13" s="1"/>
  <c r="FA16" i="13"/>
  <c r="FG16" i="13" s="1"/>
  <c r="FA17" i="13"/>
  <c r="FG17" i="13" s="1"/>
  <c r="FA10" i="13"/>
  <c r="FG10" i="13" s="1"/>
  <c r="FA48" i="13"/>
  <c r="FG48" i="13" s="1"/>
  <c r="EJ49" i="13"/>
  <c r="EJ28" i="13"/>
  <c r="EJ17" i="13"/>
  <c r="EJ30" i="13"/>
  <c r="EJ48" i="13"/>
  <c r="EJ32" i="13"/>
  <c r="FA33" i="13"/>
  <c r="FG33" i="13" s="1"/>
  <c r="FA21" i="13"/>
  <c r="FG21" i="13" s="1"/>
  <c r="FA26" i="13"/>
  <c r="FG26" i="13" s="1"/>
  <c r="ER8" i="13"/>
  <c r="J7" i="39"/>
  <c r="DU7" i="13"/>
  <c r="T33" i="24" s="1"/>
  <c r="Q51" i="30"/>
  <c r="AB38" i="13"/>
  <c r="N38" i="30"/>
  <c r="N38" i="29"/>
  <c r="N49" i="30"/>
  <c r="N49" i="29"/>
  <c r="N13" i="30"/>
  <c r="N13" i="29"/>
  <c r="AB32" i="13"/>
  <c r="N32" i="30"/>
  <c r="N32" i="29"/>
  <c r="AB34" i="13"/>
  <c r="N34" i="30"/>
  <c r="N34" i="29"/>
  <c r="AB28" i="13"/>
  <c r="N28" i="30"/>
  <c r="N28" i="29"/>
  <c r="N19" i="30"/>
  <c r="N19" i="29"/>
  <c r="N37" i="30"/>
  <c r="N37" i="29"/>
  <c r="AB14" i="13"/>
  <c r="N14" i="30"/>
  <c r="N14" i="29"/>
  <c r="AB22" i="13"/>
  <c r="N22" i="30"/>
  <c r="N22" i="29"/>
  <c r="AB30" i="13"/>
  <c r="N30" i="30"/>
  <c r="N30" i="29"/>
  <c r="AB50" i="13"/>
  <c r="N50" i="30"/>
  <c r="N50" i="29"/>
  <c r="N33" i="30"/>
  <c r="N33" i="29"/>
  <c r="N41" i="30"/>
  <c r="N41" i="29"/>
  <c r="AB20" i="13"/>
  <c r="N20" i="30"/>
  <c r="N20" i="29"/>
  <c r="AB15" i="13"/>
  <c r="N15" i="30"/>
  <c r="N15" i="29"/>
  <c r="AB31" i="13"/>
  <c r="N31" i="30"/>
  <c r="N31" i="29"/>
  <c r="AB47" i="13"/>
  <c r="N47" i="30"/>
  <c r="N47" i="29"/>
  <c r="N29" i="30"/>
  <c r="N29" i="29"/>
  <c r="AB16" i="13"/>
  <c r="N16" i="30"/>
  <c r="N16" i="29"/>
  <c r="AB44" i="13"/>
  <c r="N44" i="30"/>
  <c r="N44" i="29"/>
  <c r="AB42" i="13"/>
  <c r="N42" i="30"/>
  <c r="N42" i="29"/>
  <c r="N17" i="30"/>
  <c r="N17" i="29"/>
  <c r="AB23" i="13"/>
  <c r="N23" i="30"/>
  <c r="N23" i="29"/>
  <c r="AB39" i="13"/>
  <c r="N39" i="30"/>
  <c r="N39" i="29"/>
  <c r="N21" i="30"/>
  <c r="N21" i="29"/>
  <c r="AB18" i="13"/>
  <c r="N18" i="30"/>
  <c r="N18" i="29"/>
  <c r="N9" i="30"/>
  <c r="N9" i="29"/>
  <c r="AB36" i="13"/>
  <c r="N36" i="30"/>
  <c r="N36" i="29"/>
  <c r="N35" i="30"/>
  <c r="N35" i="29"/>
  <c r="N45" i="30"/>
  <c r="N45" i="29"/>
  <c r="AB24" i="13"/>
  <c r="N24" i="30"/>
  <c r="N24" i="29"/>
  <c r="AB10" i="13"/>
  <c r="N10" i="30"/>
  <c r="N10" i="29"/>
  <c r="AB26" i="13"/>
  <c r="N26" i="30"/>
  <c r="N26" i="29"/>
  <c r="AB46" i="13"/>
  <c r="N46" i="30"/>
  <c r="N46" i="29"/>
  <c r="N25" i="30"/>
  <c r="N25" i="29"/>
  <c r="AB12" i="13"/>
  <c r="N12" i="30"/>
  <c r="N12" i="29"/>
  <c r="AB48" i="13"/>
  <c r="N48" i="30"/>
  <c r="N48" i="29"/>
  <c r="AB11" i="13"/>
  <c r="N11" i="30"/>
  <c r="N11" i="29"/>
  <c r="AB27" i="13"/>
  <c r="N27" i="30"/>
  <c r="N27" i="29"/>
  <c r="AB43" i="13"/>
  <c r="N43" i="30"/>
  <c r="N43" i="29"/>
  <c r="N8" i="30"/>
  <c r="N8" i="29"/>
  <c r="AB40" i="13"/>
  <c r="N40" i="30"/>
  <c r="N40" i="29"/>
  <c r="AD112" i="13"/>
  <c r="AE112" i="13" s="1"/>
  <c r="AB19" i="13"/>
  <c r="AB35" i="13"/>
  <c r="AB33" i="13"/>
  <c r="AB9" i="13"/>
  <c r="AE9" i="13" s="1"/>
  <c r="AB17" i="13"/>
  <c r="AB49" i="13"/>
  <c r="AB25" i="13"/>
  <c r="AB13" i="13"/>
  <c r="ED13" i="13" s="1"/>
  <c r="M8" i="4"/>
  <c r="AB8" i="13"/>
  <c r="AE8" i="13" s="1"/>
  <c r="AB41" i="13"/>
  <c r="AB45" i="13"/>
  <c r="AB21" i="13"/>
  <c r="AB29" i="13"/>
  <c r="AB37" i="13"/>
  <c r="DX112" i="13"/>
  <c r="M11" i="4"/>
  <c r="M34" i="4"/>
  <c r="M32" i="4"/>
  <c r="M31" i="4"/>
  <c r="M20" i="4"/>
  <c r="M24" i="4"/>
  <c r="M45" i="4"/>
  <c r="M25" i="4"/>
  <c r="M26" i="4"/>
  <c r="M43" i="4"/>
  <c r="M21" i="4"/>
  <c r="CS112" i="13"/>
  <c r="CU112" i="13"/>
  <c r="CW112" i="13"/>
  <c r="DB112" i="13"/>
  <c r="DD112" i="13"/>
  <c r="DF112" i="13"/>
  <c r="DG112" i="13" s="1"/>
  <c r="CG112" i="13"/>
  <c r="CH112" i="13"/>
  <c r="CK112" i="13"/>
  <c r="CL112" i="13" s="1"/>
  <c r="CL6" i="13"/>
  <c r="CG6" i="13"/>
  <c r="CB6" i="13"/>
  <c r="BZ6" i="13"/>
  <c r="BX6" i="13"/>
  <c r="BC50" i="13"/>
  <c r="BE50" i="13"/>
  <c r="BG50" i="13"/>
  <c r="BC112" i="13"/>
  <c r="BE112" i="13"/>
  <c r="BF112" i="13" s="1"/>
  <c r="BG112" i="13"/>
  <c r="BM6" i="13"/>
  <c r="AJ6" i="13"/>
  <c r="K18" i="35" l="1"/>
  <c r="K26" i="35"/>
  <c r="K34" i="35"/>
  <c r="K42" i="35"/>
  <c r="K50" i="35"/>
  <c r="K17" i="35"/>
  <c r="K11" i="35"/>
  <c r="K19" i="35"/>
  <c r="K27" i="35"/>
  <c r="K35" i="35"/>
  <c r="K43" i="35"/>
  <c r="K51" i="35"/>
  <c r="K23" i="35"/>
  <c r="K12" i="35"/>
  <c r="K20" i="35"/>
  <c r="K28" i="35"/>
  <c r="K36" i="35"/>
  <c r="K44" i="35"/>
  <c r="K25" i="35"/>
  <c r="K13" i="35"/>
  <c r="K21" i="35"/>
  <c r="K29" i="35"/>
  <c r="K37" i="35"/>
  <c r="K45" i="35"/>
  <c r="K15" i="35"/>
  <c r="K47" i="35"/>
  <c r="K14" i="35"/>
  <c r="K22" i="35"/>
  <c r="K30" i="35"/>
  <c r="K38" i="35"/>
  <c r="K46" i="35"/>
  <c r="K39" i="35"/>
  <c r="K31" i="35"/>
  <c r="K33" i="35"/>
  <c r="K16" i="35"/>
  <c r="K24" i="35"/>
  <c r="K32" i="35"/>
  <c r="K40" i="35"/>
  <c r="K48" i="35"/>
  <c r="K41" i="35"/>
  <c r="K49" i="35"/>
  <c r="J23" i="14"/>
  <c r="I23" i="14"/>
  <c r="FU24" i="13"/>
  <c r="I24" i="14"/>
  <c r="J24" i="14"/>
  <c r="FT18" i="13"/>
  <c r="FU15" i="13"/>
  <c r="FT15" i="13"/>
  <c r="FT30" i="13"/>
  <c r="FU30" i="13"/>
  <c r="FU44" i="13"/>
  <c r="FT44" i="13"/>
  <c r="FT50" i="13"/>
  <c r="FU50" i="13"/>
  <c r="FU33" i="13"/>
  <c r="FT33" i="13"/>
  <c r="FU48" i="13"/>
  <c r="FT48" i="13"/>
  <c r="FT27" i="13"/>
  <c r="FU27" i="13"/>
  <c r="FT42" i="13"/>
  <c r="FU42" i="13"/>
  <c r="FU45" i="13"/>
  <c r="FT45" i="13"/>
  <c r="FU43" i="13"/>
  <c r="FT43" i="13"/>
  <c r="FT34" i="13"/>
  <c r="FU34" i="13"/>
  <c r="FU17" i="13"/>
  <c r="FT17" i="13"/>
  <c r="FU16" i="13"/>
  <c r="FT16" i="13"/>
  <c r="FT49" i="13"/>
  <c r="FU49" i="13"/>
  <c r="FT23" i="13"/>
  <c r="FU23" i="13"/>
  <c r="FU40" i="13"/>
  <c r="FT40" i="13"/>
  <c r="EP13" i="13"/>
  <c r="FB13" i="13"/>
  <c r="EI7" i="13"/>
  <c r="DV7" i="13"/>
  <c r="Y33" i="24" s="1"/>
  <c r="P43" i="4"/>
  <c r="ED43" i="13"/>
  <c r="P29" i="4"/>
  <c r="ED29" i="13"/>
  <c r="P49" i="4"/>
  <c r="ED49" i="13"/>
  <c r="P48" i="4"/>
  <c r="ED48" i="13"/>
  <c r="P46" i="4"/>
  <c r="ED46" i="13"/>
  <c r="P36" i="4"/>
  <c r="ED36" i="13"/>
  <c r="P16" i="4"/>
  <c r="ED16" i="13"/>
  <c r="P31" i="4"/>
  <c r="ED31" i="13"/>
  <c r="P30" i="4"/>
  <c r="ED30" i="13"/>
  <c r="P37" i="4"/>
  <c r="ED37" i="13"/>
  <c r="P14" i="4"/>
  <c r="ED14" i="13"/>
  <c r="P40" i="4"/>
  <c r="ED40" i="13"/>
  <c r="P24" i="4"/>
  <c r="ED24" i="13"/>
  <c r="P41" i="4"/>
  <c r="ED41" i="13"/>
  <c r="P35" i="4"/>
  <c r="ED35" i="13"/>
  <c r="P8" i="4"/>
  <c r="ED8" i="13"/>
  <c r="P17" i="4"/>
  <c r="ED17" i="13"/>
  <c r="P27" i="4"/>
  <c r="ED27" i="13"/>
  <c r="P39" i="4"/>
  <c r="ED39" i="13"/>
  <c r="P42" i="4"/>
  <c r="ED42" i="13"/>
  <c r="P38" i="4"/>
  <c r="ED38" i="13"/>
  <c r="P33" i="4"/>
  <c r="ED33" i="13"/>
  <c r="FB33" i="13" s="1"/>
  <c r="P10" i="4"/>
  <c r="ED10" i="13"/>
  <c r="P12" i="4"/>
  <c r="ED12" i="13"/>
  <c r="P26" i="4"/>
  <c r="ED26" i="13"/>
  <c r="P15" i="4"/>
  <c r="ED15" i="13"/>
  <c r="P22" i="4"/>
  <c r="ED22" i="13"/>
  <c r="P32" i="4"/>
  <c r="ED32" i="13"/>
  <c r="P20" i="4"/>
  <c r="ED20" i="13"/>
  <c r="P19" i="4"/>
  <c r="ED19" i="13"/>
  <c r="P45" i="4"/>
  <c r="ED45" i="13"/>
  <c r="P9" i="4"/>
  <c r="ED9" i="13"/>
  <c r="FB9" i="13" s="1"/>
  <c r="P25" i="4"/>
  <c r="ED25" i="13"/>
  <c r="P11" i="4"/>
  <c r="ED11" i="13"/>
  <c r="FB11" i="13" s="1"/>
  <c r="P18" i="4"/>
  <c r="ED18" i="13"/>
  <c r="P23" i="4"/>
  <c r="ED23" i="13"/>
  <c r="P44" i="4"/>
  <c r="ED44" i="13"/>
  <c r="P47" i="4"/>
  <c r="ED47" i="13"/>
  <c r="P50" i="4"/>
  <c r="ED50" i="13"/>
  <c r="P28" i="4"/>
  <c r="ED28" i="13"/>
  <c r="AF13" i="13"/>
  <c r="P13" i="4"/>
  <c r="N21" i="4"/>
  <c r="N34" i="4"/>
  <c r="ED34" i="13"/>
  <c r="N32" i="4"/>
  <c r="BY112" i="13"/>
  <c r="BY51" i="13"/>
  <c r="CA112" i="13"/>
  <c r="CA51" i="13"/>
  <c r="CC112" i="13"/>
  <c r="CC51" i="13"/>
  <c r="N26" i="4"/>
  <c r="N43" i="4"/>
  <c r="N24" i="4"/>
  <c r="N31" i="4"/>
  <c r="O27" i="30"/>
  <c r="O27" i="29"/>
  <c r="O42" i="30"/>
  <c r="O42" i="29"/>
  <c r="O20" i="30"/>
  <c r="O20" i="29"/>
  <c r="O38" i="30"/>
  <c r="O38" i="29"/>
  <c r="O29" i="30"/>
  <c r="O29" i="29"/>
  <c r="O13" i="30"/>
  <c r="O13" i="29"/>
  <c r="O33" i="30"/>
  <c r="O33" i="29"/>
  <c r="O40" i="30"/>
  <c r="O40" i="29"/>
  <c r="O18" i="30"/>
  <c r="O18" i="29"/>
  <c r="O44" i="30"/>
  <c r="O44" i="29"/>
  <c r="O50" i="30"/>
  <c r="O50" i="29"/>
  <c r="O28" i="30"/>
  <c r="O28" i="29"/>
  <c r="O35" i="30"/>
  <c r="O35" i="29"/>
  <c r="O48" i="30"/>
  <c r="O48" i="29"/>
  <c r="O46" i="30"/>
  <c r="O46" i="29"/>
  <c r="O36" i="30"/>
  <c r="O36" i="29"/>
  <c r="O16" i="30"/>
  <c r="O16" i="29"/>
  <c r="O31" i="30"/>
  <c r="O31" i="29"/>
  <c r="O30" i="30"/>
  <c r="O30" i="29"/>
  <c r="O34" i="30"/>
  <c r="O34" i="29"/>
  <c r="AF27" i="13"/>
  <c r="AF40" i="13"/>
  <c r="O19" i="30"/>
  <c r="O19" i="29"/>
  <c r="O10" i="30"/>
  <c r="O10" i="29"/>
  <c r="O39" i="30"/>
  <c r="O39" i="29"/>
  <c r="O14" i="30"/>
  <c r="O14" i="29"/>
  <c r="O45" i="30"/>
  <c r="O45" i="29"/>
  <c r="O17" i="30"/>
  <c r="O17" i="29"/>
  <c r="O11" i="30"/>
  <c r="O11" i="29"/>
  <c r="O24" i="30"/>
  <c r="O24" i="29"/>
  <c r="O23" i="30"/>
  <c r="O23" i="29"/>
  <c r="O47" i="30"/>
  <c r="O47" i="29"/>
  <c r="O37" i="30"/>
  <c r="O37" i="29"/>
  <c r="O21" i="30"/>
  <c r="O21" i="29"/>
  <c r="O41" i="30"/>
  <c r="O41" i="29"/>
  <c r="O8" i="30"/>
  <c r="O8" i="29"/>
  <c r="O25" i="30"/>
  <c r="O25" i="29"/>
  <c r="O49" i="30"/>
  <c r="O49" i="29"/>
  <c r="O9" i="30"/>
  <c r="O9" i="29"/>
  <c r="O43" i="30"/>
  <c r="O43" i="29"/>
  <c r="O12" i="30"/>
  <c r="O12" i="29"/>
  <c r="O26" i="30"/>
  <c r="O26" i="29"/>
  <c r="O15" i="30"/>
  <c r="O15" i="29"/>
  <c r="O22" i="30"/>
  <c r="O22" i="29"/>
  <c r="O32" i="30"/>
  <c r="O32" i="29"/>
  <c r="AF20" i="13"/>
  <c r="N20" i="4"/>
  <c r="N11" i="4"/>
  <c r="AF36" i="13"/>
  <c r="AF50" i="13"/>
  <c r="AF46" i="13"/>
  <c r="N45" i="4"/>
  <c r="AF28" i="13"/>
  <c r="AF112" i="13"/>
  <c r="ED112" i="13"/>
  <c r="N25" i="4"/>
  <c r="AF14" i="13"/>
  <c r="AF26" i="13"/>
  <c r="AF22" i="13"/>
  <c r="AF30" i="13"/>
  <c r="AF47" i="13"/>
  <c r="AF44" i="13"/>
  <c r="AF15" i="13"/>
  <c r="AF48" i="13"/>
  <c r="AF12" i="13"/>
  <c r="AF32" i="13"/>
  <c r="AF23" i="13"/>
  <c r="AF24" i="13"/>
  <c r="AF43" i="13"/>
  <c r="AF11" i="13"/>
  <c r="AF16" i="13"/>
  <c r="AF31" i="13"/>
  <c r="EV112" i="13"/>
  <c r="EJ112" i="13"/>
  <c r="CC50" i="13"/>
  <c r="CC46" i="13"/>
  <c r="CC18" i="13"/>
  <c r="CC45" i="13"/>
  <c r="CC37" i="13"/>
  <c r="CC33" i="13"/>
  <c r="CC29" i="13"/>
  <c r="CC42" i="13"/>
  <c r="CC48" i="13"/>
  <c r="CC44" i="13"/>
  <c r="CC40" i="13"/>
  <c r="CC36" i="13"/>
  <c r="CC32" i="13"/>
  <c r="CC28" i="13"/>
  <c r="CC24" i="13"/>
  <c r="CC20" i="13"/>
  <c r="CC16" i="13"/>
  <c r="CC12" i="13"/>
  <c r="CC26" i="13"/>
  <c r="CC34" i="13"/>
  <c r="CC25" i="13"/>
  <c r="CC21" i="13"/>
  <c r="CC10" i="13"/>
  <c r="CC30" i="13"/>
  <c r="CC39" i="13"/>
  <c r="CC23" i="13"/>
  <c r="CC17" i="13"/>
  <c r="CC14" i="13"/>
  <c r="CC43" i="13"/>
  <c r="CC49" i="13"/>
  <c r="CC22" i="13"/>
  <c r="CC35" i="13"/>
  <c r="CC19" i="13"/>
  <c r="CC9" i="13"/>
  <c r="CC13" i="13"/>
  <c r="CC27" i="13"/>
  <c r="CC11" i="13"/>
  <c r="CC41" i="13"/>
  <c r="CC38" i="13"/>
  <c r="CC47" i="13"/>
  <c r="CC31" i="13"/>
  <c r="CC15" i="13"/>
  <c r="AK44" i="13"/>
  <c r="AK36" i="13"/>
  <c r="AK32" i="13"/>
  <c r="AK33" i="13"/>
  <c r="AK28" i="13"/>
  <c r="AK29" i="13"/>
  <c r="AK17" i="13"/>
  <c r="AK47" i="13"/>
  <c r="AK43" i="13"/>
  <c r="AK39" i="13"/>
  <c r="AK35" i="13"/>
  <c r="AK31" i="13"/>
  <c r="AK27" i="13"/>
  <c r="AK23" i="13"/>
  <c r="AK19" i="13"/>
  <c r="AK15" i="13"/>
  <c r="AK11" i="13"/>
  <c r="AK48" i="13"/>
  <c r="AK12" i="13"/>
  <c r="AK41" i="13"/>
  <c r="AK37" i="13"/>
  <c r="AK13" i="13"/>
  <c r="AK9" i="13"/>
  <c r="AK46" i="13"/>
  <c r="AK42" i="13"/>
  <c r="AK38" i="13"/>
  <c r="AK34" i="13"/>
  <c r="AK30" i="13"/>
  <c r="AK26" i="13"/>
  <c r="AK22" i="13"/>
  <c r="AK18" i="13"/>
  <c r="AK14" i="13"/>
  <c r="AK10" i="13"/>
  <c r="AK40" i="13"/>
  <c r="AK25" i="13"/>
  <c r="AK20" i="13"/>
  <c r="AK16" i="13"/>
  <c r="AK49" i="13"/>
  <c r="AK24" i="13"/>
  <c r="AK45" i="13"/>
  <c r="AK21" i="13"/>
  <c r="BY50" i="13"/>
  <c r="BY27" i="13"/>
  <c r="BY44" i="13"/>
  <c r="BY43" i="13"/>
  <c r="BY31" i="13"/>
  <c r="BY49" i="13"/>
  <c r="BY45" i="13"/>
  <c r="BY41" i="13"/>
  <c r="BY37" i="13"/>
  <c r="BY33" i="13"/>
  <c r="BY29" i="13"/>
  <c r="BY25" i="13"/>
  <c r="BY21" i="13"/>
  <c r="BY17" i="13"/>
  <c r="BY13" i="13"/>
  <c r="BY9" i="13"/>
  <c r="BY39" i="13"/>
  <c r="BY35" i="13"/>
  <c r="BY16" i="13"/>
  <c r="BY20" i="13"/>
  <c r="BY12" i="13"/>
  <c r="BY47" i="13"/>
  <c r="BY46" i="13"/>
  <c r="BY38" i="13"/>
  <c r="BY30" i="13"/>
  <c r="BY22" i="13"/>
  <c r="BY14" i="13"/>
  <c r="BY23" i="13"/>
  <c r="BY11" i="13"/>
  <c r="BY32" i="13"/>
  <c r="BY19" i="13"/>
  <c r="BY15" i="13"/>
  <c r="BY48" i="13"/>
  <c r="BY40" i="13"/>
  <c r="BY36" i="13"/>
  <c r="BY24" i="13"/>
  <c r="BY42" i="13"/>
  <c r="BY34" i="13"/>
  <c r="BY26" i="13"/>
  <c r="BY18" i="13"/>
  <c r="BY10" i="13"/>
  <c r="BY28" i="13"/>
  <c r="CA50" i="13"/>
  <c r="CA42" i="13"/>
  <c r="CA35" i="13"/>
  <c r="CA31" i="13"/>
  <c r="CA26" i="13"/>
  <c r="CA14" i="13"/>
  <c r="CA47" i="13"/>
  <c r="CA18" i="13"/>
  <c r="CA22" i="13"/>
  <c r="CA10" i="13"/>
  <c r="CA27" i="13"/>
  <c r="CA23" i="13"/>
  <c r="CA49" i="13"/>
  <c r="CA45" i="13"/>
  <c r="CA41" i="13"/>
  <c r="CA37" i="13"/>
  <c r="CA33" i="13"/>
  <c r="CA29" i="13"/>
  <c r="CA25" i="13"/>
  <c r="CA21" i="13"/>
  <c r="CA17" i="13"/>
  <c r="CA13" i="13"/>
  <c r="CA9" i="13"/>
  <c r="CA38" i="13"/>
  <c r="CA43" i="13"/>
  <c r="CA39" i="13"/>
  <c r="CA19" i="13"/>
  <c r="CA44" i="13"/>
  <c r="CA28" i="13"/>
  <c r="CA12" i="13"/>
  <c r="CA15" i="13"/>
  <c r="CA32" i="13"/>
  <c r="CA16" i="13"/>
  <c r="CA30" i="13"/>
  <c r="CA36" i="13"/>
  <c r="CA20" i="13"/>
  <c r="CA46" i="13"/>
  <c r="CA34" i="13"/>
  <c r="CA11" i="13"/>
  <c r="CA40" i="13"/>
  <c r="CA24" i="13"/>
  <c r="CA48" i="13"/>
  <c r="N27" i="4"/>
  <c r="M27" i="4"/>
  <c r="N28" i="4"/>
  <c r="M28" i="4"/>
  <c r="N12" i="4"/>
  <c r="M12" i="4"/>
  <c r="N41" i="4"/>
  <c r="M41" i="4"/>
  <c r="N42" i="4"/>
  <c r="M42" i="4"/>
  <c r="N36" i="4"/>
  <c r="M36" i="4"/>
  <c r="N17" i="4"/>
  <c r="M17" i="4"/>
  <c r="N37" i="4"/>
  <c r="M37" i="4"/>
  <c r="N14" i="4"/>
  <c r="M14" i="4"/>
  <c r="N49" i="4"/>
  <c r="M49" i="4"/>
  <c r="N19" i="4"/>
  <c r="M19" i="4"/>
  <c r="N48" i="4"/>
  <c r="M48" i="4"/>
  <c r="N9" i="4"/>
  <c r="M9" i="4"/>
  <c r="N44" i="4"/>
  <c r="M44" i="4"/>
  <c r="N40" i="4"/>
  <c r="M40" i="4"/>
  <c r="N39" i="4"/>
  <c r="M39" i="4"/>
  <c r="N33" i="4"/>
  <c r="M33" i="4"/>
  <c r="N30" i="4"/>
  <c r="M30" i="4"/>
  <c r="N29" i="4"/>
  <c r="M29" i="4"/>
  <c r="N23" i="4"/>
  <c r="M23" i="4"/>
  <c r="N15" i="4"/>
  <c r="M15" i="4"/>
  <c r="N47" i="4"/>
  <c r="M47" i="4"/>
  <c r="N18" i="4"/>
  <c r="M18" i="4"/>
  <c r="N46" i="4"/>
  <c r="M46" i="4"/>
  <c r="N22" i="4"/>
  <c r="M22" i="4"/>
  <c r="N10" i="4"/>
  <c r="M10" i="4"/>
  <c r="N38" i="4"/>
  <c r="M38" i="4"/>
  <c r="N35" i="4"/>
  <c r="M35" i="4"/>
  <c r="N16" i="4"/>
  <c r="M16" i="4"/>
  <c r="N13" i="4"/>
  <c r="M13" i="4"/>
  <c r="CA6" i="13"/>
  <c r="CA8" i="13"/>
  <c r="CA7" i="13"/>
  <c r="BY6" i="13"/>
  <c r="BY7" i="13"/>
  <c r="BY8" i="13"/>
  <c r="AK6" i="13"/>
  <c r="AK7" i="13"/>
  <c r="AK8" i="13"/>
  <c r="CC6" i="13"/>
  <c r="CC7" i="13"/>
  <c r="CC8" i="13"/>
  <c r="EM5" i="13"/>
  <c r="EL5" i="13"/>
  <c r="DG6" i="13"/>
  <c r="DB6" i="13"/>
  <c r="CW6" i="13"/>
  <c r="CX51" i="13" s="1"/>
  <c r="CU6" i="13"/>
  <c r="CV51" i="13" s="1"/>
  <c r="CS6" i="13"/>
  <c r="CT51" i="13" s="1"/>
  <c r="BQ6" i="13"/>
  <c r="BL6" i="13"/>
  <c r="BG6" i="13"/>
  <c r="BE6" i="13"/>
  <c r="BF50" i="13" s="1"/>
  <c r="BC6" i="13"/>
  <c r="AL50" i="13"/>
  <c r="AM50" i="13" s="1"/>
  <c r="AQ50" i="13"/>
  <c r="AR50" i="13"/>
  <c r="AL112" i="13"/>
  <c r="AM112" i="13" s="1"/>
  <c r="AQ112" i="13"/>
  <c r="AR112" i="13"/>
  <c r="AU112" i="13"/>
  <c r="AV112" i="13" s="1"/>
  <c r="AV6" i="13"/>
  <c r="AR6" i="13"/>
  <c r="AL6" i="13"/>
  <c r="AJ50" i="13"/>
  <c r="AK50" i="13" s="1"/>
  <c r="AJ112" i="13"/>
  <c r="AK112" i="13" s="1"/>
  <c r="AH6" i="13"/>
  <c r="AH50" i="13"/>
  <c r="AI50" i="13" s="1"/>
  <c r="AH112" i="13"/>
  <c r="AI112" i="13" s="1"/>
  <c r="FB8" i="13" l="1"/>
  <c r="EU7" i="13"/>
  <c r="FB40" i="13"/>
  <c r="FB20" i="13"/>
  <c r="FO47" i="13"/>
  <c r="FO15" i="13"/>
  <c r="FB27" i="13"/>
  <c r="FB41" i="13"/>
  <c r="FO37" i="13"/>
  <c r="FO36" i="13"/>
  <c r="FB29" i="13"/>
  <c r="FB38" i="13"/>
  <c r="FB44" i="13"/>
  <c r="FO20" i="13"/>
  <c r="FB26" i="13"/>
  <c r="FO38" i="13"/>
  <c r="FB17" i="13"/>
  <c r="FO30" i="13"/>
  <c r="FB46" i="13"/>
  <c r="FB43" i="13"/>
  <c r="FB36" i="13"/>
  <c r="FB37" i="13"/>
  <c r="FO23" i="13"/>
  <c r="FO32" i="13"/>
  <c r="FO12" i="13"/>
  <c r="FO40" i="13"/>
  <c r="FO48" i="13"/>
  <c r="FB47" i="13"/>
  <c r="FB15" i="13"/>
  <c r="FO34" i="13"/>
  <c r="FB50" i="13"/>
  <c r="FO18" i="13"/>
  <c r="FB39" i="13"/>
  <c r="FB35" i="13"/>
  <c r="FB16" i="13"/>
  <c r="FB49" i="13"/>
  <c r="FB19" i="13"/>
  <c r="EP28" i="13"/>
  <c r="EP23" i="13"/>
  <c r="EP9" i="13"/>
  <c r="EP32" i="13"/>
  <c r="EP12" i="13"/>
  <c r="EP42" i="13"/>
  <c r="EP8" i="13"/>
  <c r="EP40" i="13"/>
  <c r="EP31" i="13"/>
  <c r="EP48" i="13"/>
  <c r="FB12" i="13"/>
  <c r="EP34" i="13"/>
  <c r="FB23" i="13"/>
  <c r="FB34" i="13"/>
  <c r="EP22" i="13"/>
  <c r="EP39" i="13"/>
  <c r="EP16" i="13"/>
  <c r="FB28" i="13"/>
  <c r="EP45" i="13"/>
  <c r="EP35" i="13"/>
  <c r="FB22" i="13"/>
  <c r="EP47" i="13"/>
  <c r="EP11" i="13"/>
  <c r="EP19" i="13"/>
  <c r="EP15" i="13"/>
  <c r="EP33" i="13"/>
  <c r="EP27" i="13"/>
  <c r="EP41" i="13"/>
  <c r="EP37" i="13"/>
  <c r="EP36" i="13"/>
  <c r="EP29" i="13"/>
  <c r="FB32" i="13"/>
  <c r="EP50" i="13"/>
  <c r="EP18" i="13"/>
  <c r="EP10" i="13"/>
  <c r="EP14" i="13"/>
  <c r="EP49" i="13"/>
  <c r="FB48" i="13"/>
  <c r="FB10" i="13"/>
  <c r="FB42" i="13"/>
  <c r="FB14" i="13"/>
  <c r="FB31" i="13"/>
  <c r="EP44" i="13"/>
  <c r="EP25" i="13"/>
  <c r="EP20" i="13"/>
  <c r="EP26" i="13"/>
  <c r="EP38" i="13"/>
  <c r="EP17" i="13"/>
  <c r="EP24" i="13"/>
  <c r="EP30" i="13"/>
  <c r="EP46" i="13"/>
  <c r="EP43" i="13"/>
  <c r="FB24" i="13"/>
  <c r="FB18" i="13"/>
  <c r="FB25" i="13"/>
  <c r="FB45" i="13"/>
  <c r="FB30" i="13"/>
  <c r="P21" i="4"/>
  <c r="ED21" i="13"/>
  <c r="AF34" i="13"/>
  <c r="P34" i="4"/>
  <c r="CE112" i="13"/>
  <c r="CZ51" i="13"/>
  <c r="CY51" i="13"/>
  <c r="CV112" i="13"/>
  <c r="CT112" i="13"/>
  <c r="CX112" i="13"/>
  <c r="CD112" i="13"/>
  <c r="CD51" i="13"/>
  <c r="CE51" i="13"/>
  <c r="BH112" i="13"/>
  <c r="BH51" i="13"/>
  <c r="BD50" i="13"/>
  <c r="BD51" i="13"/>
  <c r="BD112" i="13"/>
  <c r="AF18" i="13"/>
  <c r="AF39" i="13"/>
  <c r="AF42" i="13"/>
  <c r="AF38" i="13"/>
  <c r="AF10" i="13"/>
  <c r="EP112" i="13"/>
  <c r="FK112" i="13"/>
  <c r="AF41" i="13"/>
  <c r="AF29" i="13"/>
  <c r="AF25" i="13"/>
  <c r="AF33" i="13"/>
  <c r="AF8" i="13"/>
  <c r="AF45" i="13"/>
  <c r="AF37" i="13"/>
  <c r="AF9" i="13"/>
  <c r="AF21" i="13"/>
  <c r="AF19" i="13"/>
  <c r="AF49" i="13"/>
  <c r="AF35" i="13"/>
  <c r="AF17" i="13"/>
  <c r="ES5" i="13"/>
  <c r="ER5" i="13"/>
  <c r="AI34" i="13"/>
  <c r="AI49" i="13"/>
  <c r="AI13" i="13"/>
  <c r="AI22" i="13"/>
  <c r="AI10" i="13"/>
  <c r="AI47" i="13"/>
  <c r="AI43" i="13"/>
  <c r="AI39" i="13"/>
  <c r="AI35" i="13"/>
  <c r="AI31" i="13"/>
  <c r="AI27" i="13"/>
  <c r="AI23" i="13"/>
  <c r="AI19" i="13"/>
  <c r="AI15" i="13"/>
  <c r="AI11" i="13"/>
  <c r="AI29" i="13"/>
  <c r="AI45" i="13"/>
  <c r="AI41" i="13"/>
  <c r="AI37" i="13"/>
  <c r="AI33" i="13"/>
  <c r="AI30" i="13"/>
  <c r="AI25" i="13"/>
  <c r="AI21" i="13"/>
  <c r="AI9" i="13"/>
  <c r="AI17" i="13"/>
  <c r="AI26" i="13"/>
  <c r="AI42" i="13"/>
  <c r="AI18" i="13"/>
  <c r="AI44" i="13"/>
  <c r="AI36" i="13"/>
  <c r="AI28" i="13"/>
  <c r="AI20" i="13"/>
  <c r="AI12" i="13"/>
  <c r="AI38" i="13"/>
  <c r="AI48" i="13"/>
  <c r="AI40" i="13"/>
  <c r="AI32" i="13"/>
  <c r="AI24" i="13"/>
  <c r="AI16" i="13"/>
  <c r="AI46" i="13"/>
  <c r="AI14" i="13"/>
  <c r="BH48" i="13"/>
  <c r="BH13" i="13"/>
  <c r="BH9" i="13"/>
  <c r="BH46" i="13"/>
  <c r="BH42" i="13"/>
  <c r="BH38" i="13"/>
  <c r="BH34" i="13"/>
  <c r="BH30" i="13"/>
  <c r="BH26" i="13"/>
  <c r="BH22" i="13"/>
  <c r="BH18" i="13"/>
  <c r="BH14" i="13"/>
  <c r="BH10" i="13"/>
  <c r="BH20" i="13"/>
  <c r="BH16" i="13"/>
  <c r="BH49" i="13"/>
  <c r="BH41" i="13"/>
  <c r="BH24" i="13"/>
  <c r="BH12" i="13"/>
  <c r="BH45" i="13"/>
  <c r="BH25" i="13"/>
  <c r="BH37" i="13"/>
  <c r="BH28" i="13"/>
  <c r="BH40" i="13"/>
  <c r="BH36" i="13"/>
  <c r="BH29" i="13"/>
  <c r="BH47" i="13"/>
  <c r="BH43" i="13"/>
  <c r="BH39" i="13"/>
  <c r="BH35" i="13"/>
  <c r="BH31" i="13"/>
  <c r="BH27" i="13"/>
  <c r="BH23" i="13"/>
  <c r="BH19" i="13"/>
  <c r="BH15" i="13"/>
  <c r="BH11" i="13"/>
  <c r="BH21" i="13"/>
  <c r="BH17" i="13"/>
  <c r="BH33" i="13"/>
  <c r="BH44" i="13"/>
  <c r="BH32" i="13"/>
  <c r="CE36" i="13"/>
  <c r="CD36" i="13"/>
  <c r="CD14" i="13"/>
  <c r="CE14" i="13"/>
  <c r="CE16" i="13"/>
  <c r="CD16" i="13"/>
  <c r="CE29" i="13"/>
  <c r="CD29" i="13"/>
  <c r="CE44" i="13"/>
  <c r="CD44" i="13"/>
  <c r="AM19" i="13"/>
  <c r="AM47" i="13"/>
  <c r="AM23" i="13"/>
  <c r="AM11" i="13"/>
  <c r="AM40" i="13"/>
  <c r="AM36" i="13"/>
  <c r="AM24" i="13"/>
  <c r="AM27" i="13"/>
  <c r="AM44" i="13"/>
  <c r="AM32" i="13"/>
  <c r="AM43" i="13"/>
  <c r="AM35" i="13"/>
  <c r="AM46" i="13"/>
  <c r="AM42" i="13"/>
  <c r="AM38" i="13"/>
  <c r="AM34" i="13"/>
  <c r="AM30" i="13"/>
  <c r="AM26" i="13"/>
  <c r="AM22" i="13"/>
  <c r="AM18" i="13"/>
  <c r="AM14" i="13"/>
  <c r="AM10" i="13"/>
  <c r="AM16" i="13"/>
  <c r="AM12" i="13"/>
  <c r="AM49" i="13"/>
  <c r="AM33" i="13"/>
  <c r="AM17" i="13"/>
  <c r="AM37" i="13"/>
  <c r="AM15" i="13"/>
  <c r="AM48" i="13"/>
  <c r="AM9" i="13"/>
  <c r="AM45" i="13"/>
  <c r="AM29" i="13"/>
  <c r="AM13" i="13"/>
  <c r="AM39" i="13"/>
  <c r="AM31" i="13"/>
  <c r="AM20" i="13"/>
  <c r="AM21" i="13"/>
  <c r="AM28" i="13"/>
  <c r="AM41" i="13"/>
  <c r="AM25" i="13"/>
  <c r="BF29" i="13"/>
  <c r="BF45" i="13"/>
  <c r="BF41" i="13"/>
  <c r="BF37" i="13"/>
  <c r="BF33" i="13"/>
  <c r="BF30" i="13"/>
  <c r="BF22" i="13"/>
  <c r="BF46" i="13"/>
  <c r="BF38" i="13"/>
  <c r="BF18" i="13"/>
  <c r="BF14" i="13"/>
  <c r="BF17" i="13"/>
  <c r="BF13" i="13"/>
  <c r="BF9" i="13"/>
  <c r="BF43" i="13"/>
  <c r="BF27" i="13"/>
  <c r="BF11" i="13"/>
  <c r="BF10" i="13"/>
  <c r="BF47" i="13"/>
  <c r="BF42" i="13"/>
  <c r="BF48" i="13"/>
  <c r="BF40" i="13"/>
  <c r="BF32" i="13"/>
  <c r="BF24" i="13"/>
  <c r="BF20" i="13"/>
  <c r="BF12" i="13"/>
  <c r="BF34" i="13"/>
  <c r="BF39" i="13"/>
  <c r="BF23" i="13"/>
  <c r="BF25" i="13"/>
  <c r="BF21" i="13"/>
  <c r="BF26" i="13"/>
  <c r="BF31" i="13"/>
  <c r="BF15" i="13"/>
  <c r="BF49" i="13"/>
  <c r="BF44" i="13"/>
  <c r="BF36" i="13"/>
  <c r="BF28" i="13"/>
  <c r="BF16" i="13"/>
  <c r="BF35" i="13"/>
  <c r="BF19" i="13"/>
  <c r="CE24" i="13"/>
  <c r="CD24" i="13"/>
  <c r="CE15" i="13"/>
  <c r="CD15" i="13"/>
  <c r="CE38" i="13"/>
  <c r="CD38" i="13"/>
  <c r="CD9" i="13"/>
  <c r="CE9" i="13"/>
  <c r="CD41" i="13"/>
  <c r="CE41" i="13"/>
  <c r="BD46" i="13"/>
  <c r="BD34" i="13"/>
  <c r="BD27" i="13"/>
  <c r="BD10" i="13"/>
  <c r="BD31" i="13"/>
  <c r="BD26" i="13"/>
  <c r="BD18" i="13"/>
  <c r="BD14" i="13"/>
  <c r="BD39" i="13"/>
  <c r="BD35" i="13"/>
  <c r="BD15" i="13"/>
  <c r="BD30" i="13"/>
  <c r="BD23" i="13"/>
  <c r="BD19" i="13"/>
  <c r="BD48" i="13"/>
  <c r="BD32" i="13"/>
  <c r="BD16" i="13"/>
  <c r="BD49" i="13"/>
  <c r="BD41" i="13"/>
  <c r="BD33" i="13"/>
  <c r="BD25" i="13"/>
  <c r="BD17" i="13"/>
  <c r="BD9" i="13"/>
  <c r="BD36" i="13"/>
  <c r="BD20" i="13"/>
  <c r="BD38" i="13"/>
  <c r="BD40" i="13"/>
  <c r="BD24" i="13"/>
  <c r="BD47" i="13"/>
  <c r="BD42" i="13"/>
  <c r="BD43" i="13"/>
  <c r="BD44" i="13"/>
  <c r="BD28" i="13"/>
  <c r="BD12" i="13"/>
  <c r="BD22" i="13"/>
  <c r="BD11" i="13"/>
  <c r="BD45" i="13"/>
  <c r="BD37" i="13"/>
  <c r="BD29" i="13"/>
  <c r="BD21" i="13"/>
  <c r="BD13" i="13"/>
  <c r="CX50" i="13"/>
  <c r="CX22" i="13"/>
  <c r="CX10" i="13"/>
  <c r="CX18" i="13"/>
  <c r="CX27" i="13"/>
  <c r="CX15" i="13"/>
  <c r="CX49" i="13"/>
  <c r="CX45" i="13"/>
  <c r="CX41" i="13"/>
  <c r="CX37" i="13"/>
  <c r="CX33" i="13"/>
  <c r="CX29" i="13"/>
  <c r="CX25" i="13"/>
  <c r="CX21" i="13"/>
  <c r="CX17" i="13"/>
  <c r="CX13" i="13"/>
  <c r="CX9" i="13"/>
  <c r="CX14" i="13"/>
  <c r="CX39" i="13"/>
  <c r="CX46" i="13"/>
  <c r="CX19" i="13"/>
  <c r="CX11" i="13"/>
  <c r="CX23" i="13"/>
  <c r="CX48" i="13"/>
  <c r="CX44" i="13"/>
  <c r="CX40" i="13"/>
  <c r="CX36" i="13"/>
  <c r="CX32" i="13"/>
  <c r="CX28" i="13"/>
  <c r="CX24" i="13"/>
  <c r="CX20" i="13"/>
  <c r="CX16" i="13"/>
  <c r="CX12" i="13"/>
  <c r="CX42" i="13"/>
  <c r="CX34" i="13"/>
  <c r="CX47" i="13"/>
  <c r="CX31" i="13"/>
  <c r="CX43" i="13"/>
  <c r="CX38" i="13"/>
  <c r="CX30" i="13"/>
  <c r="CX35" i="13"/>
  <c r="CX26" i="13"/>
  <c r="CE6" i="13"/>
  <c r="CD6" i="13"/>
  <c r="CD28" i="13"/>
  <c r="CE28" i="13"/>
  <c r="CE34" i="13"/>
  <c r="CD34" i="13"/>
  <c r="CE40" i="13"/>
  <c r="CD40" i="13"/>
  <c r="CE32" i="13"/>
  <c r="CD32" i="13"/>
  <c r="CE22" i="13"/>
  <c r="CD22" i="13"/>
  <c r="CE47" i="13"/>
  <c r="CD47" i="13"/>
  <c r="CD35" i="13"/>
  <c r="CE35" i="13"/>
  <c r="CD17" i="13"/>
  <c r="CE17" i="13"/>
  <c r="CD33" i="13"/>
  <c r="CE33" i="13"/>
  <c r="CD49" i="13"/>
  <c r="CE49" i="13"/>
  <c r="CE27" i="13"/>
  <c r="CD27" i="13"/>
  <c r="BH50" i="13"/>
  <c r="CV50" i="13"/>
  <c r="CV39" i="13"/>
  <c r="CV35" i="13"/>
  <c r="CV20" i="13"/>
  <c r="CV16" i="13"/>
  <c r="CV43" i="13"/>
  <c r="CV31" i="13"/>
  <c r="CV27" i="13"/>
  <c r="CV28" i="13"/>
  <c r="CV32" i="13"/>
  <c r="CV40" i="13"/>
  <c r="CV36" i="13"/>
  <c r="CV41" i="13"/>
  <c r="CV25" i="13"/>
  <c r="CV9" i="13"/>
  <c r="CV47" i="13"/>
  <c r="CV24" i="13"/>
  <c r="CV29" i="13"/>
  <c r="CV13" i="13"/>
  <c r="CV15" i="13"/>
  <c r="CV48" i="13"/>
  <c r="CV23" i="13"/>
  <c r="CV42" i="13"/>
  <c r="CV34" i="13"/>
  <c r="CV26" i="13"/>
  <c r="CV14" i="13"/>
  <c r="CV49" i="13"/>
  <c r="CV33" i="13"/>
  <c r="CV17" i="13"/>
  <c r="CV12" i="13"/>
  <c r="CV37" i="13"/>
  <c r="CV21" i="13"/>
  <c r="CV45" i="13"/>
  <c r="CV19" i="13"/>
  <c r="CV11" i="13"/>
  <c r="CV44" i="13"/>
  <c r="CV46" i="13"/>
  <c r="CV38" i="13"/>
  <c r="CV30" i="13"/>
  <c r="CV22" i="13"/>
  <c r="CV18" i="13"/>
  <c r="CV10" i="13"/>
  <c r="CD26" i="13"/>
  <c r="CE26" i="13"/>
  <c r="CD19" i="13"/>
  <c r="CE19" i="13"/>
  <c r="CE46" i="13"/>
  <c r="CD46" i="13"/>
  <c r="CE13" i="13"/>
  <c r="CD13" i="13"/>
  <c r="CE45" i="13"/>
  <c r="CD45" i="13"/>
  <c r="CT50" i="13"/>
  <c r="CT24" i="13"/>
  <c r="CT20" i="13"/>
  <c r="CT12" i="13"/>
  <c r="CT16" i="13"/>
  <c r="CT49" i="13"/>
  <c r="CT45" i="13"/>
  <c r="CT41" i="13"/>
  <c r="CT37" i="13"/>
  <c r="CT25" i="13"/>
  <c r="CT48" i="13"/>
  <c r="CT21" i="13"/>
  <c r="CT9" i="13"/>
  <c r="CT47" i="13"/>
  <c r="CT43" i="13"/>
  <c r="CT39" i="13"/>
  <c r="CT35" i="13"/>
  <c r="CT31" i="13"/>
  <c r="CT27" i="13"/>
  <c r="CT23" i="13"/>
  <c r="CT19" i="13"/>
  <c r="CT15" i="13"/>
  <c r="CT11" i="13"/>
  <c r="CT29" i="13"/>
  <c r="CT17" i="13"/>
  <c r="CT46" i="13"/>
  <c r="CT30" i="13"/>
  <c r="CT14" i="13"/>
  <c r="CT32" i="13"/>
  <c r="CT33" i="13"/>
  <c r="CT28" i="13"/>
  <c r="CT42" i="13"/>
  <c r="CT26" i="13"/>
  <c r="CT10" i="13"/>
  <c r="CT44" i="13"/>
  <c r="CT36" i="13"/>
  <c r="CT13" i="13"/>
  <c r="CT34" i="13"/>
  <c r="CT18" i="13"/>
  <c r="CT40" i="13"/>
  <c r="CT38" i="13"/>
  <c r="CT22" i="13"/>
  <c r="CE18" i="13"/>
  <c r="CD18" i="13"/>
  <c r="CD23" i="13"/>
  <c r="CE23" i="13"/>
  <c r="CD20" i="13"/>
  <c r="CE20" i="13"/>
  <c r="CD25" i="13"/>
  <c r="CE25" i="13"/>
  <c r="CD43" i="13"/>
  <c r="CE43" i="13"/>
  <c r="CE10" i="13"/>
  <c r="CD10" i="13"/>
  <c r="CD42" i="13"/>
  <c r="CE42" i="13"/>
  <c r="CE48" i="13"/>
  <c r="CD48" i="13"/>
  <c r="CE11" i="13"/>
  <c r="CD11" i="13"/>
  <c r="CD30" i="13"/>
  <c r="CE30" i="13"/>
  <c r="CD12" i="13"/>
  <c r="CE12" i="13"/>
  <c r="CE39" i="13"/>
  <c r="CD39" i="13"/>
  <c r="CE21" i="13"/>
  <c r="CD21" i="13"/>
  <c r="CE37" i="13"/>
  <c r="CD37" i="13"/>
  <c r="CE31" i="13"/>
  <c r="CD31" i="13"/>
  <c r="CD50" i="13"/>
  <c r="CE50" i="13"/>
  <c r="AO112" i="13"/>
  <c r="AN112" i="13"/>
  <c r="AO50" i="13"/>
  <c r="AN50" i="13"/>
  <c r="CE8" i="13"/>
  <c r="CD8" i="13"/>
  <c r="CE7" i="13"/>
  <c r="CD7" i="13"/>
  <c r="BD6" i="13"/>
  <c r="BD8" i="13"/>
  <c r="BD7" i="13"/>
  <c r="CX6" i="13"/>
  <c r="CX8" i="13"/>
  <c r="CX7" i="13"/>
  <c r="AI6" i="13"/>
  <c r="AI7" i="13"/>
  <c r="AI8" i="13"/>
  <c r="BH6" i="13"/>
  <c r="BH7" i="13"/>
  <c r="BH8" i="13"/>
  <c r="CV6" i="13"/>
  <c r="CV8" i="13"/>
  <c r="CV7" i="13"/>
  <c r="AM6" i="13"/>
  <c r="AM8" i="13"/>
  <c r="AM7" i="13"/>
  <c r="BF6" i="13"/>
  <c r="BF8" i="13"/>
  <c r="BF7" i="13"/>
  <c r="CT6" i="13"/>
  <c r="CT7" i="13"/>
  <c r="CT8" i="13"/>
  <c r="FO21" i="13" l="1"/>
  <c r="FQ12" i="13"/>
  <c r="FY12" i="13"/>
  <c r="FZ12" i="13" s="1"/>
  <c r="FX12" i="13"/>
  <c r="FQ36" i="13"/>
  <c r="FX36" i="13"/>
  <c r="FY36" i="13"/>
  <c r="FZ36" i="13" s="1"/>
  <c r="FQ18" i="13"/>
  <c r="FY18" i="13"/>
  <c r="FZ18" i="13" s="1"/>
  <c r="FX18" i="13"/>
  <c r="FQ48" i="13"/>
  <c r="FX48" i="13"/>
  <c r="FY48" i="13"/>
  <c r="FZ48" i="13" s="1"/>
  <c r="FO17" i="13"/>
  <c r="FX15" i="13"/>
  <c r="FQ15" i="13"/>
  <c r="FY15" i="13"/>
  <c r="FZ15" i="13" s="1"/>
  <c r="FO35" i="13"/>
  <c r="FQ32" i="13"/>
  <c r="FY32" i="13"/>
  <c r="FZ32" i="13" s="1"/>
  <c r="FX32" i="13"/>
  <c r="FO43" i="13"/>
  <c r="FO44" i="13"/>
  <c r="FQ37" i="13"/>
  <c r="FY37" i="13"/>
  <c r="FZ37" i="13" s="1"/>
  <c r="FX37" i="13"/>
  <c r="FO50" i="13"/>
  <c r="FX38" i="13"/>
  <c r="FQ38" i="13"/>
  <c r="FY38" i="13"/>
  <c r="FZ38" i="13" s="1"/>
  <c r="FO39" i="13"/>
  <c r="FQ40" i="13"/>
  <c r="FY40" i="13"/>
  <c r="FZ40" i="13" s="1"/>
  <c r="FX40" i="13"/>
  <c r="FO46" i="13"/>
  <c r="FO41" i="13"/>
  <c r="FO49" i="13"/>
  <c r="FQ34" i="13"/>
  <c r="FX34" i="13"/>
  <c r="FY34" i="13"/>
  <c r="FZ34" i="13" s="1"/>
  <c r="FX23" i="13"/>
  <c r="FQ23" i="13"/>
  <c r="FY23" i="13"/>
  <c r="FZ23" i="13" s="1"/>
  <c r="FX47" i="13"/>
  <c r="FQ47" i="13"/>
  <c r="FY47" i="13"/>
  <c r="FZ47" i="13" s="1"/>
  <c r="FX30" i="13"/>
  <c r="FQ30" i="13"/>
  <c r="FY30" i="13"/>
  <c r="FZ30" i="13" s="1"/>
  <c r="FO29" i="13"/>
  <c r="FO27" i="13"/>
  <c r="FQ20" i="13"/>
  <c r="FY20" i="13"/>
  <c r="FZ20" i="13" s="1"/>
  <c r="FX20" i="13"/>
  <c r="EP21" i="13"/>
  <c r="FB21" i="13"/>
  <c r="BI50" i="13"/>
  <c r="CF112" i="13"/>
  <c r="CM112" i="13" s="1"/>
  <c r="EA112" i="13" s="1"/>
  <c r="EM112" i="13" s="1"/>
  <c r="DA51" i="13"/>
  <c r="CY112" i="13"/>
  <c r="CZ112" i="13"/>
  <c r="CF51" i="13"/>
  <c r="CJ51" i="13" s="1"/>
  <c r="BJ51" i="13"/>
  <c r="BI51" i="13"/>
  <c r="BJ112" i="13"/>
  <c r="BI112" i="13"/>
  <c r="CF49" i="13"/>
  <c r="CF17" i="13"/>
  <c r="CF9" i="13"/>
  <c r="CF27" i="13"/>
  <c r="CF22" i="13"/>
  <c r="CF40" i="13"/>
  <c r="CF25" i="13"/>
  <c r="CF23" i="13"/>
  <c r="CF50" i="13"/>
  <c r="CF30" i="13"/>
  <c r="CF26" i="13"/>
  <c r="CF14" i="13"/>
  <c r="CF43" i="13"/>
  <c r="CF20" i="13"/>
  <c r="CF12" i="13"/>
  <c r="CF42" i="13"/>
  <c r="CF19" i="13"/>
  <c r="CF41" i="13"/>
  <c r="CZ13" i="13"/>
  <c r="CY13" i="13"/>
  <c r="CY32" i="13"/>
  <c r="CZ32" i="13"/>
  <c r="CY19" i="13"/>
  <c r="CZ19" i="13"/>
  <c r="CZ9" i="13"/>
  <c r="CY9" i="13"/>
  <c r="CY16" i="13"/>
  <c r="CZ16" i="13"/>
  <c r="BJ45" i="13"/>
  <c r="BI45" i="13"/>
  <c r="BJ47" i="13"/>
  <c r="BI47" i="13"/>
  <c r="BI25" i="13"/>
  <c r="BJ25" i="13"/>
  <c r="BJ23" i="13"/>
  <c r="BI23" i="13"/>
  <c r="BI31" i="13"/>
  <c r="BJ31" i="13"/>
  <c r="BJ46" i="13"/>
  <c r="BI46" i="13"/>
  <c r="AO14" i="13"/>
  <c r="AN14" i="13"/>
  <c r="AO12" i="13"/>
  <c r="AN12" i="13"/>
  <c r="AO17" i="13"/>
  <c r="AN17" i="13"/>
  <c r="AO30" i="13"/>
  <c r="AN30" i="13"/>
  <c r="AO45" i="13"/>
  <c r="AN45" i="13"/>
  <c r="AO19" i="13"/>
  <c r="AN19" i="13"/>
  <c r="AO35" i="13"/>
  <c r="AN35" i="13"/>
  <c r="AN34" i="13"/>
  <c r="AO34" i="13"/>
  <c r="CY22" i="13"/>
  <c r="CZ22" i="13"/>
  <c r="CY10" i="13"/>
  <c r="CZ10" i="13"/>
  <c r="CZ46" i="13"/>
  <c r="CY46" i="13"/>
  <c r="CZ31" i="13"/>
  <c r="CY31" i="13"/>
  <c r="CY49" i="13"/>
  <c r="CZ49" i="13"/>
  <c r="BI12" i="13"/>
  <c r="BJ12" i="13"/>
  <c r="BJ38" i="13"/>
  <c r="BI38" i="13"/>
  <c r="BJ49" i="13"/>
  <c r="BI49" i="13"/>
  <c r="BI19" i="13"/>
  <c r="BJ19" i="13"/>
  <c r="BJ26" i="13"/>
  <c r="BI26" i="13"/>
  <c r="AO38" i="13"/>
  <c r="AN38" i="13"/>
  <c r="AN26" i="13"/>
  <c r="AO26" i="13"/>
  <c r="AN41" i="13"/>
  <c r="AO41" i="13"/>
  <c r="AO47" i="13"/>
  <c r="AN47" i="13"/>
  <c r="CY18" i="13"/>
  <c r="CZ18" i="13"/>
  <c r="CZ28" i="13"/>
  <c r="CY28" i="13"/>
  <c r="CZ11" i="13"/>
  <c r="CY11" i="13"/>
  <c r="CZ48" i="13"/>
  <c r="CY48" i="13"/>
  <c r="CZ6" i="13"/>
  <c r="CY6" i="13"/>
  <c r="CY40" i="13"/>
  <c r="CZ40" i="13"/>
  <c r="CY36" i="13"/>
  <c r="CZ36" i="13"/>
  <c r="CY42" i="13"/>
  <c r="CZ42" i="13"/>
  <c r="CY14" i="13"/>
  <c r="CZ14" i="13"/>
  <c r="CZ29" i="13"/>
  <c r="CY29" i="13"/>
  <c r="CZ23" i="13"/>
  <c r="CY23" i="13"/>
  <c r="CZ39" i="13"/>
  <c r="CY39" i="13"/>
  <c r="CZ21" i="13"/>
  <c r="CY21" i="13"/>
  <c r="CZ41" i="13"/>
  <c r="CY41" i="13"/>
  <c r="CY12" i="13"/>
  <c r="CZ12" i="13"/>
  <c r="BJ21" i="13"/>
  <c r="BI21" i="13"/>
  <c r="BI11" i="13"/>
  <c r="BJ11" i="13"/>
  <c r="BJ44" i="13"/>
  <c r="BI44" i="13"/>
  <c r="BJ24" i="13"/>
  <c r="BI24" i="13"/>
  <c r="BJ36" i="13"/>
  <c r="BI36" i="13"/>
  <c r="BI33" i="13"/>
  <c r="BJ33" i="13"/>
  <c r="BJ32" i="13"/>
  <c r="BI32" i="13"/>
  <c r="BJ30" i="13"/>
  <c r="BI30" i="13"/>
  <c r="BI14" i="13"/>
  <c r="BJ14" i="13"/>
  <c r="BJ10" i="13"/>
  <c r="BI10" i="13"/>
  <c r="AO46" i="13"/>
  <c r="AN46" i="13"/>
  <c r="AN40" i="13"/>
  <c r="AO40" i="13"/>
  <c r="AN20" i="13"/>
  <c r="AO20" i="13"/>
  <c r="AN18" i="13"/>
  <c r="AO18" i="13"/>
  <c r="AO9" i="13"/>
  <c r="AN9" i="13"/>
  <c r="AO33" i="13"/>
  <c r="AN33" i="13"/>
  <c r="AN29" i="13"/>
  <c r="AO29" i="13"/>
  <c r="AN23" i="13"/>
  <c r="AO23" i="13"/>
  <c r="AN39" i="13"/>
  <c r="AO39" i="13"/>
  <c r="AO22" i="13"/>
  <c r="AN22" i="13"/>
  <c r="CF39" i="13"/>
  <c r="CF48" i="13"/>
  <c r="CF13" i="13"/>
  <c r="CF16" i="13"/>
  <c r="CF31" i="13"/>
  <c r="CF21" i="13"/>
  <c r="CF11" i="13"/>
  <c r="CF18" i="13"/>
  <c r="CF45" i="13"/>
  <c r="CF46" i="13"/>
  <c r="CF33" i="13"/>
  <c r="CF35" i="13"/>
  <c r="CF28" i="13"/>
  <c r="CF38" i="13"/>
  <c r="CF24" i="13"/>
  <c r="CF29" i="13"/>
  <c r="BJ50" i="13"/>
  <c r="BJ6" i="13"/>
  <c r="BI6" i="13"/>
  <c r="CY38" i="13"/>
  <c r="CZ38" i="13"/>
  <c r="CZ26" i="13"/>
  <c r="CY26" i="13"/>
  <c r="CZ17" i="13"/>
  <c r="CY17" i="13"/>
  <c r="CZ35" i="13"/>
  <c r="CY35" i="13"/>
  <c r="CZ37" i="13"/>
  <c r="CY37" i="13"/>
  <c r="CY50" i="13"/>
  <c r="CZ50" i="13"/>
  <c r="BJ13" i="13"/>
  <c r="BI13" i="13"/>
  <c r="BI28" i="13"/>
  <c r="BJ28" i="13"/>
  <c r="BI20" i="13"/>
  <c r="BJ20" i="13"/>
  <c r="BJ16" i="13"/>
  <c r="BI16" i="13"/>
  <c r="BI39" i="13"/>
  <c r="BJ39" i="13"/>
  <c r="AO32" i="13"/>
  <c r="AN32" i="13"/>
  <c r="AO44" i="13"/>
  <c r="AN44" i="13"/>
  <c r="AN10" i="13"/>
  <c r="AO10" i="13"/>
  <c r="AO6" i="13"/>
  <c r="AN6" i="13"/>
  <c r="CY34" i="13"/>
  <c r="CZ34" i="13"/>
  <c r="CZ33" i="13"/>
  <c r="CY33" i="13"/>
  <c r="CY15" i="13"/>
  <c r="CZ15" i="13"/>
  <c r="CY47" i="13"/>
  <c r="CZ47" i="13"/>
  <c r="CZ25" i="13"/>
  <c r="CY25" i="13"/>
  <c r="CY24" i="13"/>
  <c r="CZ24" i="13"/>
  <c r="BI37" i="13"/>
  <c r="BJ37" i="13"/>
  <c r="BI42" i="13"/>
  <c r="BJ42" i="13"/>
  <c r="BJ17" i="13"/>
  <c r="BI17" i="13"/>
  <c r="BJ35" i="13"/>
  <c r="BI35" i="13"/>
  <c r="BI34" i="13"/>
  <c r="BJ34" i="13"/>
  <c r="AN24" i="13"/>
  <c r="AO24" i="13"/>
  <c r="AN36" i="13"/>
  <c r="AO36" i="13"/>
  <c r="AO25" i="13"/>
  <c r="AN25" i="13"/>
  <c r="AN15" i="13"/>
  <c r="AO15" i="13"/>
  <c r="AN31" i="13"/>
  <c r="AO31" i="13"/>
  <c r="AN49" i="13"/>
  <c r="AO49" i="13"/>
  <c r="CZ44" i="13"/>
  <c r="CY44" i="13"/>
  <c r="CY30" i="13"/>
  <c r="CZ30" i="13"/>
  <c r="CY27" i="13"/>
  <c r="CZ27" i="13"/>
  <c r="CZ43" i="13"/>
  <c r="CY43" i="13"/>
  <c r="CY45" i="13"/>
  <c r="CZ45" i="13"/>
  <c r="CY20" i="13"/>
  <c r="CZ20" i="13"/>
  <c r="BI29" i="13"/>
  <c r="BJ29" i="13"/>
  <c r="BI22" i="13"/>
  <c r="BJ22" i="13"/>
  <c r="BJ43" i="13"/>
  <c r="BI43" i="13"/>
  <c r="BJ40" i="13"/>
  <c r="BI40" i="13"/>
  <c r="BI9" i="13"/>
  <c r="BJ9" i="13"/>
  <c r="BJ41" i="13"/>
  <c r="BI41" i="13"/>
  <c r="BI48" i="13"/>
  <c r="BJ48" i="13"/>
  <c r="BJ15" i="13"/>
  <c r="BI15" i="13"/>
  <c r="BJ18" i="13"/>
  <c r="BI18" i="13"/>
  <c r="BI27" i="13"/>
  <c r="BJ27" i="13"/>
  <c r="AO16" i="13"/>
  <c r="AN16" i="13"/>
  <c r="AO48" i="13"/>
  <c r="AN48" i="13"/>
  <c r="AO28" i="13"/>
  <c r="AN28" i="13"/>
  <c r="AN42" i="13"/>
  <c r="AO42" i="13"/>
  <c r="AO21" i="13"/>
  <c r="AN21" i="13"/>
  <c r="AO37" i="13"/>
  <c r="AN37" i="13"/>
  <c r="AN11" i="13"/>
  <c r="AO11" i="13"/>
  <c r="AO27" i="13"/>
  <c r="AN27" i="13"/>
  <c r="AO43" i="13"/>
  <c r="AN43" i="13"/>
  <c r="AN13" i="13"/>
  <c r="AO13" i="13"/>
  <c r="CF37" i="13"/>
  <c r="CF10" i="13"/>
  <c r="CF15" i="13"/>
  <c r="CF44" i="13"/>
  <c r="CF36" i="13"/>
  <c r="CF47" i="13"/>
  <c r="CF32" i="13"/>
  <c r="CF34" i="13"/>
  <c r="BJ8" i="13"/>
  <c r="BI8" i="13"/>
  <c r="BI7" i="13"/>
  <c r="BJ7" i="13"/>
  <c r="CZ7" i="13"/>
  <c r="CY7" i="13"/>
  <c r="CY8" i="13"/>
  <c r="CZ8" i="13"/>
  <c r="AN7" i="13"/>
  <c r="AO7" i="13"/>
  <c r="AO8" i="13"/>
  <c r="AN8" i="13"/>
  <c r="CF6" i="13"/>
  <c r="CM6" i="13" s="1"/>
  <c r="CF7" i="13"/>
  <c r="CF8" i="13"/>
  <c r="AP112" i="13"/>
  <c r="AP50" i="13"/>
  <c r="AW50" i="13" s="1"/>
  <c r="DY50" i="13" s="1"/>
  <c r="EW50" i="13" l="1"/>
  <c r="FC50" i="13" s="1"/>
  <c r="EK50" i="13"/>
  <c r="FQ21" i="13"/>
  <c r="FY21" i="13"/>
  <c r="FZ21" i="13" s="1"/>
  <c r="FX21" i="13"/>
  <c r="FQ17" i="13"/>
  <c r="FX17" i="13"/>
  <c r="FY17" i="13"/>
  <c r="FZ17" i="13" s="1"/>
  <c r="FQ27" i="13"/>
  <c r="FY27" i="13"/>
  <c r="FZ27" i="13" s="1"/>
  <c r="FX27" i="13"/>
  <c r="FQ49" i="13"/>
  <c r="FY49" i="13"/>
  <c r="FZ49" i="13" s="1"/>
  <c r="FX49" i="13"/>
  <c r="FX39" i="13"/>
  <c r="FQ39" i="13"/>
  <c r="FY39" i="13"/>
  <c r="FZ39" i="13" s="1"/>
  <c r="FQ29" i="13"/>
  <c r="FX29" i="13"/>
  <c r="FY29" i="13"/>
  <c r="FZ29" i="13" s="1"/>
  <c r="FQ41" i="13"/>
  <c r="FX41" i="13"/>
  <c r="FY41" i="13"/>
  <c r="FZ41" i="13" s="1"/>
  <c r="FQ35" i="13"/>
  <c r="FY35" i="13"/>
  <c r="FZ35" i="13" s="1"/>
  <c r="FX35" i="13"/>
  <c r="FQ44" i="13"/>
  <c r="FY44" i="13"/>
  <c r="FZ44" i="13" s="1"/>
  <c r="FX44" i="13"/>
  <c r="FX46" i="13"/>
  <c r="FQ46" i="13"/>
  <c r="FY46" i="13"/>
  <c r="FZ46" i="13" s="1"/>
  <c r="FQ43" i="13"/>
  <c r="FY43" i="13"/>
  <c r="FZ43" i="13" s="1"/>
  <c r="FX43" i="13"/>
  <c r="FQ50" i="13"/>
  <c r="FX50" i="13"/>
  <c r="FY50" i="13"/>
  <c r="FZ50" i="13" s="1"/>
  <c r="N50" i="17"/>
  <c r="AX50" i="13"/>
  <c r="DA112" i="13"/>
  <c r="DH112" i="13" s="1"/>
  <c r="M51" i="19"/>
  <c r="CN112" i="13"/>
  <c r="N51" i="19" s="1"/>
  <c r="DE51" i="13"/>
  <c r="DH51" i="13"/>
  <c r="EB51" i="13" s="1"/>
  <c r="CM51" i="13"/>
  <c r="BK51" i="13"/>
  <c r="BK112" i="13"/>
  <c r="EA6" i="13"/>
  <c r="T6" i="30"/>
  <c r="T56" i="30" s="1"/>
  <c r="U56" i="30" s="1"/>
  <c r="T6" i="29"/>
  <c r="CM22" i="13"/>
  <c r="EA22" i="13" s="1"/>
  <c r="CJ22" i="13"/>
  <c r="CJ32" i="13"/>
  <c r="CM32" i="13"/>
  <c r="EA32" i="13" s="1"/>
  <c r="CJ33" i="13"/>
  <c r="CM33" i="13"/>
  <c r="EA33" i="13" s="1"/>
  <c r="CM41" i="13"/>
  <c r="EA41" i="13" s="1"/>
  <c r="CJ41" i="13"/>
  <c r="CM42" i="13"/>
  <c r="EA42" i="13" s="1"/>
  <c r="CJ42" i="13"/>
  <c r="CM14" i="13"/>
  <c r="EA14" i="13" s="1"/>
  <c r="CJ14" i="13"/>
  <c r="CM46" i="13"/>
  <c r="EA46" i="13" s="1"/>
  <c r="CJ46" i="13"/>
  <c r="CJ19" i="13"/>
  <c r="CM19" i="13"/>
  <c r="EA19" i="13" s="1"/>
  <c r="CM43" i="13"/>
  <c r="EA43" i="13" s="1"/>
  <c r="CJ43" i="13"/>
  <c r="CM26" i="13"/>
  <c r="EA26" i="13" s="1"/>
  <c r="CJ26" i="13"/>
  <c r="CJ50" i="13"/>
  <c r="CM50" i="13"/>
  <c r="EA50" i="13" s="1"/>
  <c r="CM27" i="13"/>
  <c r="EA27" i="13" s="1"/>
  <c r="CJ27" i="13"/>
  <c r="CJ17" i="13"/>
  <c r="CM17" i="13"/>
  <c r="EA17" i="13" s="1"/>
  <c r="CM47" i="13"/>
  <c r="EA47" i="13" s="1"/>
  <c r="CJ47" i="13"/>
  <c r="CJ10" i="13"/>
  <c r="CM10" i="13"/>
  <c r="EA10" i="13" s="1"/>
  <c r="CJ29" i="13"/>
  <c r="CM29" i="13"/>
  <c r="EA29" i="13" s="1"/>
  <c r="CM38" i="13"/>
  <c r="EA38" i="13" s="1"/>
  <c r="CJ38" i="13"/>
  <c r="CJ21" i="13"/>
  <c r="CM21" i="13"/>
  <c r="EA21" i="13" s="1"/>
  <c r="CJ16" i="13"/>
  <c r="CM16" i="13"/>
  <c r="EA16" i="13" s="1"/>
  <c r="CM48" i="13"/>
  <c r="EA48" i="13" s="1"/>
  <c r="CJ48" i="13"/>
  <c r="CJ12" i="13"/>
  <c r="CM12" i="13"/>
  <c r="EA12" i="13" s="1"/>
  <c r="CJ23" i="13"/>
  <c r="CM23" i="13"/>
  <c r="EA23" i="13" s="1"/>
  <c r="CM40" i="13"/>
  <c r="EA40" i="13" s="1"/>
  <c r="CJ40" i="13"/>
  <c r="AT112" i="13"/>
  <c r="AW112" i="13"/>
  <c r="DY112" i="13" s="1"/>
  <c r="CJ8" i="13"/>
  <c r="CM8" i="13"/>
  <c r="EA8" i="13" s="1"/>
  <c r="CJ15" i="13"/>
  <c r="CM15" i="13"/>
  <c r="EA15" i="13" s="1"/>
  <c r="CM24" i="13"/>
  <c r="EA24" i="13" s="1"/>
  <c r="CJ24" i="13"/>
  <c r="CM45" i="13"/>
  <c r="EA45" i="13" s="1"/>
  <c r="CJ45" i="13"/>
  <c r="CM11" i="13"/>
  <c r="EA11" i="13" s="1"/>
  <c r="CJ11" i="13"/>
  <c r="CJ13" i="13"/>
  <c r="CM13" i="13"/>
  <c r="EA13" i="13" s="1"/>
  <c r="CJ49" i="13"/>
  <c r="CM49" i="13"/>
  <c r="EA49" i="13" s="1"/>
  <c r="AT50" i="13"/>
  <c r="CM34" i="13"/>
  <c r="EA34" i="13" s="1"/>
  <c r="CJ34" i="13"/>
  <c r="CM44" i="13"/>
  <c r="EA44" i="13" s="1"/>
  <c r="CJ44" i="13"/>
  <c r="CJ35" i="13"/>
  <c r="CM35" i="13"/>
  <c r="EA35" i="13" s="1"/>
  <c r="CM18" i="13"/>
  <c r="EA18" i="13" s="1"/>
  <c r="CJ18" i="13"/>
  <c r="CJ9" i="13"/>
  <c r="CM9" i="13"/>
  <c r="EA9" i="13" s="1"/>
  <c r="CM36" i="13"/>
  <c r="EA36" i="13" s="1"/>
  <c r="CJ36" i="13"/>
  <c r="CM37" i="13"/>
  <c r="EA37" i="13" s="1"/>
  <c r="CJ37" i="13"/>
  <c r="CJ28" i="13"/>
  <c r="CM28" i="13"/>
  <c r="EA28" i="13" s="1"/>
  <c r="CM31" i="13"/>
  <c r="EA31" i="13" s="1"/>
  <c r="CJ31" i="13"/>
  <c r="CJ39" i="13"/>
  <c r="CM39" i="13"/>
  <c r="EA39" i="13" s="1"/>
  <c r="CM20" i="13"/>
  <c r="EA20" i="13" s="1"/>
  <c r="CJ20" i="13"/>
  <c r="CM30" i="13"/>
  <c r="EA30" i="13" s="1"/>
  <c r="CJ30" i="13"/>
  <c r="CM25" i="13"/>
  <c r="EA25" i="13" s="1"/>
  <c r="CJ25" i="13"/>
  <c r="ES112" i="13"/>
  <c r="BK15" i="13"/>
  <c r="BK41" i="13"/>
  <c r="BK40" i="13"/>
  <c r="DA44" i="13"/>
  <c r="BK48" i="13"/>
  <c r="BK9" i="13"/>
  <c r="BK29" i="13"/>
  <c r="DA20" i="13"/>
  <c r="DA30" i="13"/>
  <c r="DA25" i="13"/>
  <c r="AP32" i="13"/>
  <c r="AW32" i="13" s="1"/>
  <c r="DY32" i="13" s="1"/>
  <c r="DA35" i="13"/>
  <c r="AP27" i="13"/>
  <c r="AW27" i="13" s="1"/>
  <c r="DY27" i="13" s="1"/>
  <c r="AP37" i="13"/>
  <c r="AW37" i="13" s="1"/>
  <c r="DY37" i="13" s="1"/>
  <c r="AP48" i="13"/>
  <c r="AW48" i="13" s="1"/>
  <c r="DY48" i="13" s="1"/>
  <c r="AP49" i="13"/>
  <c r="AW49" i="13" s="1"/>
  <c r="DY49" i="13" s="1"/>
  <c r="AP15" i="13"/>
  <c r="AW15" i="13" s="1"/>
  <c r="DY15" i="13" s="1"/>
  <c r="AP36" i="13"/>
  <c r="AW36" i="13" s="1"/>
  <c r="DY36" i="13" s="1"/>
  <c r="BK34" i="13"/>
  <c r="BK37" i="13"/>
  <c r="DA24" i="13"/>
  <c r="DA47" i="13"/>
  <c r="BK28" i="13"/>
  <c r="DA38" i="13"/>
  <c r="AP25" i="13"/>
  <c r="AW25" i="13" s="1"/>
  <c r="DY25" i="13" s="1"/>
  <c r="BK35" i="13"/>
  <c r="DA26" i="13"/>
  <c r="AP11" i="13"/>
  <c r="AW11" i="13" s="1"/>
  <c r="DY11" i="13" s="1"/>
  <c r="AP16" i="13"/>
  <c r="AW16" i="13" s="1"/>
  <c r="DY16" i="13" s="1"/>
  <c r="BK13" i="13"/>
  <c r="AP23" i="13"/>
  <c r="AW23" i="13" s="1"/>
  <c r="DY23" i="13" s="1"/>
  <c r="AP18" i="13"/>
  <c r="AW18" i="13" s="1"/>
  <c r="DY18" i="13" s="1"/>
  <c r="AP40" i="13"/>
  <c r="AW40" i="13" s="1"/>
  <c r="DY40" i="13" s="1"/>
  <c r="BK33" i="13"/>
  <c r="BK11" i="13"/>
  <c r="DA12" i="13"/>
  <c r="DA14" i="13"/>
  <c r="DA36" i="13"/>
  <c r="DA18" i="13"/>
  <c r="AP26" i="13"/>
  <c r="AW26" i="13" s="1"/>
  <c r="DY26" i="13" s="1"/>
  <c r="BK12" i="13"/>
  <c r="DA49" i="13"/>
  <c r="DA22" i="13"/>
  <c r="BK31" i="13"/>
  <c r="BK25" i="13"/>
  <c r="DA16" i="13"/>
  <c r="DA19" i="13"/>
  <c r="AP9" i="13"/>
  <c r="AW9" i="13" s="1"/>
  <c r="DY9" i="13" s="1"/>
  <c r="AP46" i="13"/>
  <c r="AW46" i="13" s="1"/>
  <c r="DY46" i="13" s="1"/>
  <c r="BK32" i="13"/>
  <c r="BK36" i="13"/>
  <c r="BK44" i="13"/>
  <c r="BK21" i="13"/>
  <c r="DA41" i="13"/>
  <c r="DA39" i="13"/>
  <c r="DA29" i="13"/>
  <c r="DA48" i="13"/>
  <c r="DA28" i="13"/>
  <c r="AP38" i="13"/>
  <c r="AW38" i="13" s="1"/>
  <c r="DY38" i="13" s="1"/>
  <c r="BK38" i="13"/>
  <c r="DA31" i="13"/>
  <c r="AP19" i="13"/>
  <c r="AW19" i="13" s="1"/>
  <c r="DY19" i="13" s="1"/>
  <c r="AP30" i="13"/>
  <c r="AW30" i="13" s="1"/>
  <c r="DY30" i="13" s="1"/>
  <c r="AP12" i="13"/>
  <c r="AW12" i="13" s="1"/>
  <c r="DY12" i="13" s="1"/>
  <c r="BK46" i="13"/>
  <c r="BK23" i="13"/>
  <c r="BK47" i="13"/>
  <c r="DA9" i="13"/>
  <c r="BK10" i="13"/>
  <c r="BK24" i="13"/>
  <c r="DA21" i="13"/>
  <c r="DA23" i="13"/>
  <c r="DA11" i="13"/>
  <c r="AP47" i="13"/>
  <c r="AW47" i="13" s="1"/>
  <c r="DY47" i="13" s="1"/>
  <c r="BK26" i="13"/>
  <c r="BK49" i="13"/>
  <c r="DA46" i="13"/>
  <c r="AP35" i="13"/>
  <c r="AW35" i="13" s="1"/>
  <c r="DY35" i="13" s="1"/>
  <c r="AP45" i="13"/>
  <c r="AW45" i="13" s="1"/>
  <c r="DY45" i="13" s="1"/>
  <c r="AP17" i="13"/>
  <c r="AW17" i="13" s="1"/>
  <c r="DY17" i="13" s="1"/>
  <c r="AP14" i="13"/>
  <c r="AW14" i="13" s="1"/>
  <c r="DY14" i="13" s="1"/>
  <c r="BK45" i="13"/>
  <c r="DA13" i="13"/>
  <c r="AP43" i="13"/>
  <c r="AW43" i="13" s="1"/>
  <c r="DY43" i="13" s="1"/>
  <c r="AP21" i="13"/>
  <c r="AW21" i="13" s="1"/>
  <c r="DY21" i="13" s="1"/>
  <c r="AP28" i="13"/>
  <c r="AW28" i="13" s="1"/>
  <c r="BK18" i="13"/>
  <c r="BK43" i="13"/>
  <c r="DA43" i="13"/>
  <c r="BK17" i="13"/>
  <c r="DA33" i="13"/>
  <c r="AP44" i="13"/>
  <c r="AW44" i="13" s="1"/>
  <c r="DY44" i="13" s="1"/>
  <c r="BK16" i="13"/>
  <c r="DA37" i="13"/>
  <c r="DA17" i="13"/>
  <c r="AP39" i="13"/>
  <c r="AW39" i="13" s="1"/>
  <c r="DY39" i="13" s="1"/>
  <c r="AP29" i="13"/>
  <c r="AW29" i="13" s="1"/>
  <c r="DY29" i="13" s="1"/>
  <c r="AP20" i="13"/>
  <c r="AW20" i="13" s="1"/>
  <c r="DY20" i="13" s="1"/>
  <c r="BK14" i="13"/>
  <c r="DA42" i="13"/>
  <c r="DA40" i="13"/>
  <c r="AP41" i="13"/>
  <c r="AW41" i="13" s="1"/>
  <c r="DY41" i="13" s="1"/>
  <c r="BK19" i="13"/>
  <c r="DA10" i="13"/>
  <c r="AP34" i="13"/>
  <c r="AW34" i="13" s="1"/>
  <c r="DY34" i="13" s="1"/>
  <c r="DA32" i="13"/>
  <c r="BK50" i="13"/>
  <c r="AP22" i="13"/>
  <c r="AW22" i="13" s="1"/>
  <c r="DY22" i="13" s="1"/>
  <c r="AP33" i="13"/>
  <c r="AW33" i="13" s="1"/>
  <c r="DY33" i="13" s="1"/>
  <c r="BK30" i="13"/>
  <c r="AP13" i="13"/>
  <c r="AW13" i="13" s="1"/>
  <c r="DY13" i="13" s="1"/>
  <c r="AP42" i="13"/>
  <c r="AW42" i="13" s="1"/>
  <c r="DY42" i="13" s="1"/>
  <c r="BK27" i="13"/>
  <c r="BK22" i="13"/>
  <c r="DA45" i="13"/>
  <c r="DA27" i="13"/>
  <c r="AP31" i="13"/>
  <c r="AW31" i="13" s="1"/>
  <c r="DY31" i="13" s="1"/>
  <c r="AP24" i="13"/>
  <c r="AW24" i="13" s="1"/>
  <c r="DY24" i="13" s="1"/>
  <c r="BK42" i="13"/>
  <c r="DA15" i="13"/>
  <c r="DA34" i="13"/>
  <c r="AP10" i="13"/>
  <c r="AW10" i="13" s="1"/>
  <c r="DY10" i="13" s="1"/>
  <c r="BK39" i="13"/>
  <c r="BK20" i="13"/>
  <c r="DA50" i="13"/>
  <c r="CN6" i="13"/>
  <c r="M6" i="19"/>
  <c r="CJ6" i="13"/>
  <c r="BK7" i="13"/>
  <c r="AP7" i="13"/>
  <c r="DA7" i="13"/>
  <c r="BK8" i="13"/>
  <c r="DA8" i="13"/>
  <c r="AP8" i="13"/>
  <c r="AW8" i="13" s="1"/>
  <c r="DY8" i="13" s="1"/>
  <c r="EK9" i="13" l="1"/>
  <c r="EW9" i="13"/>
  <c r="EW8" i="13"/>
  <c r="EK8" i="13"/>
  <c r="DY28" i="13"/>
  <c r="FC41" i="13"/>
  <c r="FC33" i="13"/>
  <c r="FC38" i="13"/>
  <c r="FC32" i="13"/>
  <c r="EM35" i="13"/>
  <c r="EY35" i="13"/>
  <c r="FE35" i="13" s="1"/>
  <c r="EY24" i="13"/>
  <c r="EM24" i="13"/>
  <c r="EM40" i="13"/>
  <c r="EY40" i="13"/>
  <c r="FE40" i="13" s="1"/>
  <c r="EM46" i="13"/>
  <c r="EY46" i="13"/>
  <c r="FE46" i="13" s="1"/>
  <c r="FC20" i="13"/>
  <c r="FC47" i="13"/>
  <c r="FC36" i="13"/>
  <c r="EM20" i="13"/>
  <c r="EY20" i="13"/>
  <c r="FE20" i="13" s="1"/>
  <c r="EM37" i="13"/>
  <c r="EY37" i="13"/>
  <c r="FE37" i="13" s="1"/>
  <c r="EM13" i="13"/>
  <c r="EY13" i="13"/>
  <c r="FE13" i="13" s="1"/>
  <c r="EY15" i="13"/>
  <c r="FE15" i="13" s="1"/>
  <c r="EM15" i="13"/>
  <c r="EY23" i="13"/>
  <c r="FE23" i="13" s="1"/>
  <c r="EM23" i="13"/>
  <c r="EM21" i="13"/>
  <c r="EY21" i="13"/>
  <c r="FE21" i="13" s="1"/>
  <c r="EM32" i="13"/>
  <c r="EY32" i="13"/>
  <c r="FE32" i="13" s="1"/>
  <c r="FC34" i="13"/>
  <c r="FC29" i="13"/>
  <c r="FC14" i="13"/>
  <c r="FC46" i="13"/>
  <c r="FC40" i="13"/>
  <c r="FC25" i="13"/>
  <c r="FC15" i="13"/>
  <c r="EM39" i="13"/>
  <c r="EY39" i="13"/>
  <c r="FE39" i="13" s="1"/>
  <c r="EM47" i="13"/>
  <c r="EY47" i="13"/>
  <c r="FE47" i="13" s="1"/>
  <c r="EM26" i="13"/>
  <c r="EY26" i="13"/>
  <c r="FE26" i="13" s="1"/>
  <c r="EM14" i="13"/>
  <c r="EY14" i="13"/>
  <c r="FE14" i="13" s="1"/>
  <c r="FC39" i="13"/>
  <c r="FC17" i="13"/>
  <c r="FC12" i="13"/>
  <c r="FC26" i="13"/>
  <c r="FC18" i="13"/>
  <c r="FC49" i="13"/>
  <c r="EM36" i="13"/>
  <c r="EY36" i="13"/>
  <c r="FE36" i="13" s="1"/>
  <c r="EM44" i="13"/>
  <c r="EY44" i="13"/>
  <c r="FE44" i="13" s="1"/>
  <c r="EY8" i="13"/>
  <c r="EM8" i="13"/>
  <c r="EM12" i="13"/>
  <c r="EY12" i="13"/>
  <c r="FE12" i="13" s="1"/>
  <c r="EM17" i="13"/>
  <c r="EY17" i="13"/>
  <c r="FE17" i="13" s="1"/>
  <c r="EN51" i="13"/>
  <c r="EZ51" i="13"/>
  <c r="FF51" i="13" s="1"/>
  <c r="FC10" i="13"/>
  <c r="FC42" i="13"/>
  <c r="FC13" i="13"/>
  <c r="FC45" i="13"/>
  <c r="FC30" i="13"/>
  <c r="FC23" i="13"/>
  <c r="FC48" i="13"/>
  <c r="EM9" i="13"/>
  <c r="EY9" i="13"/>
  <c r="EM11" i="13"/>
  <c r="EY11" i="13"/>
  <c r="EM38" i="13"/>
  <c r="EY38" i="13"/>
  <c r="FE38" i="13" s="1"/>
  <c r="EM43" i="13"/>
  <c r="EY43" i="13"/>
  <c r="FE43" i="13" s="1"/>
  <c r="EM42" i="13"/>
  <c r="EY42" i="13"/>
  <c r="EM22" i="13"/>
  <c r="EY22" i="13"/>
  <c r="FC24" i="13"/>
  <c r="FC35" i="13"/>
  <c r="FC19" i="13"/>
  <c r="FC37" i="13"/>
  <c r="EM25" i="13"/>
  <c r="EY25" i="13"/>
  <c r="FE25" i="13" s="1"/>
  <c r="EM31" i="13"/>
  <c r="EY31" i="13"/>
  <c r="FE31" i="13" s="1"/>
  <c r="EM34" i="13"/>
  <c r="EY34" i="13"/>
  <c r="FE34" i="13" s="1"/>
  <c r="EM29" i="13"/>
  <c r="EY29" i="13"/>
  <c r="FE29" i="13" s="1"/>
  <c r="EM19" i="13"/>
  <c r="EY19" i="13"/>
  <c r="FE19" i="13" s="1"/>
  <c r="FC31" i="13"/>
  <c r="FC21" i="13"/>
  <c r="FC16" i="13"/>
  <c r="FC27" i="13"/>
  <c r="EM28" i="13"/>
  <c r="EY28" i="13"/>
  <c r="EM45" i="13"/>
  <c r="EY45" i="13"/>
  <c r="FE45" i="13" s="1"/>
  <c r="EM48" i="13"/>
  <c r="EY48" i="13"/>
  <c r="FE48" i="13" s="1"/>
  <c r="EM27" i="13"/>
  <c r="EY27" i="13"/>
  <c r="FE27" i="13" s="1"/>
  <c r="EM41" i="13"/>
  <c r="EY41" i="13"/>
  <c r="FE41" i="13" s="1"/>
  <c r="FC22" i="13"/>
  <c r="FC44" i="13"/>
  <c r="FC43" i="13"/>
  <c r="FC11" i="13"/>
  <c r="EM30" i="13"/>
  <c r="EY30" i="13"/>
  <c r="FE30" i="13" s="1"/>
  <c r="EY18" i="13"/>
  <c r="FE18" i="13" s="1"/>
  <c r="EM18" i="13"/>
  <c r="EM49" i="13"/>
  <c r="EY49" i="13"/>
  <c r="FE49" i="13" s="1"/>
  <c r="EY16" i="13"/>
  <c r="EM16" i="13"/>
  <c r="EY10" i="13"/>
  <c r="EM10" i="13"/>
  <c r="EM50" i="13"/>
  <c r="EY50" i="13"/>
  <c r="FE50" i="13" s="1"/>
  <c r="EM33" i="13"/>
  <c r="EY33" i="13"/>
  <c r="T51" i="30"/>
  <c r="EA51" i="13"/>
  <c r="EB112" i="13"/>
  <c r="EN112" i="13" s="1"/>
  <c r="AX31" i="13"/>
  <c r="N31" i="17"/>
  <c r="N34" i="17"/>
  <c r="AX34" i="13"/>
  <c r="AX21" i="13"/>
  <c r="N21" i="17"/>
  <c r="N46" i="17"/>
  <c r="AX46" i="13"/>
  <c r="N16" i="17"/>
  <c r="AX16" i="13"/>
  <c r="AX27" i="13"/>
  <c r="N27" i="17"/>
  <c r="N8" i="17"/>
  <c r="AX8" i="13"/>
  <c r="BA8" i="13" s="1"/>
  <c r="N24" i="17"/>
  <c r="AX24" i="13"/>
  <c r="AX41" i="13"/>
  <c r="N41" i="17"/>
  <c r="AX28" i="13"/>
  <c r="N28" i="17"/>
  <c r="AX47" i="13"/>
  <c r="N47" i="17"/>
  <c r="N37" i="17"/>
  <c r="AX37" i="13"/>
  <c r="AX13" i="13"/>
  <c r="N13" i="17"/>
  <c r="N45" i="17"/>
  <c r="AX45" i="13"/>
  <c r="AX30" i="13"/>
  <c r="N30" i="17"/>
  <c r="AX38" i="13"/>
  <c r="N38" i="17"/>
  <c r="N23" i="17"/>
  <c r="AX23" i="13"/>
  <c r="AX48" i="13"/>
  <c r="N48" i="17"/>
  <c r="N32" i="17"/>
  <c r="AX32" i="13"/>
  <c r="AX33" i="13"/>
  <c r="N33" i="17"/>
  <c r="N29" i="17"/>
  <c r="AX29" i="13"/>
  <c r="AX14" i="13"/>
  <c r="N14" i="17"/>
  <c r="N40" i="17"/>
  <c r="AX40" i="13"/>
  <c r="N25" i="17"/>
  <c r="AX25" i="13"/>
  <c r="N15" i="17"/>
  <c r="AX15" i="13"/>
  <c r="N10" i="17"/>
  <c r="AX10" i="13"/>
  <c r="AX20" i="13"/>
  <c r="N20" i="17"/>
  <c r="N35" i="17"/>
  <c r="AX35" i="13"/>
  <c r="N19" i="17"/>
  <c r="AX19" i="13"/>
  <c r="AX36" i="13"/>
  <c r="N36" i="17"/>
  <c r="AX42" i="13"/>
  <c r="N42" i="17"/>
  <c r="AX22" i="13"/>
  <c r="N22" i="17"/>
  <c r="AX39" i="13"/>
  <c r="N39" i="17"/>
  <c r="AX44" i="13"/>
  <c r="N44" i="17"/>
  <c r="N43" i="17"/>
  <c r="AX43" i="13"/>
  <c r="AX17" i="13"/>
  <c r="N17" i="17"/>
  <c r="AX12" i="13"/>
  <c r="N12" i="17"/>
  <c r="N9" i="17"/>
  <c r="AX9" i="13"/>
  <c r="BA9" i="13" s="1"/>
  <c r="N26" i="17"/>
  <c r="AX26" i="13"/>
  <c r="N18" i="17"/>
  <c r="AX18" i="13"/>
  <c r="AX11" i="13"/>
  <c r="N11" i="17"/>
  <c r="AX49" i="13"/>
  <c r="N49" i="17"/>
  <c r="DI112" i="13"/>
  <c r="M51" i="20"/>
  <c r="DE112" i="13"/>
  <c r="T51" i="29"/>
  <c r="DI51" i="13"/>
  <c r="V51" i="30"/>
  <c r="V51" i="29"/>
  <c r="CN51" i="13"/>
  <c r="U51" i="29" s="1"/>
  <c r="BO51" i="13"/>
  <c r="BR51" i="13"/>
  <c r="DZ51" i="13" s="1"/>
  <c r="BR112" i="13"/>
  <c r="BO112" i="13"/>
  <c r="T9" i="30"/>
  <c r="T9" i="29"/>
  <c r="T49" i="30"/>
  <c r="T49" i="29"/>
  <c r="T8" i="30"/>
  <c r="T8" i="29"/>
  <c r="T16" i="30"/>
  <c r="T16" i="29"/>
  <c r="T17" i="30"/>
  <c r="T17" i="29"/>
  <c r="T33" i="30"/>
  <c r="T33" i="29"/>
  <c r="T30" i="30"/>
  <c r="T30" i="29"/>
  <c r="T36" i="30"/>
  <c r="T36" i="29"/>
  <c r="T18" i="30"/>
  <c r="T18" i="29"/>
  <c r="T48" i="30"/>
  <c r="T48" i="29"/>
  <c r="T26" i="30"/>
  <c r="T26" i="29"/>
  <c r="T41" i="30"/>
  <c r="T41" i="29"/>
  <c r="T56" i="29"/>
  <c r="U56" i="29" s="1"/>
  <c r="T98" i="29"/>
  <c r="T25" i="30"/>
  <c r="T25" i="29"/>
  <c r="T20" i="30"/>
  <c r="T20" i="29"/>
  <c r="T31" i="30"/>
  <c r="T31" i="29"/>
  <c r="T37" i="30"/>
  <c r="T37" i="29"/>
  <c r="T34" i="30"/>
  <c r="T34" i="29"/>
  <c r="T11" i="30"/>
  <c r="T11" i="29"/>
  <c r="T24" i="30"/>
  <c r="T24" i="29"/>
  <c r="T40" i="30"/>
  <c r="T40" i="29"/>
  <c r="T38" i="30"/>
  <c r="T38" i="29"/>
  <c r="T43" i="30"/>
  <c r="T43" i="29"/>
  <c r="T46" i="30"/>
  <c r="T46" i="29"/>
  <c r="T42" i="30"/>
  <c r="T42" i="29"/>
  <c r="T22" i="30"/>
  <c r="T22" i="29"/>
  <c r="T35" i="30"/>
  <c r="T35" i="29"/>
  <c r="T12" i="30"/>
  <c r="T12" i="29"/>
  <c r="T10" i="30"/>
  <c r="T10" i="29"/>
  <c r="T50" i="30"/>
  <c r="T50" i="29"/>
  <c r="T44" i="30"/>
  <c r="T44" i="29"/>
  <c r="T45" i="30"/>
  <c r="T45" i="29"/>
  <c r="T47" i="30"/>
  <c r="T47" i="29"/>
  <c r="T27" i="30"/>
  <c r="T27" i="29"/>
  <c r="T14" i="30"/>
  <c r="T14" i="29"/>
  <c r="U6" i="30"/>
  <c r="U6" i="29"/>
  <c r="U98" i="29" s="1"/>
  <c r="T39" i="30"/>
  <c r="T39" i="29"/>
  <c r="T28" i="30"/>
  <c r="T28" i="29"/>
  <c r="P50" i="30"/>
  <c r="P50" i="29"/>
  <c r="T13" i="30"/>
  <c r="T13" i="29"/>
  <c r="T15" i="30"/>
  <c r="T15" i="29"/>
  <c r="T23" i="30"/>
  <c r="T23" i="29"/>
  <c r="T21" i="30"/>
  <c r="T21" i="29"/>
  <c r="T29" i="30"/>
  <c r="T29" i="29"/>
  <c r="T19" i="30"/>
  <c r="T19" i="29"/>
  <c r="T32" i="30"/>
  <c r="T32" i="29"/>
  <c r="N6" i="19"/>
  <c r="M40" i="19"/>
  <c r="CN40" i="13"/>
  <c r="M22" i="19"/>
  <c r="CN22" i="13"/>
  <c r="CQ22" i="13" s="1"/>
  <c r="EG22" i="13" s="1"/>
  <c r="M17" i="19"/>
  <c r="DH22" i="13"/>
  <c r="EB22" i="13" s="1"/>
  <c r="DE22" i="13"/>
  <c r="BR22" i="13"/>
  <c r="DZ22" i="13" s="1"/>
  <c r="BO22" i="13"/>
  <c r="AT22" i="13"/>
  <c r="CN12" i="13"/>
  <c r="M20" i="19"/>
  <c r="M42" i="19"/>
  <c r="M12" i="19"/>
  <c r="CN42" i="13"/>
  <c r="CN20" i="13"/>
  <c r="DE50" i="13"/>
  <c r="DH50" i="13"/>
  <c r="EB50" i="13" s="1"/>
  <c r="AT31" i="13"/>
  <c r="AT33" i="13"/>
  <c r="BR19" i="13"/>
  <c r="DZ19" i="13" s="1"/>
  <c r="BO19" i="13"/>
  <c r="DH17" i="13"/>
  <c r="EB17" i="13" s="1"/>
  <c r="DE17" i="13"/>
  <c r="BO18" i="13"/>
  <c r="BR18" i="13"/>
  <c r="DZ18" i="13" s="1"/>
  <c r="AT45" i="13"/>
  <c r="DE21" i="13"/>
  <c r="DH21" i="13"/>
  <c r="EB21" i="13" s="1"/>
  <c r="AT12" i="13"/>
  <c r="DH29" i="13"/>
  <c r="EB29" i="13" s="1"/>
  <c r="DE29" i="13"/>
  <c r="AT9" i="13"/>
  <c r="BR25" i="13"/>
  <c r="DZ25" i="13" s="1"/>
  <c r="BO25" i="13"/>
  <c r="DE14" i="13"/>
  <c r="DH14" i="13"/>
  <c r="EB14" i="13" s="1"/>
  <c r="AT40" i="13"/>
  <c r="AT49" i="13"/>
  <c r="DE20" i="13"/>
  <c r="DH20" i="13"/>
  <c r="EB20" i="13" s="1"/>
  <c r="BR15" i="13"/>
  <c r="DZ15" i="13" s="1"/>
  <c r="BO15" i="13"/>
  <c r="AT24" i="13"/>
  <c r="BO30" i="13"/>
  <c r="BR30" i="13"/>
  <c r="DZ30" i="13" s="1"/>
  <c r="DH42" i="13"/>
  <c r="EB42" i="13" s="1"/>
  <c r="DE42" i="13"/>
  <c r="AT44" i="13"/>
  <c r="AT43" i="13"/>
  <c r="BO49" i="13"/>
  <c r="BR49" i="13"/>
  <c r="DZ49" i="13" s="1"/>
  <c r="BO46" i="13"/>
  <c r="BR46" i="13"/>
  <c r="DZ46" i="13" s="1"/>
  <c r="DH48" i="13"/>
  <c r="EB48" i="13" s="1"/>
  <c r="DE48" i="13"/>
  <c r="AT46" i="13"/>
  <c r="DH49" i="13"/>
  <c r="EB49" i="13" s="1"/>
  <c r="DE49" i="13"/>
  <c r="BO33" i="13"/>
  <c r="BR33" i="13"/>
  <c r="DZ33" i="13" s="1"/>
  <c r="AT11" i="13"/>
  <c r="DH24" i="13"/>
  <c r="EB24" i="13" s="1"/>
  <c r="DE24" i="13"/>
  <c r="AT27" i="13"/>
  <c r="BR48" i="13"/>
  <c r="DZ48" i="13" s="1"/>
  <c r="BO48" i="13"/>
  <c r="BO8" i="13"/>
  <c r="BR8" i="13"/>
  <c r="DZ8" i="13" s="1"/>
  <c r="BR39" i="13"/>
  <c r="DZ39" i="13" s="1"/>
  <c r="BO39" i="13"/>
  <c r="BO42" i="13"/>
  <c r="BR42" i="13"/>
  <c r="DZ42" i="13" s="1"/>
  <c r="DE45" i="13"/>
  <c r="DH45" i="13"/>
  <c r="EB45" i="13" s="1"/>
  <c r="AT13" i="13"/>
  <c r="BO50" i="13"/>
  <c r="BR50" i="13"/>
  <c r="DZ50" i="13" s="1"/>
  <c r="AT34" i="13"/>
  <c r="DH40" i="13"/>
  <c r="EB40" i="13" s="1"/>
  <c r="DE40" i="13"/>
  <c r="AT29" i="13"/>
  <c r="BO16" i="13"/>
  <c r="BR16" i="13"/>
  <c r="DZ16" i="13" s="1"/>
  <c r="DH43" i="13"/>
  <c r="EB43" i="13" s="1"/>
  <c r="DE43" i="13"/>
  <c r="AT21" i="13"/>
  <c r="AT14" i="13"/>
  <c r="DE46" i="13"/>
  <c r="DH46" i="13"/>
  <c r="EB46" i="13" s="1"/>
  <c r="DH11" i="13"/>
  <c r="EB11" i="13" s="1"/>
  <c r="DE11" i="13"/>
  <c r="BO10" i="13"/>
  <c r="BR10" i="13"/>
  <c r="DZ10" i="13" s="1"/>
  <c r="BR23" i="13"/>
  <c r="DZ23" i="13" s="1"/>
  <c r="BO23" i="13"/>
  <c r="AT19" i="13"/>
  <c r="DH28" i="13"/>
  <c r="EB28" i="13" s="1"/>
  <c r="DE28" i="13"/>
  <c r="DE41" i="13"/>
  <c r="DH41" i="13"/>
  <c r="EB41" i="13" s="1"/>
  <c r="BO32" i="13"/>
  <c r="BR32" i="13"/>
  <c r="DZ32" i="13" s="1"/>
  <c r="DH19" i="13"/>
  <c r="EB19" i="13" s="1"/>
  <c r="DE19" i="13"/>
  <c r="DE18" i="13"/>
  <c r="DH18" i="13"/>
  <c r="EB18" i="13" s="1"/>
  <c r="BR11" i="13"/>
  <c r="DZ11" i="13" s="1"/>
  <c r="BO11" i="13"/>
  <c r="AT23" i="13"/>
  <c r="AT16" i="13"/>
  <c r="AT25" i="13"/>
  <c r="DE47" i="13"/>
  <c r="DH47" i="13"/>
  <c r="EB47" i="13" s="1"/>
  <c r="AT36" i="13"/>
  <c r="AT37" i="13"/>
  <c r="DE25" i="13"/>
  <c r="DH25" i="13"/>
  <c r="EB25" i="13" s="1"/>
  <c r="BO9" i="13"/>
  <c r="BR9" i="13"/>
  <c r="DZ9" i="13" s="1"/>
  <c r="BO40" i="13"/>
  <c r="BR40" i="13"/>
  <c r="DZ40" i="13" s="1"/>
  <c r="M23" i="19"/>
  <c r="AT8" i="13"/>
  <c r="DE34" i="13"/>
  <c r="DH34" i="13"/>
  <c r="EB34" i="13" s="1"/>
  <c r="BO27" i="13"/>
  <c r="BR27" i="13"/>
  <c r="DZ27" i="13" s="1"/>
  <c r="BR14" i="13"/>
  <c r="DZ14" i="13" s="1"/>
  <c r="BO14" i="13"/>
  <c r="DH33" i="13"/>
  <c r="EB33" i="13" s="1"/>
  <c r="DE33" i="13"/>
  <c r="DH13" i="13"/>
  <c r="EB13" i="13" s="1"/>
  <c r="DE13" i="13"/>
  <c r="BR26" i="13"/>
  <c r="DZ26" i="13" s="1"/>
  <c r="BO26" i="13"/>
  <c r="DE9" i="13"/>
  <c r="DH9" i="13"/>
  <c r="EB9" i="13" s="1"/>
  <c r="BO38" i="13"/>
  <c r="BR38" i="13"/>
  <c r="DZ38" i="13" s="1"/>
  <c r="BO44" i="13"/>
  <c r="BR44" i="13"/>
  <c r="DZ44" i="13" s="1"/>
  <c r="BO12" i="13"/>
  <c r="BR12" i="13"/>
  <c r="DZ12" i="13" s="1"/>
  <c r="DE26" i="13"/>
  <c r="DH26" i="13"/>
  <c r="EB26" i="13" s="1"/>
  <c r="BO37" i="13"/>
  <c r="BR37" i="13"/>
  <c r="DZ37" i="13" s="1"/>
  <c r="DH35" i="13"/>
  <c r="EB35" i="13" s="1"/>
  <c r="DE35" i="13"/>
  <c r="AT10" i="13"/>
  <c r="DE10" i="13"/>
  <c r="DH10" i="13"/>
  <c r="EB10" i="13" s="1"/>
  <c r="AT39" i="13"/>
  <c r="BO43" i="13"/>
  <c r="BR43" i="13"/>
  <c r="DZ43" i="13" s="1"/>
  <c r="AT17" i="13"/>
  <c r="DH23" i="13"/>
  <c r="EB23" i="13" s="1"/>
  <c r="DE23" i="13"/>
  <c r="DE31" i="13"/>
  <c r="DH31" i="13"/>
  <c r="EB31" i="13" s="1"/>
  <c r="BO21" i="13"/>
  <c r="BR21" i="13"/>
  <c r="DZ21" i="13" s="1"/>
  <c r="DH16" i="13"/>
  <c r="EB16" i="13" s="1"/>
  <c r="DE16" i="13"/>
  <c r="DH36" i="13"/>
  <c r="EB36" i="13" s="1"/>
  <c r="DE36" i="13"/>
  <c r="BR13" i="13"/>
  <c r="DZ13" i="13" s="1"/>
  <c r="BO13" i="13"/>
  <c r="DE38" i="13"/>
  <c r="DH38" i="13"/>
  <c r="EB38" i="13" s="1"/>
  <c r="AT15" i="13"/>
  <c r="DE30" i="13"/>
  <c r="DH30" i="13"/>
  <c r="EB30" i="13" s="1"/>
  <c r="BO41" i="13"/>
  <c r="BR41" i="13"/>
  <c r="DZ41" i="13" s="1"/>
  <c r="DH8" i="13"/>
  <c r="EB8" i="13" s="1"/>
  <c r="DE8" i="13"/>
  <c r="BO20" i="13"/>
  <c r="BR20" i="13"/>
  <c r="DZ20" i="13" s="1"/>
  <c r="DE15" i="13"/>
  <c r="DH15" i="13"/>
  <c r="EB15" i="13" s="1"/>
  <c r="DE27" i="13"/>
  <c r="DH27" i="13"/>
  <c r="EB27" i="13" s="1"/>
  <c r="AT42" i="13"/>
  <c r="DE32" i="13"/>
  <c r="DH32" i="13"/>
  <c r="EB32" i="13" s="1"/>
  <c r="AT41" i="13"/>
  <c r="AT20" i="13"/>
  <c r="DE37" i="13"/>
  <c r="DH37" i="13"/>
  <c r="EB37" i="13" s="1"/>
  <c r="BO17" i="13"/>
  <c r="BR17" i="13"/>
  <c r="DZ17" i="13" s="1"/>
  <c r="AT28" i="13"/>
  <c r="BO45" i="13"/>
  <c r="BR45" i="13"/>
  <c r="DZ45" i="13" s="1"/>
  <c r="AT35" i="13"/>
  <c r="AT47" i="13"/>
  <c r="BO24" i="13"/>
  <c r="BR24" i="13"/>
  <c r="DZ24" i="13" s="1"/>
  <c r="BR47" i="13"/>
  <c r="DZ47" i="13" s="1"/>
  <c r="BO47" i="13"/>
  <c r="AT30" i="13"/>
  <c r="AT38" i="13"/>
  <c r="DH39" i="13"/>
  <c r="EB39" i="13" s="1"/>
  <c r="DE39" i="13"/>
  <c r="BO36" i="13"/>
  <c r="BR36" i="13"/>
  <c r="DZ36" i="13" s="1"/>
  <c r="BR31" i="13"/>
  <c r="DZ31" i="13" s="1"/>
  <c r="BO31" i="13"/>
  <c r="AT26" i="13"/>
  <c r="DE12" i="13"/>
  <c r="DH12" i="13"/>
  <c r="EB12" i="13" s="1"/>
  <c r="AT18" i="13"/>
  <c r="BO35" i="13"/>
  <c r="BR35" i="13"/>
  <c r="DZ35" i="13" s="1"/>
  <c r="BO28" i="13"/>
  <c r="BR28" i="13"/>
  <c r="DZ28" i="13" s="1"/>
  <c r="BO34" i="13"/>
  <c r="BR34" i="13"/>
  <c r="DZ34" i="13" s="1"/>
  <c r="AT48" i="13"/>
  <c r="AT32" i="13"/>
  <c r="BR29" i="13"/>
  <c r="DZ29" i="13" s="1"/>
  <c r="BO29" i="13"/>
  <c r="DH44" i="13"/>
  <c r="EB44" i="13" s="1"/>
  <c r="DE44" i="13"/>
  <c r="CN23" i="13"/>
  <c r="CN17" i="13"/>
  <c r="EW112" i="13"/>
  <c r="EK112" i="13"/>
  <c r="CR112" i="13"/>
  <c r="M49" i="19"/>
  <c r="M11" i="19"/>
  <c r="M14" i="19"/>
  <c r="M50" i="19"/>
  <c r="CN19" i="13"/>
  <c r="M8" i="19"/>
  <c r="CN30" i="13"/>
  <c r="M13" i="19"/>
  <c r="M10" i="19"/>
  <c r="CN41" i="13"/>
  <c r="M26" i="19"/>
  <c r="M25" i="19"/>
  <c r="M9" i="19"/>
  <c r="CN14" i="13"/>
  <c r="CN27" i="13"/>
  <c r="CN50" i="13"/>
  <c r="M43" i="19"/>
  <c r="CN49" i="13"/>
  <c r="CN25" i="13"/>
  <c r="CN9" i="13"/>
  <c r="CQ9" i="13" s="1"/>
  <c r="EG9" i="13" s="1"/>
  <c r="M19" i="19"/>
  <c r="M27" i="19"/>
  <c r="CN26" i="13"/>
  <c r="M30" i="19"/>
  <c r="CN43" i="13"/>
  <c r="M41" i="19"/>
  <c r="CN28" i="13"/>
  <c r="CQ28" i="13" s="1"/>
  <c r="EG28" i="13" s="1"/>
  <c r="M28" i="19"/>
  <c r="M45" i="19"/>
  <c r="CN45" i="13"/>
  <c r="CN35" i="13"/>
  <c r="M35" i="19"/>
  <c r="CN10" i="13"/>
  <c r="CQ10" i="13" s="1"/>
  <c r="EG10" i="13" s="1"/>
  <c r="FK10" i="13" s="1"/>
  <c r="CN16" i="13"/>
  <c r="CQ16" i="13" s="1"/>
  <c r="EG16" i="13" s="1"/>
  <c r="M16" i="19"/>
  <c r="M44" i="19"/>
  <c r="CN44" i="13"/>
  <c r="M38" i="19"/>
  <c r="CN38" i="13"/>
  <c r="M15" i="19"/>
  <c r="CN15" i="13"/>
  <c r="CN21" i="13"/>
  <c r="M21" i="19"/>
  <c r="M24" i="19"/>
  <c r="CN24" i="13"/>
  <c r="CQ24" i="13" s="1"/>
  <c r="EG24" i="13" s="1"/>
  <c r="CN39" i="13"/>
  <c r="M39" i="19"/>
  <c r="CN46" i="13"/>
  <c r="M46" i="19"/>
  <c r="M36" i="19"/>
  <c r="CN36" i="13"/>
  <c r="M33" i="19"/>
  <c r="CN33" i="13"/>
  <c r="CQ33" i="13" s="1"/>
  <c r="EG33" i="13" s="1"/>
  <c r="CN31" i="13"/>
  <c r="M31" i="19"/>
  <c r="CN29" i="13"/>
  <c r="M29" i="19"/>
  <c r="CN47" i="13"/>
  <c r="M47" i="19"/>
  <c r="M18" i="19"/>
  <c r="CN18" i="13"/>
  <c r="M37" i="19"/>
  <c r="CN37" i="13"/>
  <c r="CN13" i="13"/>
  <c r="M34" i="19"/>
  <c r="CN34" i="13"/>
  <c r="CN11" i="13"/>
  <c r="M48" i="19"/>
  <c r="CN48" i="13"/>
  <c r="M32" i="19"/>
  <c r="CN32" i="13"/>
  <c r="CN8" i="13"/>
  <c r="CQ8" i="13" s="1"/>
  <c r="EG8" i="13" s="1"/>
  <c r="AX112" i="13"/>
  <c r="G8" i="13"/>
  <c r="H8" i="13"/>
  <c r="J8" i="13"/>
  <c r="K8" i="13"/>
  <c r="G9" i="13"/>
  <c r="H9" i="13"/>
  <c r="I9" i="13"/>
  <c r="J9" i="13"/>
  <c r="K9" i="13"/>
  <c r="G10" i="13"/>
  <c r="H10" i="13"/>
  <c r="I10" i="13"/>
  <c r="J10" i="13"/>
  <c r="K10" i="13"/>
  <c r="G11" i="13"/>
  <c r="H11" i="13"/>
  <c r="I11" i="13"/>
  <c r="J11" i="13"/>
  <c r="K11" i="13"/>
  <c r="G12" i="13"/>
  <c r="H12" i="13"/>
  <c r="I12" i="13"/>
  <c r="J12" i="13"/>
  <c r="K12" i="13"/>
  <c r="G13" i="13"/>
  <c r="H13" i="13"/>
  <c r="I13" i="13"/>
  <c r="J13" i="13"/>
  <c r="K13" i="13"/>
  <c r="G14" i="13"/>
  <c r="H14" i="13"/>
  <c r="I14" i="13"/>
  <c r="J14" i="13"/>
  <c r="K14" i="13"/>
  <c r="G15" i="13"/>
  <c r="H15" i="13"/>
  <c r="I15" i="13"/>
  <c r="J15" i="13"/>
  <c r="K15" i="13"/>
  <c r="G16" i="13"/>
  <c r="H16" i="13"/>
  <c r="I16" i="13"/>
  <c r="J16" i="13"/>
  <c r="K16" i="13"/>
  <c r="G17" i="13"/>
  <c r="H17" i="13"/>
  <c r="I17" i="13"/>
  <c r="J17" i="13"/>
  <c r="K17" i="13"/>
  <c r="G18" i="13"/>
  <c r="H18" i="13"/>
  <c r="I18" i="13"/>
  <c r="J18" i="13"/>
  <c r="K18" i="13"/>
  <c r="G19" i="13"/>
  <c r="H19" i="13"/>
  <c r="I19" i="13"/>
  <c r="J19" i="13"/>
  <c r="K19" i="13"/>
  <c r="G20" i="13"/>
  <c r="H20" i="13"/>
  <c r="I20" i="13"/>
  <c r="J20" i="13"/>
  <c r="K20" i="13"/>
  <c r="G21" i="13"/>
  <c r="H21" i="13"/>
  <c r="I21" i="13"/>
  <c r="J21" i="13"/>
  <c r="K21" i="13"/>
  <c r="G22" i="13"/>
  <c r="H22" i="13"/>
  <c r="I22" i="13"/>
  <c r="J22" i="13"/>
  <c r="K22" i="13"/>
  <c r="G23" i="13"/>
  <c r="H23" i="13"/>
  <c r="I23" i="13"/>
  <c r="J23" i="13"/>
  <c r="K23" i="13"/>
  <c r="G24" i="13"/>
  <c r="H24" i="13"/>
  <c r="I24" i="13"/>
  <c r="J24" i="13"/>
  <c r="K24" i="13"/>
  <c r="G25" i="13"/>
  <c r="H25" i="13"/>
  <c r="I25" i="13"/>
  <c r="J25" i="13"/>
  <c r="K25" i="13"/>
  <c r="G26" i="13"/>
  <c r="H26" i="13"/>
  <c r="I26" i="13"/>
  <c r="J26" i="13"/>
  <c r="K26" i="13"/>
  <c r="G27" i="13"/>
  <c r="H27" i="13"/>
  <c r="I27" i="13"/>
  <c r="J27" i="13"/>
  <c r="K27" i="13"/>
  <c r="G28" i="13"/>
  <c r="H28" i="13"/>
  <c r="I28" i="13"/>
  <c r="J28" i="13"/>
  <c r="K28" i="13"/>
  <c r="G29" i="13"/>
  <c r="H29" i="13"/>
  <c r="I29" i="13"/>
  <c r="J29" i="13"/>
  <c r="K29" i="13"/>
  <c r="G30" i="13"/>
  <c r="H30" i="13"/>
  <c r="I30" i="13"/>
  <c r="J30" i="13"/>
  <c r="K30" i="13"/>
  <c r="G31" i="13"/>
  <c r="H31" i="13"/>
  <c r="I31" i="13"/>
  <c r="J31" i="13"/>
  <c r="K31" i="13"/>
  <c r="G32" i="13"/>
  <c r="H32" i="13"/>
  <c r="I32" i="13"/>
  <c r="J32" i="13"/>
  <c r="K32" i="13"/>
  <c r="G33" i="13"/>
  <c r="H33" i="13"/>
  <c r="I33" i="13"/>
  <c r="J33" i="13"/>
  <c r="K33" i="13"/>
  <c r="G34" i="13"/>
  <c r="H34" i="13"/>
  <c r="I34" i="13"/>
  <c r="J34" i="13"/>
  <c r="K34" i="13"/>
  <c r="G35" i="13"/>
  <c r="H35" i="13"/>
  <c r="I35" i="13"/>
  <c r="J35" i="13"/>
  <c r="K35" i="13"/>
  <c r="G36" i="13"/>
  <c r="H36" i="13"/>
  <c r="I36" i="13"/>
  <c r="J36" i="13"/>
  <c r="K36" i="13"/>
  <c r="G37" i="13"/>
  <c r="H37" i="13"/>
  <c r="I37" i="13"/>
  <c r="J37" i="13"/>
  <c r="K37" i="13"/>
  <c r="G38" i="13"/>
  <c r="H38" i="13"/>
  <c r="I38" i="13"/>
  <c r="J38" i="13"/>
  <c r="K38" i="13"/>
  <c r="G39" i="13"/>
  <c r="H39" i="13"/>
  <c r="I39" i="13"/>
  <c r="J39" i="13"/>
  <c r="K39" i="13"/>
  <c r="G40" i="13"/>
  <c r="H40" i="13"/>
  <c r="I40" i="13"/>
  <c r="J40" i="13"/>
  <c r="K40" i="13"/>
  <c r="G41" i="13"/>
  <c r="H41" i="13"/>
  <c r="I41" i="13"/>
  <c r="J41" i="13"/>
  <c r="K41" i="13"/>
  <c r="G42" i="13"/>
  <c r="H42" i="13"/>
  <c r="I42" i="13"/>
  <c r="J42" i="13"/>
  <c r="K42" i="13"/>
  <c r="G43" i="13"/>
  <c r="H43" i="13"/>
  <c r="I43" i="13"/>
  <c r="J43" i="13"/>
  <c r="K43" i="13"/>
  <c r="G44" i="13"/>
  <c r="H44" i="13"/>
  <c r="I44" i="13"/>
  <c r="J44" i="13"/>
  <c r="K44" i="13"/>
  <c r="G45" i="13"/>
  <c r="H45" i="13"/>
  <c r="I45" i="13"/>
  <c r="J45" i="13"/>
  <c r="K45" i="13"/>
  <c r="G46" i="13"/>
  <c r="H46" i="13"/>
  <c r="I46" i="13"/>
  <c r="J46" i="13"/>
  <c r="K46" i="13"/>
  <c r="G47" i="13"/>
  <c r="H47" i="13"/>
  <c r="I47" i="13"/>
  <c r="J47" i="13"/>
  <c r="K47" i="13"/>
  <c r="G48" i="13"/>
  <c r="H48" i="13"/>
  <c r="I48" i="13"/>
  <c r="J48" i="13"/>
  <c r="K48" i="13"/>
  <c r="G49" i="13"/>
  <c r="H49" i="13"/>
  <c r="G50" i="13"/>
  <c r="H50" i="13"/>
  <c r="I50" i="13"/>
  <c r="J50" i="13"/>
  <c r="K50" i="13"/>
  <c r="G112" i="13"/>
  <c r="H112" i="13"/>
  <c r="I112" i="13"/>
  <c r="J112" i="13"/>
  <c r="K112" i="13"/>
  <c r="I7" i="13"/>
  <c r="K7" i="13"/>
  <c r="F7" i="13"/>
  <c r="G7" i="13"/>
  <c r="E7" i="13"/>
  <c r="FM10" i="13" l="1"/>
  <c r="J12" i="36"/>
  <c r="J14" i="36"/>
  <c r="J16" i="36"/>
  <c r="J18" i="36"/>
  <c r="J20" i="36"/>
  <c r="J22" i="36"/>
  <c r="J24" i="36"/>
  <c r="J26" i="36"/>
  <c r="J28" i="36"/>
  <c r="J30" i="36"/>
  <c r="J32" i="36"/>
  <c r="J34" i="36"/>
  <c r="J36" i="36"/>
  <c r="J38" i="36"/>
  <c r="J40" i="36"/>
  <c r="J42" i="36"/>
  <c r="J44" i="36"/>
  <c r="J46" i="36"/>
  <c r="J48" i="36"/>
  <c r="J50" i="36"/>
  <c r="J11" i="36"/>
  <c r="J13" i="36"/>
  <c r="J15" i="36"/>
  <c r="J17" i="36"/>
  <c r="J19" i="36"/>
  <c r="J21" i="36"/>
  <c r="J23" i="36"/>
  <c r="J25" i="36"/>
  <c r="J27" i="36"/>
  <c r="J29" i="36"/>
  <c r="J31" i="36"/>
  <c r="J33" i="36"/>
  <c r="J35" i="36"/>
  <c r="J37" i="36"/>
  <c r="J39" i="36"/>
  <c r="J41" i="36"/>
  <c r="J43" i="36"/>
  <c r="J45" i="36"/>
  <c r="J47" i="36"/>
  <c r="J49" i="36"/>
  <c r="J51" i="36"/>
  <c r="Q9" i="17"/>
  <c r="EE9" i="13"/>
  <c r="EQ9" i="13" s="1"/>
  <c r="Q8" i="17"/>
  <c r="EE8" i="13"/>
  <c r="EQ8" i="13" s="1"/>
  <c r="FC28" i="13"/>
  <c r="AL64" i="13"/>
  <c r="AK67" i="13"/>
  <c r="AP55" i="13"/>
  <c r="AP57" i="13"/>
  <c r="AQ59" i="13"/>
  <c r="AQ61" i="13"/>
  <c r="AK55" i="13"/>
  <c r="AK57" i="13"/>
  <c r="AK59" i="13"/>
  <c r="AK61" i="13"/>
  <c r="AP61" i="13"/>
  <c r="AN58" i="13"/>
  <c r="AI58" i="13"/>
  <c r="AJ54" i="13"/>
  <c r="AJ64" i="13"/>
  <c r="AN76" i="13"/>
  <c r="AP64" i="13"/>
  <c r="AJ59" i="13"/>
  <c r="AN56" i="13"/>
  <c r="AP54" i="13"/>
  <c r="AI56" i="13"/>
  <c r="AI60" i="13"/>
  <c r="AL66" i="13"/>
  <c r="AI55" i="13"/>
  <c r="AQ87" i="13"/>
  <c r="AI79" i="13"/>
  <c r="AJ61" i="13"/>
  <c r="AI85" i="13"/>
  <c r="AL80" i="13"/>
  <c r="AN55" i="13"/>
  <c r="AI59" i="13"/>
  <c r="AI84" i="13"/>
  <c r="AI81" i="13"/>
  <c r="AP59" i="13"/>
  <c r="AJ86" i="13"/>
  <c r="AQ84" i="13"/>
  <c r="AQ75" i="13"/>
  <c r="AQ79" i="13"/>
  <c r="AL76" i="13"/>
  <c r="AQ66" i="13"/>
  <c r="AN59" i="13"/>
  <c r="AI61" i="13"/>
  <c r="AK86" i="13"/>
  <c r="AN78" i="13"/>
  <c r="AI75" i="13"/>
  <c r="AK64" i="13"/>
  <c r="AJ55" i="13"/>
  <c r="AP87" i="13"/>
  <c r="AQ77" i="13"/>
  <c r="AQ81" i="13"/>
  <c r="AL78" i="13"/>
  <c r="AN57" i="13"/>
  <c r="AI57" i="13"/>
  <c r="AN80" i="13"/>
  <c r="AI77" i="13"/>
  <c r="AJ67" i="13"/>
  <c r="AJ57" i="13"/>
  <c r="AQ58" i="13"/>
  <c r="AK78" i="13"/>
  <c r="AP84" i="13"/>
  <c r="AK60" i="13"/>
  <c r="AJ66" i="13"/>
  <c r="AQ54" i="13"/>
  <c r="AJ74" i="13"/>
  <c r="AN84" i="13"/>
  <c r="AL77" i="13"/>
  <c r="AK87" i="13"/>
  <c r="AL61" i="13"/>
  <c r="AL67" i="13"/>
  <c r="AQ74" i="13"/>
  <c r="AK84" i="13"/>
  <c r="AJ81" i="13"/>
  <c r="AN74" i="13"/>
  <c r="AQ56" i="13"/>
  <c r="AK76" i="13"/>
  <c r="AL85" i="13"/>
  <c r="AK58" i="13"/>
  <c r="AN65" i="13"/>
  <c r="AP60" i="13"/>
  <c r="AI80" i="13"/>
  <c r="AP86" i="13"/>
  <c r="AL75" i="13"/>
  <c r="AL84" i="13"/>
  <c r="AL59" i="13"/>
  <c r="AJ65" i="13"/>
  <c r="AP80" i="13"/>
  <c r="AJ79" i="13"/>
  <c r="AN87" i="13"/>
  <c r="AI64" i="13"/>
  <c r="AP81" i="13"/>
  <c r="AK56" i="13"/>
  <c r="AI78" i="13"/>
  <c r="AL87" i="13"/>
  <c r="AI67" i="13"/>
  <c r="AQ80" i="13"/>
  <c r="AL57" i="13"/>
  <c r="AQ67" i="13"/>
  <c r="AP78" i="13"/>
  <c r="AJ77" i="13"/>
  <c r="AP85" i="13"/>
  <c r="AL60" i="13"/>
  <c r="AK66" i="13"/>
  <c r="AP79" i="13"/>
  <c r="AN54" i="13"/>
  <c r="AK74" i="13"/>
  <c r="AI87" i="13"/>
  <c r="AI76" i="13"/>
  <c r="AJ85" i="13"/>
  <c r="AK65" i="13"/>
  <c r="AQ78" i="13"/>
  <c r="AL55" i="13"/>
  <c r="AP76" i="13"/>
  <c r="AJ75" i="13"/>
  <c r="AL86" i="13"/>
  <c r="AL58" i="13"/>
  <c r="AN64" i="13"/>
  <c r="AP77" i="13"/>
  <c r="AQ60" i="13"/>
  <c r="AJ80" i="13"/>
  <c r="AQ86" i="13"/>
  <c r="AK54" i="13"/>
  <c r="AI66" i="13"/>
  <c r="AN81" i="13"/>
  <c r="AN67" i="13"/>
  <c r="AQ76" i="13"/>
  <c r="AK81" i="13"/>
  <c r="AI74" i="13"/>
  <c r="AP74" i="13"/>
  <c r="AJ84" i="13"/>
  <c r="AJ87" i="13"/>
  <c r="AL56" i="13"/>
  <c r="AP66" i="13"/>
  <c r="AP75" i="13"/>
  <c r="AP58" i="13"/>
  <c r="AJ78" i="13"/>
  <c r="AJ60" i="13"/>
  <c r="AL65" i="13"/>
  <c r="AN79" i="13"/>
  <c r="AP65" i="13"/>
  <c r="AN60" i="13"/>
  <c r="AK79" i="13"/>
  <c r="AN86" i="13"/>
  <c r="AQ64" i="13"/>
  <c r="AI54" i="13"/>
  <c r="AL74" i="13"/>
  <c r="AI86" i="13"/>
  <c r="AP56" i="13"/>
  <c r="AJ76" i="13"/>
  <c r="AK85" i="13"/>
  <c r="AJ58" i="13"/>
  <c r="AN66" i="13"/>
  <c r="AN77" i="13"/>
  <c r="AL81" i="13"/>
  <c r="AN85" i="13"/>
  <c r="AQ57" i="13"/>
  <c r="AK77" i="13"/>
  <c r="AQ85" i="13"/>
  <c r="AP67" i="13"/>
  <c r="AK75" i="13"/>
  <c r="AN61" i="13"/>
  <c r="AK80" i="13"/>
  <c r="AL54" i="13"/>
  <c r="AI65" i="13"/>
  <c r="AJ56" i="13"/>
  <c r="AQ65" i="13"/>
  <c r="AN75" i="13"/>
  <c r="AL79" i="13"/>
  <c r="AQ55" i="13"/>
  <c r="FO33" i="13"/>
  <c r="FO24" i="13"/>
  <c r="FO22" i="13"/>
  <c r="FO16" i="13"/>
  <c r="FO10" i="13"/>
  <c r="FE16" i="13"/>
  <c r="ES10" i="13"/>
  <c r="EL35" i="13"/>
  <c r="EX35" i="13"/>
  <c r="FD35" i="13" s="1"/>
  <c r="EL36" i="13"/>
  <c r="EX36" i="13"/>
  <c r="FD36" i="13" s="1"/>
  <c r="EX24" i="13"/>
  <c r="FD24" i="13" s="1"/>
  <c r="EL24" i="13"/>
  <c r="EN27" i="13"/>
  <c r="EZ27" i="13"/>
  <c r="FF27" i="13" s="1"/>
  <c r="EL41" i="13"/>
  <c r="EX41" i="13"/>
  <c r="FD41" i="13" s="1"/>
  <c r="EL13" i="13"/>
  <c r="EX13" i="13"/>
  <c r="FD13" i="13" s="1"/>
  <c r="EL12" i="13"/>
  <c r="EX12" i="13"/>
  <c r="FD12" i="13" s="1"/>
  <c r="EL27" i="13"/>
  <c r="EX27" i="13"/>
  <c r="FD27" i="13" s="1"/>
  <c r="EL9" i="13"/>
  <c r="EX9" i="13"/>
  <c r="FD9" i="13" s="1"/>
  <c r="EN19" i="13"/>
  <c r="EZ19" i="13"/>
  <c r="FF19" i="13" s="1"/>
  <c r="EN40" i="13"/>
  <c r="EZ40" i="13"/>
  <c r="FF40" i="13" s="1"/>
  <c r="EL22" i="13"/>
  <c r="EX22" i="13"/>
  <c r="FD22" i="13" s="1"/>
  <c r="FE33" i="13"/>
  <c r="FE9" i="13"/>
  <c r="EL17" i="13"/>
  <c r="EX17" i="13"/>
  <c r="FD17" i="13" s="1"/>
  <c r="EL42" i="13"/>
  <c r="EX42" i="13"/>
  <c r="FD42" i="13" s="1"/>
  <c r="ES8" i="13"/>
  <c r="EL29" i="13"/>
  <c r="EX29" i="13"/>
  <c r="FD29" i="13" s="1"/>
  <c r="EN37" i="13"/>
  <c r="EZ37" i="13"/>
  <c r="FF37" i="13" s="1"/>
  <c r="EL26" i="13"/>
  <c r="EX26" i="13"/>
  <c r="FD26" i="13" s="1"/>
  <c r="EL32" i="13"/>
  <c r="EX32" i="13"/>
  <c r="FD32" i="13" s="1"/>
  <c r="EL23" i="13"/>
  <c r="EX23" i="13"/>
  <c r="FD23" i="13" s="1"/>
  <c r="EZ24" i="13"/>
  <c r="FF24" i="13" s="1"/>
  <c r="EN24" i="13"/>
  <c r="EN48" i="13"/>
  <c r="EZ48" i="13"/>
  <c r="FF48" i="13" s="1"/>
  <c r="EN42" i="13"/>
  <c r="EZ42" i="13"/>
  <c r="FF42" i="13" s="1"/>
  <c r="EN29" i="13"/>
  <c r="EZ29" i="13"/>
  <c r="FF29" i="13" s="1"/>
  <c r="EN17" i="13"/>
  <c r="EZ17" i="13"/>
  <c r="FF17" i="13" s="1"/>
  <c r="FC8" i="13"/>
  <c r="EZ8" i="13"/>
  <c r="FF8" i="13" s="1"/>
  <c r="EN8" i="13"/>
  <c r="EZ15" i="13"/>
  <c r="FF15" i="13" s="1"/>
  <c r="EN15" i="13"/>
  <c r="EN30" i="13"/>
  <c r="EZ30" i="13"/>
  <c r="FF30" i="13" s="1"/>
  <c r="EN36" i="13"/>
  <c r="EZ36" i="13"/>
  <c r="FF36" i="13" s="1"/>
  <c r="EZ23" i="13"/>
  <c r="FF23" i="13" s="1"/>
  <c r="EN23" i="13"/>
  <c r="EL44" i="13"/>
  <c r="EX44" i="13"/>
  <c r="FD44" i="13" s="1"/>
  <c r="EN34" i="13"/>
  <c r="EZ34" i="13"/>
  <c r="FF34" i="13" s="1"/>
  <c r="EN25" i="13"/>
  <c r="EZ25" i="13"/>
  <c r="FF25" i="13" s="1"/>
  <c r="EX10" i="13"/>
  <c r="FD10" i="13" s="1"/>
  <c r="EL10" i="13"/>
  <c r="EL50" i="13"/>
  <c r="EX50" i="13"/>
  <c r="FD50" i="13" s="1"/>
  <c r="EL39" i="13"/>
  <c r="EX39" i="13"/>
  <c r="FD39" i="13" s="1"/>
  <c r="EL46" i="13"/>
  <c r="EX46" i="13"/>
  <c r="FD46" i="13" s="1"/>
  <c r="EL30" i="13"/>
  <c r="EX30" i="13"/>
  <c r="FD30" i="13" s="1"/>
  <c r="EZ22" i="13"/>
  <c r="FF22" i="13" s="1"/>
  <c r="EN22" i="13"/>
  <c r="FE28" i="13"/>
  <c r="FE8" i="13"/>
  <c r="EL47" i="13"/>
  <c r="EX47" i="13"/>
  <c r="FD47" i="13" s="1"/>
  <c r="EN20" i="13"/>
  <c r="EZ20" i="13"/>
  <c r="FF20" i="13" s="1"/>
  <c r="EL51" i="13"/>
  <c r="EX51" i="13"/>
  <c r="FD51" i="13" s="1"/>
  <c r="EN12" i="13"/>
  <c r="EZ12" i="13"/>
  <c r="FF12" i="13" s="1"/>
  <c r="EN39" i="13"/>
  <c r="EZ39" i="13"/>
  <c r="FF39" i="13" s="1"/>
  <c r="EN35" i="13"/>
  <c r="EZ35" i="13"/>
  <c r="FF35" i="13" s="1"/>
  <c r="EZ13" i="13"/>
  <c r="EN13" i="13"/>
  <c r="EN41" i="13"/>
  <c r="EZ41" i="13"/>
  <c r="FF41" i="13" s="1"/>
  <c r="EN43" i="13"/>
  <c r="EZ43" i="13"/>
  <c r="FF43" i="13" s="1"/>
  <c r="EL33" i="13"/>
  <c r="EX33" i="13"/>
  <c r="FD33" i="13" s="1"/>
  <c r="EZ14" i="13"/>
  <c r="EN14" i="13"/>
  <c r="EZ21" i="13"/>
  <c r="FF21" i="13" s="1"/>
  <c r="EN21" i="13"/>
  <c r="EL19" i="13"/>
  <c r="EX19" i="13"/>
  <c r="ES16" i="13"/>
  <c r="EZ10" i="13"/>
  <c r="FF10" i="13" s="1"/>
  <c r="EN10" i="13"/>
  <c r="ES33" i="13"/>
  <c r="ES24" i="13"/>
  <c r="EL34" i="13"/>
  <c r="EX34" i="13"/>
  <c r="FD34" i="13" s="1"/>
  <c r="EL45" i="13"/>
  <c r="EX45" i="13"/>
  <c r="EL20" i="13"/>
  <c r="EX20" i="13"/>
  <c r="FD20" i="13" s="1"/>
  <c r="EZ16" i="13"/>
  <c r="FF16" i="13" s="1"/>
  <c r="EN16" i="13"/>
  <c r="EL43" i="13"/>
  <c r="EX43" i="13"/>
  <c r="FD43" i="13" s="1"/>
  <c r="EL37" i="13"/>
  <c r="EX37" i="13"/>
  <c r="FD37" i="13" s="1"/>
  <c r="EL38" i="13"/>
  <c r="EX38" i="13"/>
  <c r="FD38" i="13" s="1"/>
  <c r="EL11" i="13"/>
  <c r="EX11" i="13"/>
  <c r="FD11" i="13" s="1"/>
  <c r="EX16" i="13"/>
  <c r="FD16" i="13" s="1"/>
  <c r="EL16" i="13"/>
  <c r="EL49" i="13"/>
  <c r="EX49" i="13"/>
  <c r="FD49" i="13" s="1"/>
  <c r="ES22" i="13"/>
  <c r="FE24" i="13"/>
  <c r="EN44" i="13"/>
  <c r="EZ44" i="13"/>
  <c r="FF44" i="13" s="1"/>
  <c r="EN31" i="13"/>
  <c r="EZ31" i="13"/>
  <c r="ES9" i="13"/>
  <c r="EN32" i="13"/>
  <c r="EZ32" i="13"/>
  <c r="FF32" i="13" s="1"/>
  <c r="EN38" i="13"/>
  <c r="EZ38" i="13"/>
  <c r="FF38" i="13" s="1"/>
  <c r="EL21" i="13"/>
  <c r="EX21" i="13"/>
  <c r="FD21" i="13" s="1"/>
  <c r="EN33" i="13"/>
  <c r="EZ33" i="13"/>
  <c r="FF33" i="13" s="1"/>
  <c r="EZ18" i="13"/>
  <c r="FF18" i="13" s="1"/>
  <c r="EN18" i="13"/>
  <c r="EN11" i="13"/>
  <c r="EZ11" i="13"/>
  <c r="FF11" i="13" s="1"/>
  <c r="EN45" i="13"/>
  <c r="EZ45" i="13"/>
  <c r="FF45" i="13" s="1"/>
  <c r="FE10" i="13"/>
  <c r="EL31" i="13"/>
  <c r="EX31" i="13"/>
  <c r="FD31" i="13" s="1"/>
  <c r="EL14" i="13"/>
  <c r="EX14" i="13"/>
  <c r="FD14" i="13" s="1"/>
  <c r="ES28" i="13"/>
  <c r="EL28" i="13"/>
  <c r="EX28" i="13"/>
  <c r="FD28" i="13" s="1"/>
  <c r="EN26" i="13"/>
  <c r="EZ26" i="13"/>
  <c r="EN9" i="13"/>
  <c r="EZ9" i="13"/>
  <c r="FF9" i="13" s="1"/>
  <c r="EL40" i="13"/>
  <c r="EX40" i="13"/>
  <c r="FD40" i="13" s="1"/>
  <c r="EN47" i="13"/>
  <c r="EZ47" i="13"/>
  <c r="FF47" i="13" s="1"/>
  <c r="EN28" i="13"/>
  <c r="EZ28" i="13"/>
  <c r="EN46" i="13"/>
  <c r="EZ46" i="13"/>
  <c r="FF46" i="13" s="1"/>
  <c r="EL48" i="13"/>
  <c r="EX48" i="13"/>
  <c r="FD48" i="13" s="1"/>
  <c r="EN49" i="13"/>
  <c r="EZ49" i="13"/>
  <c r="FF49" i="13" s="1"/>
  <c r="EL15" i="13"/>
  <c r="EX15" i="13"/>
  <c r="FD15" i="13" s="1"/>
  <c r="EL25" i="13"/>
  <c r="EX25" i="13"/>
  <c r="EX18" i="13"/>
  <c r="FD18" i="13" s="1"/>
  <c r="EL18" i="13"/>
  <c r="EN50" i="13"/>
  <c r="EZ50" i="13"/>
  <c r="FF50" i="13" s="1"/>
  <c r="EM51" i="13"/>
  <c r="EY51" i="13"/>
  <c r="FE51" i="13" s="1"/>
  <c r="FE22" i="13"/>
  <c r="EL8" i="13"/>
  <c r="EX8" i="13"/>
  <c r="FH8" i="13" s="1"/>
  <c r="FJ8" i="13" s="1"/>
  <c r="H9" i="36" s="1"/>
  <c r="N51" i="20"/>
  <c r="P33" i="19"/>
  <c r="P24" i="19"/>
  <c r="P10" i="19"/>
  <c r="P8" i="19"/>
  <c r="P9" i="19"/>
  <c r="P22" i="19"/>
  <c r="P28" i="19"/>
  <c r="P16" i="19"/>
  <c r="W51" i="30"/>
  <c r="W51" i="29"/>
  <c r="U51" i="30"/>
  <c r="BS51" i="13"/>
  <c r="R51" i="30"/>
  <c r="R51" i="29"/>
  <c r="DZ112" i="13"/>
  <c r="M51" i="18"/>
  <c r="BS112" i="13"/>
  <c r="N51" i="18" s="1"/>
  <c r="I7" i="30"/>
  <c r="I7" i="29"/>
  <c r="M48" i="30"/>
  <c r="M48" i="29"/>
  <c r="J47" i="30"/>
  <c r="J47" i="29"/>
  <c r="L45" i="30"/>
  <c r="L45" i="29"/>
  <c r="I44" i="30"/>
  <c r="I44" i="29"/>
  <c r="K42" i="30"/>
  <c r="K42" i="29"/>
  <c r="I40" i="30"/>
  <c r="I40" i="29"/>
  <c r="J39" i="30"/>
  <c r="J39" i="29"/>
  <c r="L37" i="30"/>
  <c r="L37" i="29"/>
  <c r="I36" i="30"/>
  <c r="I36" i="29"/>
  <c r="K34" i="30"/>
  <c r="K34" i="29"/>
  <c r="I32" i="30"/>
  <c r="I32" i="29"/>
  <c r="J31" i="30"/>
  <c r="J31" i="29"/>
  <c r="L29" i="30"/>
  <c r="L29" i="29"/>
  <c r="I28" i="30"/>
  <c r="I28" i="29"/>
  <c r="K26" i="30"/>
  <c r="K26" i="29"/>
  <c r="I24" i="30"/>
  <c r="I24" i="29"/>
  <c r="K22" i="30"/>
  <c r="K22" i="29"/>
  <c r="M20" i="30"/>
  <c r="M20" i="29"/>
  <c r="J19" i="30"/>
  <c r="J19" i="29"/>
  <c r="L17" i="30"/>
  <c r="L17" i="29"/>
  <c r="I16" i="30"/>
  <c r="I16" i="29"/>
  <c r="K14" i="30"/>
  <c r="K14" i="29"/>
  <c r="M12" i="30"/>
  <c r="M12" i="29"/>
  <c r="J11" i="30"/>
  <c r="J11" i="29"/>
  <c r="K10" i="30"/>
  <c r="K10" i="29"/>
  <c r="M8" i="30"/>
  <c r="M8" i="29"/>
  <c r="U8" i="30"/>
  <c r="U8" i="29"/>
  <c r="U46" i="30"/>
  <c r="U46" i="29"/>
  <c r="U50" i="30"/>
  <c r="U50" i="29"/>
  <c r="N41" i="19"/>
  <c r="U41" i="30"/>
  <c r="U41" i="29"/>
  <c r="P18" i="30"/>
  <c r="P18" i="29"/>
  <c r="R36" i="30"/>
  <c r="R36" i="29"/>
  <c r="R45" i="30"/>
  <c r="R45" i="29"/>
  <c r="V32" i="30"/>
  <c r="V32" i="29"/>
  <c r="R20" i="30"/>
  <c r="R20" i="29"/>
  <c r="P15" i="30"/>
  <c r="P15" i="29"/>
  <c r="P17" i="30"/>
  <c r="P17" i="29"/>
  <c r="R37" i="30"/>
  <c r="R37" i="29"/>
  <c r="R12" i="30"/>
  <c r="R12" i="29"/>
  <c r="P36" i="30"/>
  <c r="P36" i="29"/>
  <c r="P23" i="30"/>
  <c r="P23" i="29"/>
  <c r="V28" i="30"/>
  <c r="V28" i="29"/>
  <c r="V11" i="30"/>
  <c r="V11" i="29"/>
  <c r="V48" i="30"/>
  <c r="V48" i="29"/>
  <c r="R15" i="30"/>
  <c r="R15" i="29"/>
  <c r="P9" i="30"/>
  <c r="P9" i="29"/>
  <c r="P45" i="30"/>
  <c r="P45" i="29"/>
  <c r="G7" i="30"/>
  <c r="G7" i="29"/>
  <c r="I49" i="30"/>
  <c r="I49" i="29"/>
  <c r="K47" i="30"/>
  <c r="K47" i="29"/>
  <c r="M45" i="30"/>
  <c r="M45" i="29"/>
  <c r="J44" i="30"/>
  <c r="J44" i="29"/>
  <c r="L42" i="30"/>
  <c r="L42" i="29"/>
  <c r="M41" i="30"/>
  <c r="M41" i="29"/>
  <c r="K39" i="30"/>
  <c r="K39" i="29"/>
  <c r="M37" i="30"/>
  <c r="M37" i="29"/>
  <c r="J36" i="30"/>
  <c r="J36" i="29"/>
  <c r="L34" i="30"/>
  <c r="L34" i="29"/>
  <c r="M33" i="30"/>
  <c r="M33" i="29"/>
  <c r="J32" i="30"/>
  <c r="J32" i="29"/>
  <c r="M29" i="30"/>
  <c r="M29" i="29"/>
  <c r="J28" i="30"/>
  <c r="J28" i="29"/>
  <c r="L26" i="30"/>
  <c r="L26" i="29"/>
  <c r="I25" i="30"/>
  <c r="I25" i="29"/>
  <c r="K23" i="30"/>
  <c r="K23" i="29"/>
  <c r="L22" i="30"/>
  <c r="L22" i="29"/>
  <c r="I21" i="30"/>
  <c r="I21" i="29"/>
  <c r="J20" i="30"/>
  <c r="J20" i="29"/>
  <c r="L18" i="30"/>
  <c r="L18" i="29"/>
  <c r="I17" i="30"/>
  <c r="I17" i="29"/>
  <c r="K15" i="30"/>
  <c r="K15" i="29"/>
  <c r="M13" i="30"/>
  <c r="M13" i="29"/>
  <c r="J12" i="30"/>
  <c r="J12" i="29"/>
  <c r="L10" i="30"/>
  <c r="L10" i="29"/>
  <c r="I9" i="30"/>
  <c r="I9" i="29"/>
  <c r="U18" i="30"/>
  <c r="U18" i="29"/>
  <c r="U33" i="30"/>
  <c r="U33" i="29"/>
  <c r="U44" i="30"/>
  <c r="U44" i="29"/>
  <c r="U43" i="30"/>
  <c r="U43" i="29"/>
  <c r="V44" i="30"/>
  <c r="V44" i="29"/>
  <c r="V39" i="30"/>
  <c r="V39" i="29"/>
  <c r="V23" i="30"/>
  <c r="V23" i="29"/>
  <c r="V35" i="30"/>
  <c r="V35" i="29"/>
  <c r="V13" i="30"/>
  <c r="V13" i="29"/>
  <c r="R40" i="30"/>
  <c r="R40" i="29"/>
  <c r="R32" i="30"/>
  <c r="R32" i="29"/>
  <c r="P34" i="30"/>
  <c r="P34" i="29"/>
  <c r="R42" i="30"/>
  <c r="R42" i="29"/>
  <c r="P27" i="30"/>
  <c r="P27" i="29"/>
  <c r="R49" i="30"/>
  <c r="R49" i="29"/>
  <c r="V14" i="30"/>
  <c r="V14" i="29"/>
  <c r="P33" i="30"/>
  <c r="P33" i="29"/>
  <c r="V22" i="30"/>
  <c r="V22" i="29"/>
  <c r="M7" i="30"/>
  <c r="M7" i="29"/>
  <c r="L50" i="30"/>
  <c r="L50" i="29"/>
  <c r="K48" i="30"/>
  <c r="K48" i="29"/>
  <c r="L47" i="30"/>
  <c r="L47" i="29"/>
  <c r="I46" i="30"/>
  <c r="I46" i="29"/>
  <c r="K44" i="30"/>
  <c r="K44" i="29"/>
  <c r="M42" i="30"/>
  <c r="M42" i="29"/>
  <c r="J41" i="30"/>
  <c r="J41" i="29"/>
  <c r="L39" i="30"/>
  <c r="L39" i="29"/>
  <c r="I38" i="30"/>
  <c r="I38" i="29"/>
  <c r="K36" i="30"/>
  <c r="K36" i="29"/>
  <c r="M34" i="30"/>
  <c r="M34" i="29"/>
  <c r="J33" i="30"/>
  <c r="J33" i="29"/>
  <c r="H7" i="30"/>
  <c r="H7" i="29"/>
  <c r="M50" i="30"/>
  <c r="M50" i="29"/>
  <c r="I50" i="30"/>
  <c r="I50" i="29"/>
  <c r="L48" i="30"/>
  <c r="L48" i="29"/>
  <c r="M47" i="30"/>
  <c r="M47" i="29"/>
  <c r="I47" i="30"/>
  <c r="I47" i="29"/>
  <c r="J46" i="30"/>
  <c r="J46" i="29"/>
  <c r="K45" i="30"/>
  <c r="K45" i="29"/>
  <c r="L44" i="30"/>
  <c r="L44" i="29"/>
  <c r="M43" i="30"/>
  <c r="M43" i="29"/>
  <c r="I43" i="30"/>
  <c r="I43" i="29"/>
  <c r="J42" i="30"/>
  <c r="J42" i="29"/>
  <c r="K41" i="30"/>
  <c r="K41" i="29"/>
  <c r="L40" i="30"/>
  <c r="L40" i="29"/>
  <c r="M39" i="30"/>
  <c r="M39" i="29"/>
  <c r="I39" i="30"/>
  <c r="I39" i="29"/>
  <c r="J38" i="30"/>
  <c r="J38" i="29"/>
  <c r="K37" i="30"/>
  <c r="K37" i="29"/>
  <c r="L36" i="30"/>
  <c r="L36" i="29"/>
  <c r="M35" i="30"/>
  <c r="M35" i="29"/>
  <c r="I35" i="30"/>
  <c r="I35" i="29"/>
  <c r="J34" i="30"/>
  <c r="J34" i="29"/>
  <c r="K33" i="30"/>
  <c r="K33" i="29"/>
  <c r="L32" i="30"/>
  <c r="L32" i="29"/>
  <c r="M31" i="30"/>
  <c r="M31" i="29"/>
  <c r="I31" i="30"/>
  <c r="I31" i="29"/>
  <c r="J30" i="30"/>
  <c r="J30" i="29"/>
  <c r="K29" i="30"/>
  <c r="K29" i="29"/>
  <c r="L28" i="30"/>
  <c r="L28" i="29"/>
  <c r="M27" i="30"/>
  <c r="M27" i="29"/>
  <c r="I27" i="30"/>
  <c r="I27" i="29"/>
  <c r="J26" i="30"/>
  <c r="J26" i="29"/>
  <c r="K25" i="30"/>
  <c r="K25" i="29"/>
  <c r="L24" i="30"/>
  <c r="L24" i="29"/>
  <c r="M23" i="30"/>
  <c r="M23" i="29"/>
  <c r="I23" i="30"/>
  <c r="I23" i="29"/>
  <c r="J22" i="30"/>
  <c r="J22" i="29"/>
  <c r="K21" i="30"/>
  <c r="K21" i="29"/>
  <c r="L20" i="30"/>
  <c r="L20" i="29"/>
  <c r="M19" i="30"/>
  <c r="M19" i="29"/>
  <c r="I19" i="30"/>
  <c r="I19" i="29"/>
  <c r="J18" i="30"/>
  <c r="J18" i="29"/>
  <c r="K17" i="30"/>
  <c r="K17" i="29"/>
  <c r="L16" i="30"/>
  <c r="L16" i="29"/>
  <c r="M15" i="30"/>
  <c r="M15" i="29"/>
  <c r="I15" i="30"/>
  <c r="I15" i="29"/>
  <c r="J14" i="30"/>
  <c r="J14" i="29"/>
  <c r="K13" i="30"/>
  <c r="K13" i="29"/>
  <c r="L12" i="30"/>
  <c r="L12" i="29"/>
  <c r="M11" i="30"/>
  <c r="M11" i="29"/>
  <c r="I11" i="30"/>
  <c r="I11" i="29"/>
  <c r="J10" i="30"/>
  <c r="J10" i="29"/>
  <c r="K9" i="30"/>
  <c r="K9" i="29"/>
  <c r="L8" i="30"/>
  <c r="L8" i="29"/>
  <c r="U32" i="30"/>
  <c r="U32" i="29"/>
  <c r="U11" i="30"/>
  <c r="U11" i="29"/>
  <c r="U37" i="30"/>
  <c r="U37" i="29"/>
  <c r="U36" i="30"/>
  <c r="U36" i="29"/>
  <c r="U38" i="30"/>
  <c r="U38" i="29"/>
  <c r="U35" i="30"/>
  <c r="U35" i="29"/>
  <c r="U28" i="30"/>
  <c r="U28" i="29"/>
  <c r="U26" i="30"/>
  <c r="U26" i="29"/>
  <c r="U25" i="30"/>
  <c r="U25" i="29"/>
  <c r="U27" i="30"/>
  <c r="U27" i="29"/>
  <c r="U19" i="30"/>
  <c r="U19" i="29"/>
  <c r="N23" i="19"/>
  <c r="U23" i="30"/>
  <c r="U23" i="29"/>
  <c r="R29" i="30"/>
  <c r="R29" i="29"/>
  <c r="P48" i="30"/>
  <c r="P48" i="29"/>
  <c r="R47" i="30"/>
  <c r="R47" i="29"/>
  <c r="P20" i="30"/>
  <c r="P20" i="29"/>
  <c r="R13" i="30"/>
  <c r="R13" i="29"/>
  <c r="V16" i="30"/>
  <c r="V16" i="29"/>
  <c r="P39" i="30"/>
  <c r="P39" i="29"/>
  <c r="P10" i="30"/>
  <c r="P10" i="29"/>
  <c r="R26" i="30"/>
  <c r="R26" i="29"/>
  <c r="V33" i="30"/>
  <c r="V33" i="29"/>
  <c r="P8" i="30"/>
  <c r="P8" i="29"/>
  <c r="R9" i="30"/>
  <c r="R9" i="29"/>
  <c r="V47" i="30"/>
  <c r="V47" i="29"/>
  <c r="V41" i="30"/>
  <c r="V41" i="29"/>
  <c r="R10" i="30"/>
  <c r="R10" i="29"/>
  <c r="V46" i="30"/>
  <c r="V46" i="29"/>
  <c r="R16" i="30"/>
  <c r="R16" i="29"/>
  <c r="R50" i="30"/>
  <c r="R50" i="29"/>
  <c r="V45" i="30"/>
  <c r="V45" i="29"/>
  <c r="R33" i="30"/>
  <c r="R33" i="29"/>
  <c r="P46" i="30"/>
  <c r="P46" i="29"/>
  <c r="R46" i="30"/>
  <c r="R46" i="29"/>
  <c r="P24" i="30"/>
  <c r="P24" i="29"/>
  <c r="V20" i="30"/>
  <c r="V20" i="29"/>
  <c r="V21" i="30"/>
  <c r="V21" i="29"/>
  <c r="R18" i="30"/>
  <c r="R18" i="29"/>
  <c r="P31" i="30"/>
  <c r="P31" i="29"/>
  <c r="N20" i="19"/>
  <c r="U20" i="30"/>
  <c r="U20" i="29"/>
  <c r="R22" i="30"/>
  <c r="R22" i="29"/>
  <c r="N22" i="19"/>
  <c r="U22" i="30"/>
  <c r="U22" i="29"/>
  <c r="J50" i="30"/>
  <c r="J50" i="29"/>
  <c r="I48" i="30"/>
  <c r="I48" i="29"/>
  <c r="K46" i="30"/>
  <c r="K46" i="29"/>
  <c r="M44" i="30"/>
  <c r="M44" i="29"/>
  <c r="J43" i="30"/>
  <c r="J43" i="29"/>
  <c r="L41" i="30"/>
  <c r="L41" i="29"/>
  <c r="M40" i="30"/>
  <c r="M40" i="29"/>
  <c r="K38" i="30"/>
  <c r="K38" i="29"/>
  <c r="M36" i="30"/>
  <c r="M36" i="29"/>
  <c r="J35" i="30"/>
  <c r="J35" i="29"/>
  <c r="L33" i="30"/>
  <c r="L33" i="29"/>
  <c r="M32" i="30"/>
  <c r="M32" i="29"/>
  <c r="K30" i="30"/>
  <c r="K30" i="29"/>
  <c r="M28" i="30"/>
  <c r="M28" i="29"/>
  <c r="J27" i="30"/>
  <c r="J27" i="29"/>
  <c r="L25" i="30"/>
  <c r="L25" i="29"/>
  <c r="M24" i="30"/>
  <c r="M24" i="29"/>
  <c r="J23" i="30"/>
  <c r="J23" i="29"/>
  <c r="L21" i="30"/>
  <c r="L21" i="29"/>
  <c r="I20" i="30"/>
  <c r="I20" i="29"/>
  <c r="K18" i="30"/>
  <c r="K18" i="29"/>
  <c r="M16" i="30"/>
  <c r="M16" i="29"/>
  <c r="J15" i="30"/>
  <c r="J15" i="29"/>
  <c r="L13" i="30"/>
  <c r="L13" i="29"/>
  <c r="I12" i="30"/>
  <c r="I12" i="29"/>
  <c r="L9" i="30"/>
  <c r="L9" i="29"/>
  <c r="U13" i="30"/>
  <c r="U13" i="29"/>
  <c r="U29" i="30"/>
  <c r="U29" i="29"/>
  <c r="U9" i="30"/>
  <c r="U9" i="29"/>
  <c r="N17" i="19"/>
  <c r="U17" i="30"/>
  <c r="U17" i="29"/>
  <c r="R28" i="30"/>
  <c r="R28" i="29"/>
  <c r="P26" i="30"/>
  <c r="P26" i="29"/>
  <c r="P38" i="30"/>
  <c r="P38" i="29"/>
  <c r="P47" i="30"/>
  <c r="P47" i="29"/>
  <c r="R17" i="30"/>
  <c r="R17" i="29"/>
  <c r="V27" i="30"/>
  <c r="V27" i="29"/>
  <c r="R41" i="30"/>
  <c r="R41" i="29"/>
  <c r="V31" i="30"/>
  <c r="V31" i="29"/>
  <c r="R38" i="30"/>
  <c r="R38" i="29"/>
  <c r="R27" i="30"/>
  <c r="R27" i="29"/>
  <c r="P25" i="30"/>
  <c r="P25" i="29"/>
  <c r="R23" i="30"/>
  <c r="R23" i="29"/>
  <c r="V43" i="30"/>
  <c r="V43" i="29"/>
  <c r="V49" i="30"/>
  <c r="V49" i="29"/>
  <c r="P44" i="30"/>
  <c r="P44" i="29"/>
  <c r="V17" i="30"/>
  <c r="V17" i="29"/>
  <c r="K7" i="30"/>
  <c r="K7" i="29"/>
  <c r="H57" i="13"/>
  <c r="I57" i="13"/>
  <c r="H54" i="13"/>
  <c r="I55" i="13"/>
  <c r="I54" i="13"/>
  <c r="H55" i="13"/>
  <c r="DB67" i="13"/>
  <c r="CW67" i="13"/>
  <c r="DB66" i="13"/>
  <c r="CW66" i="13"/>
  <c r="DB65" i="13"/>
  <c r="CW65" i="13"/>
  <c r="DB64" i="13"/>
  <c r="CW64" i="13"/>
  <c r="DB61" i="13"/>
  <c r="DB60" i="13"/>
  <c r="DB59" i="13"/>
  <c r="DB58" i="13"/>
  <c r="DB57" i="13"/>
  <c r="DB55" i="13"/>
  <c r="DB54" i="13"/>
  <c r="CD67" i="13"/>
  <c r="BY67" i="13"/>
  <c r="CD66" i="13"/>
  <c r="BY66" i="13"/>
  <c r="CD65" i="13"/>
  <c r="BY65" i="13"/>
  <c r="CD64" i="13"/>
  <c r="BY64" i="13"/>
  <c r="CD61" i="13"/>
  <c r="BY61" i="13"/>
  <c r="CD60" i="13"/>
  <c r="BY60" i="13"/>
  <c r="CD59" i="13"/>
  <c r="BY59" i="13"/>
  <c r="CD58" i="13"/>
  <c r="BY58" i="13"/>
  <c r="CD57" i="13"/>
  <c r="BY57" i="13"/>
  <c r="BK67" i="13"/>
  <c r="BF67" i="13"/>
  <c r="BK66" i="13"/>
  <c r="BF66" i="13"/>
  <c r="BK65" i="13"/>
  <c r="BF65" i="13"/>
  <c r="BK64" i="13"/>
  <c r="BF64" i="13"/>
  <c r="BL56" i="13"/>
  <c r="BL55" i="13"/>
  <c r="BL54" i="13"/>
  <c r="R67" i="13"/>
  <c r="M67" i="13"/>
  <c r="R66" i="13"/>
  <c r="M66" i="13"/>
  <c r="R65" i="13"/>
  <c r="M65" i="13"/>
  <c r="R64" i="13"/>
  <c r="M64" i="13"/>
  <c r="CT67" i="13"/>
  <c r="CT66" i="13"/>
  <c r="CT65" i="13"/>
  <c r="CT64" i="13"/>
  <c r="CA56" i="13"/>
  <c r="CA55" i="13"/>
  <c r="CA54" i="13"/>
  <c r="BL66" i="13"/>
  <c r="BL65" i="13"/>
  <c r="BL64" i="13"/>
  <c r="BG64" i="13"/>
  <c r="CF67" i="13"/>
  <c r="CF66" i="13"/>
  <c r="CF65" i="13"/>
  <c r="CF64" i="13"/>
  <c r="CF61" i="13"/>
  <c r="CF60" i="13"/>
  <c r="CF59" i="13"/>
  <c r="CF58" i="13"/>
  <c r="CF57" i="13"/>
  <c r="CG56" i="13"/>
  <c r="CG55" i="13"/>
  <c r="CG54" i="13"/>
  <c r="BD67" i="13"/>
  <c r="BD66" i="13"/>
  <c r="BI64" i="13"/>
  <c r="BD64" i="13"/>
  <c r="O67" i="13"/>
  <c r="O66" i="13"/>
  <c r="O65" i="13"/>
  <c r="O64" i="13"/>
  <c r="DA67" i="13"/>
  <c r="CV67" i="13"/>
  <c r="DA66" i="13"/>
  <c r="CV66" i="13"/>
  <c r="DA65" i="13"/>
  <c r="CV65" i="13"/>
  <c r="DA64" i="13"/>
  <c r="CV64" i="13"/>
  <c r="DB56" i="13"/>
  <c r="CG67" i="13"/>
  <c r="CB67" i="13"/>
  <c r="CG66" i="13"/>
  <c r="CB66" i="13"/>
  <c r="CG65" i="13"/>
  <c r="CB65" i="13"/>
  <c r="CG64" i="13"/>
  <c r="CB64" i="13"/>
  <c r="CG61" i="13"/>
  <c r="CB61" i="13"/>
  <c r="CG60" i="13"/>
  <c r="CB60" i="13"/>
  <c r="CG59" i="13"/>
  <c r="CB59" i="13"/>
  <c r="CG58" i="13"/>
  <c r="CB58" i="13"/>
  <c r="CG57" i="13"/>
  <c r="CB57" i="13"/>
  <c r="CD56" i="13"/>
  <c r="BY56" i="13"/>
  <c r="CD55" i="13"/>
  <c r="BY55" i="13"/>
  <c r="CD54" i="13"/>
  <c r="BY54" i="13"/>
  <c r="U67" i="13"/>
  <c r="P67" i="13"/>
  <c r="U66" i="13"/>
  <c r="P66" i="13"/>
  <c r="U65" i="13"/>
  <c r="P65" i="13"/>
  <c r="U64" i="13"/>
  <c r="P64" i="13"/>
  <c r="CY67" i="13"/>
  <c r="CY66" i="13"/>
  <c r="CY65" i="13"/>
  <c r="CY64" i="13"/>
  <c r="CF56" i="13"/>
  <c r="CF55" i="13"/>
  <c r="CF54" i="13"/>
  <c r="BL67" i="13"/>
  <c r="BG67" i="13"/>
  <c r="BG66" i="13"/>
  <c r="BG65" i="13"/>
  <c r="BL61" i="13"/>
  <c r="BL60" i="13"/>
  <c r="BL59" i="13"/>
  <c r="BL58" i="13"/>
  <c r="BL57" i="13"/>
  <c r="CA67" i="13"/>
  <c r="CA66" i="13"/>
  <c r="CA65" i="13"/>
  <c r="CA64" i="13"/>
  <c r="CA61" i="13"/>
  <c r="CA60" i="13"/>
  <c r="CA59" i="13"/>
  <c r="CA58" i="13"/>
  <c r="CA57" i="13"/>
  <c r="CB56" i="13"/>
  <c r="CB55" i="13"/>
  <c r="CB54" i="13"/>
  <c r="BI67" i="13"/>
  <c r="BI66" i="13"/>
  <c r="BI65" i="13"/>
  <c r="BD65" i="13"/>
  <c r="T67" i="13"/>
  <c r="T66" i="13"/>
  <c r="T65" i="13"/>
  <c r="T64" i="13"/>
  <c r="K50" i="30"/>
  <c r="K50" i="29"/>
  <c r="J48" i="30"/>
  <c r="J48" i="29"/>
  <c r="L46" i="30"/>
  <c r="L46" i="29"/>
  <c r="I45" i="30"/>
  <c r="I45" i="29"/>
  <c r="K43" i="30"/>
  <c r="K43" i="29"/>
  <c r="I41" i="30"/>
  <c r="I41" i="29"/>
  <c r="J40" i="30"/>
  <c r="J40" i="29"/>
  <c r="L38" i="30"/>
  <c r="L38" i="29"/>
  <c r="I37" i="30"/>
  <c r="I37" i="29"/>
  <c r="K35" i="30"/>
  <c r="K35" i="29"/>
  <c r="I33" i="30"/>
  <c r="I33" i="29"/>
  <c r="K31" i="30"/>
  <c r="K31" i="29"/>
  <c r="L30" i="30"/>
  <c r="L30" i="29"/>
  <c r="I29" i="30"/>
  <c r="I29" i="29"/>
  <c r="K27" i="30"/>
  <c r="K27" i="29"/>
  <c r="M25" i="30"/>
  <c r="M25" i="29"/>
  <c r="J24" i="30"/>
  <c r="J24" i="29"/>
  <c r="M21" i="30"/>
  <c r="M21" i="29"/>
  <c r="K19" i="30"/>
  <c r="K19" i="29"/>
  <c r="M17" i="30"/>
  <c r="M17" i="29"/>
  <c r="J16" i="30"/>
  <c r="J16" i="29"/>
  <c r="L14" i="30"/>
  <c r="L14" i="29"/>
  <c r="I13" i="30"/>
  <c r="I13" i="29"/>
  <c r="K11" i="30"/>
  <c r="K11" i="29"/>
  <c r="M9" i="30"/>
  <c r="M9" i="29"/>
  <c r="I8" i="30"/>
  <c r="I8" i="29"/>
  <c r="U48" i="30"/>
  <c r="U48" i="29"/>
  <c r="U24" i="30"/>
  <c r="U24" i="29"/>
  <c r="U15" i="30"/>
  <c r="U15" i="29"/>
  <c r="U10" i="30"/>
  <c r="U10" i="29"/>
  <c r="U30" i="30"/>
  <c r="U30" i="29"/>
  <c r="P32" i="30"/>
  <c r="P32" i="29"/>
  <c r="R31" i="30"/>
  <c r="R31" i="29"/>
  <c r="P41" i="30"/>
  <c r="P41" i="29"/>
  <c r="V8" i="30"/>
  <c r="V8" i="29"/>
  <c r="V36" i="30"/>
  <c r="V36" i="29"/>
  <c r="R14" i="30"/>
  <c r="R14" i="29"/>
  <c r="V25" i="30"/>
  <c r="V25" i="29"/>
  <c r="V18" i="30"/>
  <c r="V18" i="29"/>
  <c r="P14" i="30"/>
  <c r="P14" i="29"/>
  <c r="P29" i="30"/>
  <c r="P29" i="29"/>
  <c r="P13" i="30"/>
  <c r="P13" i="29"/>
  <c r="R8" i="30"/>
  <c r="R8" i="29"/>
  <c r="P11" i="30"/>
  <c r="P11" i="29"/>
  <c r="R30" i="30"/>
  <c r="R30" i="29"/>
  <c r="P49" i="30"/>
  <c r="P49" i="29"/>
  <c r="P12" i="30"/>
  <c r="P12" i="29"/>
  <c r="V50" i="30"/>
  <c r="V50" i="29"/>
  <c r="N40" i="19"/>
  <c r="U40" i="30"/>
  <c r="U40" i="29"/>
  <c r="J49" i="30"/>
  <c r="J49" i="29"/>
  <c r="M46" i="30"/>
  <c r="M46" i="29"/>
  <c r="J45" i="30"/>
  <c r="J45" i="29"/>
  <c r="L43" i="30"/>
  <c r="L43" i="29"/>
  <c r="I42" i="30"/>
  <c r="I42" i="29"/>
  <c r="K40" i="30"/>
  <c r="K40" i="29"/>
  <c r="M38" i="30"/>
  <c r="M38" i="29"/>
  <c r="J37" i="30"/>
  <c r="J37" i="29"/>
  <c r="L35" i="30"/>
  <c r="L35" i="29"/>
  <c r="I34" i="30"/>
  <c r="I34" i="29"/>
  <c r="K32" i="30"/>
  <c r="K32" i="29"/>
  <c r="L31" i="30"/>
  <c r="L31" i="29"/>
  <c r="M30" i="30"/>
  <c r="M30" i="29"/>
  <c r="I30" i="30"/>
  <c r="I30" i="29"/>
  <c r="J29" i="30"/>
  <c r="J29" i="29"/>
  <c r="K28" i="30"/>
  <c r="K28" i="29"/>
  <c r="L27" i="30"/>
  <c r="L27" i="29"/>
  <c r="M26" i="30"/>
  <c r="M26" i="29"/>
  <c r="I26" i="30"/>
  <c r="I26" i="29"/>
  <c r="J25" i="30"/>
  <c r="J25" i="29"/>
  <c r="K24" i="30"/>
  <c r="K24" i="29"/>
  <c r="L23" i="30"/>
  <c r="L23" i="29"/>
  <c r="M22" i="30"/>
  <c r="M22" i="29"/>
  <c r="I22" i="30"/>
  <c r="I22" i="29"/>
  <c r="J21" i="30"/>
  <c r="J21" i="29"/>
  <c r="K20" i="30"/>
  <c r="K20" i="29"/>
  <c r="L19" i="30"/>
  <c r="L19" i="29"/>
  <c r="M18" i="30"/>
  <c r="M18" i="29"/>
  <c r="I18" i="30"/>
  <c r="I18" i="29"/>
  <c r="J17" i="30"/>
  <c r="J17" i="29"/>
  <c r="K16" i="30"/>
  <c r="K16" i="29"/>
  <c r="L15" i="30"/>
  <c r="L15" i="29"/>
  <c r="M14" i="30"/>
  <c r="M14" i="29"/>
  <c r="I14" i="30"/>
  <c r="I14" i="29"/>
  <c r="J13" i="30"/>
  <c r="J13" i="29"/>
  <c r="K12" i="30"/>
  <c r="K12" i="29"/>
  <c r="L11" i="30"/>
  <c r="L11" i="29"/>
  <c r="M10" i="30"/>
  <c r="M10" i="29"/>
  <c r="I10" i="30"/>
  <c r="I10" i="29"/>
  <c r="J9" i="30"/>
  <c r="J9" i="29"/>
  <c r="J8" i="30"/>
  <c r="J8" i="29"/>
  <c r="Q50" i="30"/>
  <c r="Q50" i="29"/>
  <c r="U34" i="30"/>
  <c r="U34" i="29"/>
  <c r="U47" i="30"/>
  <c r="U47" i="29"/>
  <c r="U31" i="30"/>
  <c r="U31" i="29"/>
  <c r="U39" i="30"/>
  <c r="U39" i="29"/>
  <c r="U21" i="30"/>
  <c r="U21" i="29"/>
  <c r="U16" i="30"/>
  <c r="U16" i="29"/>
  <c r="U45" i="30"/>
  <c r="U45" i="29"/>
  <c r="U49" i="30"/>
  <c r="U49" i="29"/>
  <c r="U14" i="30"/>
  <c r="U14" i="29"/>
  <c r="R34" i="30"/>
  <c r="R34" i="29"/>
  <c r="R35" i="30"/>
  <c r="R35" i="29"/>
  <c r="V12" i="30"/>
  <c r="V12" i="29"/>
  <c r="P30" i="30"/>
  <c r="P30" i="29"/>
  <c r="R24" i="30"/>
  <c r="R24" i="29"/>
  <c r="P35" i="30"/>
  <c r="P35" i="29"/>
  <c r="P28" i="30"/>
  <c r="P28" i="29"/>
  <c r="V37" i="30"/>
  <c r="V37" i="29"/>
  <c r="P42" i="30"/>
  <c r="P42" i="29"/>
  <c r="V15" i="30"/>
  <c r="V15" i="29"/>
  <c r="V30" i="30"/>
  <c r="V30" i="29"/>
  <c r="V38" i="30"/>
  <c r="V38" i="29"/>
  <c r="R21" i="30"/>
  <c r="R21" i="29"/>
  <c r="R43" i="30"/>
  <c r="R43" i="29"/>
  <c r="V10" i="30"/>
  <c r="V10" i="29"/>
  <c r="V26" i="30"/>
  <c r="V26" i="29"/>
  <c r="R44" i="30"/>
  <c r="R44" i="29"/>
  <c r="V9" i="30"/>
  <c r="V9" i="29"/>
  <c r="V34" i="30"/>
  <c r="V34" i="29"/>
  <c r="P37" i="30"/>
  <c r="P37" i="29"/>
  <c r="P16" i="30"/>
  <c r="P16" i="29"/>
  <c r="R11" i="30"/>
  <c r="R11" i="29"/>
  <c r="V19" i="30"/>
  <c r="V19" i="29"/>
  <c r="P19" i="30"/>
  <c r="P19" i="29"/>
  <c r="P21" i="30"/>
  <c r="P21" i="29"/>
  <c r="V40" i="30"/>
  <c r="V40" i="29"/>
  <c r="R39" i="30"/>
  <c r="R39" i="29"/>
  <c r="R48" i="30"/>
  <c r="R48" i="29"/>
  <c r="V24" i="30"/>
  <c r="V24" i="29"/>
  <c r="P43" i="30"/>
  <c r="P43" i="29"/>
  <c r="V42" i="30"/>
  <c r="V42" i="29"/>
  <c r="P40" i="30"/>
  <c r="P40" i="29"/>
  <c r="R25" i="30"/>
  <c r="R25" i="29"/>
  <c r="V29" i="30"/>
  <c r="V29" i="29"/>
  <c r="R19" i="30"/>
  <c r="R19" i="29"/>
  <c r="N42" i="19"/>
  <c r="U42" i="30"/>
  <c r="U42" i="29"/>
  <c r="N12" i="19"/>
  <c r="U12" i="30"/>
  <c r="U12" i="29"/>
  <c r="P22" i="30"/>
  <c r="P22" i="29"/>
  <c r="U61" i="13"/>
  <c r="P61" i="13"/>
  <c r="U60" i="13"/>
  <c r="P60" i="13"/>
  <c r="U59" i="13"/>
  <c r="P59" i="13"/>
  <c r="U58" i="13"/>
  <c r="P58" i="13"/>
  <c r="U57" i="13"/>
  <c r="P57" i="13"/>
  <c r="U56" i="13"/>
  <c r="P56" i="13"/>
  <c r="U55" i="13"/>
  <c r="P55" i="13"/>
  <c r="U54" i="13"/>
  <c r="P54" i="13"/>
  <c r="O61" i="13"/>
  <c r="O60" i="13"/>
  <c r="O59" i="13"/>
  <c r="O58" i="13"/>
  <c r="O57" i="13"/>
  <c r="O56" i="13"/>
  <c r="O55" i="13"/>
  <c r="O54" i="13"/>
  <c r="T60" i="13"/>
  <c r="T58" i="13"/>
  <c r="T56" i="13"/>
  <c r="T54" i="13"/>
  <c r="M60" i="13"/>
  <c r="M58" i="13"/>
  <c r="M56" i="13"/>
  <c r="M54" i="13"/>
  <c r="R61" i="13"/>
  <c r="R60" i="13"/>
  <c r="R59" i="13"/>
  <c r="R58" i="13"/>
  <c r="R57" i="13"/>
  <c r="R56" i="13"/>
  <c r="R55" i="13"/>
  <c r="R54" i="13"/>
  <c r="T61" i="13"/>
  <c r="T59" i="13"/>
  <c r="T57" i="13"/>
  <c r="T55" i="13"/>
  <c r="M61" i="13"/>
  <c r="M59" i="13"/>
  <c r="M57" i="13"/>
  <c r="M55" i="13"/>
  <c r="BS25" i="13"/>
  <c r="BV25" i="13" s="1"/>
  <c r="BS10" i="13"/>
  <c r="DI29" i="13"/>
  <c r="BS20" i="13"/>
  <c r="DI28" i="13"/>
  <c r="M25" i="20"/>
  <c r="DI35" i="13"/>
  <c r="M14" i="18"/>
  <c r="M28" i="20"/>
  <c r="DI22" i="13"/>
  <c r="M41" i="20"/>
  <c r="DI41" i="13"/>
  <c r="M30" i="18"/>
  <c r="BS11" i="13"/>
  <c r="M29" i="18"/>
  <c r="M49" i="18"/>
  <c r="BS30" i="13"/>
  <c r="BS49" i="13"/>
  <c r="BS40" i="13"/>
  <c r="M21" i="18"/>
  <c r="M29" i="20"/>
  <c r="DI25" i="13"/>
  <c r="DI30" i="13"/>
  <c r="M22" i="20"/>
  <c r="M22" i="18"/>
  <c r="BS8" i="13"/>
  <c r="BS42" i="13"/>
  <c r="BS22" i="13"/>
  <c r="M23" i="18"/>
  <c r="M24" i="18"/>
  <c r="M42" i="18"/>
  <c r="M8" i="18"/>
  <c r="BS16" i="13"/>
  <c r="BS17" i="13"/>
  <c r="DI31" i="13"/>
  <c r="M18" i="18"/>
  <c r="M47" i="18"/>
  <c r="M38" i="18"/>
  <c r="M11" i="18"/>
  <c r="BS12" i="13"/>
  <c r="M31" i="18"/>
  <c r="BS23" i="13"/>
  <c r="BS41" i="13"/>
  <c r="M40" i="18"/>
  <c r="BS47" i="13"/>
  <c r="M50" i="18"/>
  <c r="BS27" i="13"/>
  <c r="DI44" i="13"/>
  <c r="BS18" i="13"/>
  <c r="M25" i="18"/>
  <c r="BS38" i="13"/>
  <c r="BS31" i="13"/>
  <c r="CQ42" i="13"/>
  <c r="EG42" i="13" s="1"/>
  <c r="BS28" i="13"/>
  <c r="M37" i="18"/>
  <c r="BS45" i="13"/>
  <c r="BV45" i="13" s="1"/>
  <c r="EF45" i="13" s="1"/>
  <c r="BS29" i="13"/>
  <c r="M43" i="18"/>
  <c r="M26" i="18"/>
  <c r="BS34" i="13"/>
  <c r="M34" i="18"/>
  <c r="BS35" i="13"/>
  <c r="BS44" i="13"/>
  <c r="DI12" i="13"/>
  <c r="M20" i="18"/>
  <c r="BS14" i="13"/>
  <c r="BG58" i="13" s="1"/>
  <c r="BS13" i="13"/>
  <c r="BS36" i="13"/>
  <c r="M13" i="18"/>
  <c r="M17" i="18"/>
  <c r="M31" i="20"/>
  <c r="M10" i="18"/>
  <c r="M45" i="18"/>
  <c r="BS19" i="13"/>
  <c r="BV19" i="13" s="1"/>
  <c r="DI39" i="13"/>
  <c r="BS46" i="13"/>
  <c r="M36" i="18"/>
  <c r="M44" i="18"/>
  <c r="M33" i="18"/>
  <c r="M30" i="20"/>
  <c r="M16" i="18"/>
  <c r="M35" i="20"/>
  <c r="M44" i="20"/>
  <c r="M19" i="18"/>
  <c r="M35" i="18"/>
  <c r="M39" i="20"/>
  <c r="M39" i="18"/>
  <c r="BS15" i="13"/>
  <c r="M12" i="20"/>
  <c r="M27" i="18"/>
  <c r="BS50" i="13"/>
  <c r="M12" i="18"/>
  <c r="M48" i="18"/>
  <c r="M28" i="18"/>
  <c r="BS9" i="13"/>
  <c r="M32" i="18"/>
  <c r="BS37" i="13"/>
  <c r="M15" i="18"/>
  <c r="M46" i="18"/>
  <c r="BS43" i="13"/>
  <c r="BS24" i="13"/>
  <c r="BS26" i="13"/>
  <c r="M41" i="18"/>
  <c r="BS39" i="13"/>
  <c r="BS21" i="13"/>
  <c r="BS33" i="13"/>
  <c r="M9" i="18"/>
  <c r="BS32" i="13"/>
  <c r="BS48" i="13"/>
  <c r="M8" i="20"/>
  <c r="M9" i="20"/>
  <c r="N19" i="19"/>
  <c r="BB112" i="13"/>
  <c r="N30" i="19"/>
  <c r="DI47" i="13"/>
  <c r="M48" i="20"/>
  <c r="BB50" i="13"/>
  <c r="M20" i="20"/>
  <c r="M19" i="20"/>
  <c r="M36" i="20"/>
  <c r="M26" i="20"/>
  <c r="DI38" i="13"/>
  <c r="M24" i="20"/>
  <c r="DI18" i="13"/>
  <c r="M14" i="20"/>
  <c r="CR22" i="13"/>
  <c r="CR17" i="13"/>
  <c r="CR40" i="13"/>
  <c r="CR12" i="13"/>
  <c r="CR23" i="13"/>
  <c r="CR20" i="13"/>
  <c r="N13" i="19"/>
  <c r="N32" i="19"/>
  <c r="N47" i="19"/>
  <c r="N29" i="19"/>
  <c r="N14" i="19"/>
  <c r="N48" i="19"/>
  <c r="N34" i="19"/>
  <c r="N33" i="19"/>
  <c r="N21" i="19"/>
  <c r="N44" i="19"/>
  <c r="N35" i="19"/>
  <c r="N26" i="19"/>
  <c r="N9" i="19"/>
  <c r="N27" i="19"/>
  <c r="N11" i="19"/>
  <c r="CQ11" i="13"/>
  <c r="EG11" i="13" s="1"/>
  <c r="N37" i="19"/>
  <c r="N39" i="19"/>
  <c r="N28" i="19"/>
  <c r="N43" i="19"/>
  <c r="N25" i="19"/>
  <c r="N31" i="19"/>
  <c r="N15" i="19"/>
  <c r="N16" i="19"/>
  <c r="N8" i="19"/>
  <c r="N18" i="19"/>
  <c r="N36" i="19"/>
  <c r="N46" i="19"/>
  <c r="N24" i="19"/>
  <c r="N38" i="19"/>
  <c r="N10" i="19"/>
  <c r="N45" i="19"/>
  <c r="N49" i="19"/>
  <c r="N50" i="19"/>
  <c r="DI26" i="13"/>
  <c r="M38" i="20"/>
  <c r="DI24" i="13"/>
  <c r="DI20" i="13"/>
  <c r="DI19" i="13"/>
  <c r="M47" i="20"/>
  <c r="DI48" i="13"/>
  <c r="M18" i="20"/>
  <c r="M16" i="20"/>
  <c r="DI9" i="13"/>
  <c r="M49" i="20"/>
  <c r="DI14" i="13"/>
  <c r="DI16" i="13"/>
  <c r="DI36" i="13"/>
  <c r="DI49" i="13"/>
  <c r="M27" i="20"/>
  <c r="DI27" i="13"/>
  <c r="M40" i="20"/>
  <c r="DI40" i="13"/>
  <c r="M23" i="20"/>
  <c r="DI23" i="13"/>
  <c r="M37" i="20"/>
  <c r="DI37" i="13"/>
  <c r="M21" i="20"/>
  <c r="DI21" i="13"/>
  <c r="M15" i="20"/>
  <c r="DI15" i="13"/>
  <c r="M46" i="20"/>
  <c r="DI46" i="13"/>
  <c r="M13" i="20"/>
  <c r="DI13" i="13"/>
  <c r="DI33" i="13"/>
  <c r="M33" i="20"/>
  <c r="M32" i="20"/>
  <c r="DI32" i="13"/>
  <c r="DI42" i="13"/>
  <c r="M42" i="20"/>
  <c r="DI10" i="13"/>
  <c r="M10" i="20"/>
  <c r="M45" i="20"/>
  <c r="DI45" i="13"/>
  <c r="DI34" i="13"/>
  <c r="M34" i="20"/>
  <c r="M11" i="20"/>
  <c r="DI11" i="13"/>
  <c r="DI17" i="13"/>
  <c r="M17" i="20"/>
  <c r="M43" i="20"/>
  <c r="DI43" i="13"/>
  <c r="DI50" i="13"/>
  <c r="M50" i="20"/>
  <c r="O50" i="17"/>
  <c r="O51" i="17"/>
  <c r="O7" i="13"/>
  <c r="Z7" i="13"/>
  <c r="M7" i="13"/>
  <c r="DI8" i="13"/>
  <c r="Q7" i="13"/>
  <c r="C7" i="13"/>
  <c r="BX4" i="13"/>
  <c r="BC4" i="13"/>
  <c r="EJ3" i="13"/>
  <c r="L4" i="13"/>
  <c r="K35" i="36" l="1"/>
  <c r="K49" i="36"/>
  <c r="K43" i="36"/>
  <c r="K12" i="36"/>
  <c r="K14" i="36"/>
  <c r="K16" i="36"/>
  <c r="K18" i="36"/>
  <c r="K20" i="36"/>
  <c r="K22" i="36"/>
  <c r="K24" i="36"/>
  <c r="K26" i="36"/>
  <c r="K28" i="36"/>
  <c r="K30" i="36"/>
  <c r="K32" i="36"/>
  <c r="K34" i="36"/>
  <c r="K36" i="36"/>
  <c r="K38" i="36"/>
  <c r="K40" i="36"/>
  <c r="K42" i="36"/>
  <c r="K44" i="36"/>
  <c r="K46" i="36"/>
  <c r="K48" i="36"/>
  <c r="K50" i="36"/>
  <c r="K41" i="36"/>
  <c r="K45" i="36"/>
  <c r="K39" i="36"/>
  <c r="K11" i="36"/>
  <c r="K13" i="36"/>
  <c r="K15" i="36"/>
  <c r="K17" i="36"/>
  <c r="K19" i="36"/>
  <c r="K21" i="36"/>
  <c r="K23" i="36"/>
  <c r="K25" i="36"/>
  <c r="K27" i="36"/>
  <c r="K29" i="36"/>
  <c r="K31" i="36"/>
  <c r="K33" i="36"/>
  <c r="K37" i="36"/>
  <c r="K47" i="36"/>
  <c r="K51" i="36"/>
  <c r="H9" i="35"/>
  <c r="FL8" i="13"/>
  <c r="I9" i="36" s="1"/>
  <c r="FI8" i="13"/>
  <c r="FK8" i="13" s="1"/>
  <c r="FC9" i="13"/>
  <c r="AM67" i="13"/>
  <c r="AM60" i="13"/>
  <c r="AL62" i="13"/>
  <c r="AJ89" i="13"/>
  <c r="AJ88" i="13" s="1"/>
  <c r="AK62" i="13"/>
  <c r="AI82" i="13"/>
  <c r="AP82" i="13"/>
  <c r="AQ69" i="13"/>
  <c r="AQ68" i="13" s="1"/>
  <c r="AP89" i="13"/>
  <c r="AP88" i="13" s="1"/>
  <c r="AQ62" i="13"/>
  <c r="AM61" i="13"/>
  <c r="AP62" i="13"/>
  <c r="AJ62" i="13"/>
  <c r="AQ82" i="13"/>
  <c r="AK82" i="13"/>
  <c r="AL82" i="13"/>
  <c r="AL89" i="13"/>
  <c r="AL88" i="13" s="1"/>
  <c r="AI89" i="13"/>
  <c r="AI88" i="13" s="1"/>
  <c r="AQ89" i="13"/>
  <c r="AQ88" i="13" s="1"/>
  <c r="AM56" i="13"/>
  <c r="AM57" i="13"/>
  <c r="AK69" i="13"/>
  <c r="AK68" i="13" s="1"/>
  <c r="AM59" i="13"/>
  <c r="AM55" i="13"/>
  <c r="AP69" i="13"/>
  <c r="AP68" i="13" s="1"/>
  <c r="AM87" i="13"/>
  <c r="AM65" i="13"/>
  <c r="AM58" i="13"/>
  <c r="AM66" i="13"/>
  <c r="AN82" i="13"/>
  <c r="AN89" i="13"/>
  <c r="AN88" i="13" s="1"/>
  <c r="AJ82" i="13"/>
  <c r="AK89" i="13"/>
  <c r="AK88" i="13" s="1"/>
  <c r="AJ69" i="13"/>
  <c r="AJ68" i="13" s="1"/>
  <c r="AL69" i="13"/>
  <c r="AL68" i="13" s="1"/>
  <c r="AG7" i="13"/>
  <c r="AI62" i="13"/>
  <c r="AM54" i="13"/>
  <c r="AN69" i="13"/>
  <c r="AN68" i="13" s="1"/>
  <c r="AN62" i="13"/>
  <c r="AI69" i="13"/>
  <c r="AI68" i="13" s="1"/>
  <c r="AM64" i="13"/>
  <c r="AM84" i="13"/>
  <c r="AM74" i="13"/>
  <c r="AM85" i="13"/>
  <c r="AM81" i="13"/>
  <c r="AM78" i="13"/>
  <c r="AM75" i="13"/>
  <c r="AM77" i="13"/>
  <c r="AM79" i="13"/>
  <c r="AM86" i="13"/>
  <c r="AM76" i="13"/>
  <c r="AM80" i="13"/>
  <c r="FO45" i="13"/>
  <c r="FX22" i="13"/>
  <c r="FQ22" i="13"/>
  <c r="FY22" i="13"/>
  <c r="FZ22" i="13" s="1"/>
  <c r="FN9" i="13"/>
  <c r="FE42" i="13"/>
  <c r="FQ24" i="13"/>
  <c r="FX24" i="13"/>
  <c r="FY24" i="13"/>
  <c r="FZ24" i="13" s="1"/>
  <c r="FQ10" i="13"/>
  <c r="FY10" i="13"/>
  <c r="FX10" i="13"/>
  <c r="FE11" i="13"/>
  <c r="FQ33" i="13"/>
  <c r="FX33" i="13"/>
  <c r="FY33" i="13"/>
  <c r="FZ33" i="13" s="1"/>
  <c r="FX16" i="13"/>
  <c r="FQ16" i="13"/>
  <c r="FY16" i="13"/>
  <c r="FZ16" i="13" s="1"/>
  <c r="ER45" i="13"/>
  <c r="FD45" i="13"/>
  <c r="ES42" i="13"/>
  <c r="ES11" i="13"/>
  <c r="FD8" i="13"/>
  <c r="P25" i="18"/>
  <c r="EF25" i="13"/>
  <c r="EC7" i="13"/>
  <c r="P19" i="18"/>
  <c r="EF19" i="13"/>
  <c r="DL28" i="13"/>
  <c r="DL31" i="13"/>
  <c r="EH31" i="13" s="1"/>
  <c r="DL26" i="13"/>
  <c r="EH26" i="13" s="1"/>
  <c r="DL13" i="13"/>
  <c r="EH13" i="13" s="1"/>
  <c r="P42" i="19"/>
  <c r="P11" i="19"/>
  <c r="P45" i="18"/>
  <c r="CW61" i="13"/>
  <c r="DL14" i="13"/>
  <c r="EH14" i="13" s="1"/>
  <c r="BW25" i="13"/>
  <c r="P3" i="29"/>
  <c r="P3" i="30"/>
  <c r="BW19" i="13"/>
  <c r="U22" i="24"/>
  <c r="L14" i="24"/>
  <c r="H56" i="13"/>
  <c r="H58" i="13" s="1"/>
  <c r="DA59" i="13"/>
  <c r="BK60" i="13"/>
  <c r="S51" i="30"/>
  <c r="S51" i="29"/>
  <c r="DA54" i="13"/>
  <c r="DA58" i="13"/>
  <c r="BG57" i="13"/>
  <c r="BG61" i="13"/>
  <c r="BG54" i="13"/>
  <c r="BG56" i="13"/>
  <c r="BK59" i="13"/>
  <c r="CW54" i="13"/>
  <c r="CW56" i="13"/>
  <c r="BF59" i="13"/>
  <c r="BK56" i="13"/>
  <c r="DA57" i="13"/>
  <c r="DA61" i="13"/>
  <c r="BG60" i="13"/>
  <c r="BK58" i="13"/>
  <c r="CW58" i="13"/>
  <c r="CW60" i="13"/>
  <c r="BK55" i="13"/>
  <c r="DA60" i="13"/>
  <c r="BG59" i="13"/>
  <c r="BG55" i="13"/>
  <c r="BK57" i="13"/>
  <c r="BK61" i="13"/>
  <c r="CW55" i="13"/>
  <c r="DA56" i="13"/>
  <c r="BK54" i="13"/>
  <c r="DA55" i="13"/>
  <c r="CW57" i="13"/>
  <c r="CW59" i="13"/>
  <c r="EY112" i="13"/>
  <c r="EX112" i="13"/>
  <c r="EZ112" i="13"/>
  <c r="EL112" i="13"/>
  <c r="J55" i="13"/>
  <c r="P69" i="13"/>
  <c r="I56" i="13"/>
  <c r="BD55" i="13"/>
  <c r="CT59" i="13"/>
  <c r="CY61" i="13"/>
  <c r="CV60" i="13"/>
  <c r="U69" i="13"/>
  <c r="BD60" i="13"/>
  <c r="J57" i="13"/>
  <c r="Q8" i="30"/>
  <c r="Q8" i="29"/>
  <c r="W50" i="30"/>
  <c r="W50" i="29"/>
  <c r="Q31" i="30"/>
  <c r="Q31" i="29"/>
  <c r="Q44" i="30"/>
  <c r="Q44" i="29"/>
  <c r="W16" i="30"/>
  <c r="W16" i="29"/>
  <c r="Q18" i="30"/>
  <c r="Q18" i="29"/>
  <c r="Q49" i="30"/>
  <c r="Q49" i="29"/>
  <c r="Q9" i="30"/>
  <c r="Q9" i="29"/>
  <c r="N48" i="18"/>
  <c r="S48" i="30"/>
  <c r="S48" i="29"/>
  <c r="N43" i="18"/>
  <c r="S43" i="30"/>
  <c r="S43" i="29"/>
  <c r="N19" i="18"/>
  <c r="S19" i="30"/>
  <c r="S19" i="29"/>
  <c r="N18" i="18"/>
  <c r="S18" i="30"/>
  <c r="S18" i="29"/>
  <c r="N31" i="20"/>
  <c r="W31" i="30"/>
  <c r="W31" i="29"/>
  <c r="N8" i="18"/>
  <c r="S8" i="30"/>
  <c r="S8" i="29"/>
  <c r="N49" i="18"/>
  <c r="S49" i="30"/>
  <c r="S49" i="29"/>
  <c r="N22" i="20"/>
  <c r="W22" i="30"/>
  <c r="W22" i="29"/>
  <c r="DA69" i="13"/>
  <c r="DA68" i="13" s="1"/>
  <c r="CW69" i="13"/>
  <c r="CW68" i="13" s="1"/>
  <c r="J54" i="13"/>
  <c r="T3" i="30"/>
  <c r="T3" i="29"/>
  <c r="CJ56" i="13"/>
  <c r="W43" i="30"/>
  <c r="W43" i="29"/>
  <c r="W11" i="30"/>
  <c r="W11" i="29"/>
  <c r="Q47" i="30"/>
  <c r="Q47" i="29"/>
  <c r="Q22" i="30"/>
  <c r="Q22" i="29"/>
  <c r="W15" i="30"/>
  <c r="W15" i="29"/>
  <c r="W37" i="30"/>
  <c r="W37" i="29"/>
  <c r="Q45" i="30"/>
  <c r="Q45" i="29"/>
  <c r="Q17" i="30"/>
  <c r="Q17" i="29"/>
  <c r="W14" i="30"/>
  <c r="W14" i="29"/>
  <c r="W20" i="30"/>
  <c r="W20" i="29"/>
  <c r="N33" i="18"/>
  <c r="S33" i="30"/>
  <c r="S33" i="29"/>
  <c r="N50" i="18"/>
  <c r="S50" i="30"/>
  <c r="S50" i="29"/>
  <c r="O38" i="17"/>
  <c r="Q38" i="30"/>
  <c r="Q38" i="29"/>
  <c r="O37" i="17"/>
  <c r="Q37" i="30"/>
  <c r="Q37" i="29"/>
  <c r="N41" i="18"/>
  <c r="S41" i="30"/>
  <c r="S41" i="29"/>
  <c r="O26" i="17"/>
  <c r="Q26" i="30"/>
  <c r="Q26" i="29"/>
  <c r="N42" i="18"/>
  <c r="S42" i="30"/>
  <c r="S42" i="29"/>
  <c r="N28" i="20"/>
  <c r="W28" i="30"/>
  <c r="W28" i="29"/>
  <c r="N10" i="18"/>
  <c r="S10" i="30"/>
  <c r="S10" i="29"/>
  <c r="BI69" i="13"/>
  <c r="BI68" i="13" s="1"/>
  <c r="W33" i="30"/>
  <c r="W33" i="29"/>
  <c r="Q34" i="30"/>
  <c r="Q34" i="29"/>
  <c r="Q29" i="30"/>
  <c r="Q29" i="29"/>
  <c r="Q41" i="30"/>
  <c r="Q41" i="29"/>
  <c r="Q48" i="30"/>
  <c r="Q48" i="29"/>
  <c r="W48" i="30"/>
  <c r="W48" i="29"/>
  <c r="W19" i="30"/>
  <c r="W19" i="29"/>
  <c r="W26" i="30"/>
  <c r="W26" i="29"/>
  <c r="N26" i="18"/>
  <c r="S26" i="30"/>
  <c r="S26" i="29"/>
  <c r="O12" i="17"/>
  <c r="Q12" i="30"/>
  <c r="Q12" i="29"/>
  <c r="N46" i="18"/>
  <c r="S46" i="30"/>
  <c r="S46" i="29"/>
  <c r="N13" i="18"/>
  <c r="S13" i="30"/>
  <c r="S13" i="29"/>
  <c r="N12" i="20"/>
  <c r="W12" i="30"/>
  <c r="W12" i="29"/>
  <c r="N44" i="18"/>
  <c r="S44" i="30"/>
  <c r="S44" i="29"/>
  <c r="N34" i="18"/>
  <c r="S34" i="30"/>
  <c r="S34" i="29"/>
  <c r="N38" i="18"/>
  <c r="S38" i="30"/>
  <c r="S38" i="29"/>
  <c r="N27" i="18"/>
  <c r="S27" i="30"/>
  <c r="S27" i="29"/>
  <c r="N12" i="18"/>
  <c r="S12" i="30"/>
  <c r="S12" i="29"/>
  <c r="O40" i="17"/>
  <c r="Q40" i="30"/>
  <c r="Q40" i="29"/>
  <c r="N22" i="18"/>
  <c r="S22" i="30"/>
  <c r="S22" i="29"/>
  <c r="N25" i="20"/>
  <c r="W25" i="30"/>
  <c r="W25" i="29"/>
  <c r="N30" i="18"/>
  <c r="S30" i="30"/>
  <c r="S30" i="29"/>
  <c r="N11" i="18"/>
  <c r="S11" i="30"/>
  <c r="S11" i="29"/>
  <c r="N35" i="20"/>
  <c r="W35" i="30"/>
  <c r="W35" i="29"/>
  <c r="N20" i="18"/>
  <c r="S20" i="30"/>
  <c r="S20" i="29"/>
  <c r="CA69" i="13"/>
  <c r="CA68" i="13" s="1"/>
  <c r="BD69" i="13"/>
  <c r="BD68" i="13" s="1"/>
  <c r="CF69" i="13"/>
  <c r="CF68" i="13" s="1"/>
  <c r="BL69" i="13"/>
  <c r="BL68" i="13" s="1"/>
  <c r="BK69" i="13"/>
  <c r="BK68" i="13" s="1"/>
  <c r="CD69" i="13"/>
  <c r="CD68" i="13" s="1"/>
  <c r="BI60" i="13"/>
  <c r="BI55" i="13"/>
  <c r="CT57" i="13"/>
  <c r="CT61" i="13"/>
  <c r="CF62" i="13"/>
  <c r="CY54" i="13"/>
  <c r="CY58" i="13"/>
  <c r="BF56" i="13"/>
  <c r="CV56" i="13"/>
  <c r="O69" i="13"/>
  <c r="CT56" i="13"/>
  <c r="CT60" i="13"/>
  <c r="BI58" i="13"/>
  <c r="CB62" i="13"/>
  <c r="CY57" i="13"/>
  <c r="BD58" i="13"/>
  <c r="CG62" i="13"/>
  <c r="CT55" i="13"/>
  <c r="R69" i="13"/>
  <c r="BL62" i="13"/>
  <c r="DB62" i="13"/>
  <c r="V3" i="30"/>
  <c r="V3" i="29"/>
  <c r="DE56" i="13"/>
  <c r="W17" i="30"/>
  <c r="W17" i="29"/>
  <c r="W10" i="30"/>
  <c r="W10" i="29"/>
  <c r="W42" i="30"/>
  <c r="W42" i="29"/>
  <c r="Q25" i="30"/>
  <c r="Q25" i="29"/>
  <c r="Q11" i="30"/>
  <c r="Q11" i="29"/>
  <c r="N24" i="20"/>
  <c r="W24" i="30"/>
  <c r="W24" i="29"/>
  <c r="Q19" i="30"/>
  <c r="Q19" i="29"/>
  <c r="N47" i="20"/>
  <c r="W47" i="30"/>
  <c r="W47" i="29"/>
  <c r="N21" i="18"/>
  <c r="S21" i="30"/>
  <c r="S21" i="29"/>
  <c r="N14" i="18"/>
  <c r="S14" i="30"/>
  <c r="S14" i="29"/>
  <c r="N23" i="18"/>
  <c r="S23" i="30"/>
  <c r="S23" i="29"/>
  <c r="N41" i="20"/>
  <c r="W41" i="30"/>
  <c r="W41" i="29"/>
  <c r="CD62" i="13"/>
  <c r="CG69" i="13"/>
  <c r="CG68" i="13" s="1"/>
  <c r="X56" i="13"/>
  <c r="N3" i="30"/>
  <c r="N3" i="29"/>
  <c r="Q35" i="30"/>
  <c r="Q35" i="29"/>
  <c r="Q24" i="30"/>
  <c r="Q24" i="29"/>
  <c r="W46" i="30"/>
  <c r="W46" i="29"/>
  <c r="Q28" i="30"/>
  <c r="Q28" i="29"/>
  <c r="W21" i="30"/>
  <c r="W21" i="29"/>
  <c r="Q42" i="30"/>
  <c r="Q42" i="29"/>
  <c r="W36" i="30"/>
  <c r="W36" i="29"/>
  <c r="Q46" i="30"/>
  <c r="Q46" i="29"/>
  <c r="Q23" i="30"/>
  <c r="Q23" i="29"/>
  <c r="W18" i="30"/>
  <c r="W18" i="29"/>
  <c r="N24" i="18"/>
  <c r="S24" i="30"/>
  <c r="S24" i="29"/>
  <c r="N9" i="18"/>
  <c r="S9" i="30"/>
  <c r="S9" i="29"/>
  <c r="N15" i="18"/>
  <c r="S15" i="30"/>
  <c r="S15" i="29"/>
  <c r="N39" i="20"/>
  <c r="W39" i="30"/>
  <c r="W39" i="29"/>
  <c r="N35" i="18"/>
  <c r="S35" i="30"/>
  <c r="S35" i="29"/>
  <c r="N29" i="18"/>
  <c r="S29" i="30"/>
  <c r="S29" i="29"/>
  <c r="N28" i="18"/>
  <c r="S28" i="30"/>
  <c r="S28" i="29"/>
  <c r="O15" i="17"/>
  <c r="Q15" i="30"/>
  <c r="Q15" i="29"/>
  <c r="N40" i="18"/>
  <c r="S40" i="30"/>
  <c r="S40" i="29"/>
  <c r="CY69" i="13"/>
  <c r="CY68" i="13" s="1"/>
  <c r="BY62" i="13"/>
  <c r="CB69" i="13"/>
  <c r="CB68" i="13" s="1"/>
  <c r="CV69" i="13"/>
  <c r="CV68" i="13" s="1"/>
  <c r="R3" i="30"/>
  <c r="R3" i="29"/>
  <c r="BO56" i="13"/>
  <c r="E7" i="30"/>
  <c r="E7" i="29"/>
  <c r="I59" i="13"/>
  <c r="I60" i="13"/>
  <c r="H59" i="13"/>
  <c r="H60" i="13"/>
  <c r="W34" i="30"/>
  <c r="W34" i="29"/>
  <c r="W8" i="30"/>
  <c r="W8" i="29"/>
  <c r="Q20" i="30"/>
  <c r="Q20" i="29"/>
  <c r="Q13" i="30"/>
  <c r="Q13" i="29"/>
  <c r="Q21" i="30"/>
  <c r="Q21" i="29"/>
  <c r="W45" i="30"/>
  <c r="W45" i="29"/>
  <c r="Q33" i="30"/>
  <c r="Q33" i="29"/>
  <c r="Q10" i="30"/>
  <c r="Q10" i="29"/>
  <c r="Q14" i="30"/>
  <c r="Q14" i="29"/>
  <c r="W32" i="30"/>
  <c r="W32" i="29"/>
  <c r="W13" i="30"/>
  <c r="W13" i="29"/>
  <c r="Q43" i="30"/>
  <c r="Q43" i="29"/>
  <c r="Q39" i="30"/>
  <c r="Q39" i="29"/>
  <c r="W23" i="30"/>
  <c r="W23" i="29"/>
  <c r="W40" i="30"/>
  <c r="W40" i="29"/>
  <c r="W27" i="30"/>
  <c r="W27" i="29"/>
  <c r="W49" i="30"/>
  <c r="W49" i="29"/>
  <c r="Q32" i="30"/>
  <c r="Q32" i="29"/>
  <c r="N9" i="20"/>
  <c r="W9" i="30"/>
  <c r="W9" i="29"/>
  <c r="Q27" i="30"/>
  <c r="Q27" i="29"/>
  <c r="Q16" i="30"/>
  <c r="Q16" i="29"/>
  <c r="Q36" i="30"/>
  <c r="Q36" i="29"/>
  <c r="O30" i="17"/>
  <c r="Q30" i="30"/>
  <c r="Q30" i="29"/>
  <c r="N38" i="20"/>
  <c r="W38" i="30"/>
  <c r="W38" i="29"/>
  <c r="N32" i="18"/>
  <c r="S32" i="30"/>
  <c r="S32" i="29"/>
  <c r="N39" i="18"/>
  <c r="S39" i="30"/>
  <c r="S39" i="29"/>
  <c r="N37" i="18"/>
  <c r="S37" i="30"/>
  <c r="S37" i="29"/>
  <c r="N36" i="18"/>
  <c r="S36" i="30"/>
  <c r="S36" i="29"/>
  <c r="N45" i="18"/>
  <c r="S45" i="30"/>
  <c r="S45" i="29"/>
  <c r="N31" i="18"/>
  <c r="S31" i="30"/>
  <c r="S31" i="29"/>
  <c r="N44" i="20"/>
  <c r="W44" i="30"/>
  <c r="W44" i="29"/>
  <c r="N47" i="18"/>
  <c r="S47" i="30"/>
  <c r="S47" i="29"/>
  <c r="N17" i="18"/>
  <c r="S17" i="30"/>
  <c r="S17" i="29"/>
  <c r="N16" i="18"/>
  <c r="S16" i="30"/>
  <c r="S16" i="29"/>
  <c r="N30" i="20"/>
  <c r="W30" i="30"/>
  <c r="W30" i="29"/>
  <c r="N29" i="20"/>
  <c r="W29" i="30"/>
  <c r="W29" i="29"/>
  <c r="N25" i="18"/>
  <c r="S25" i="30"/>
  <c r="S25" i="29"/>
  <c r="BG69" i="13"/>
  <c r="BG68" i="13" s="1"/>
  <c r="CT69" i="13"/>
  <c r="CT68" i="13" s="1"/>
  <c r="BF69" i="13"/>
  <c r="BF68" i="13" s="1"/>
  <c r="BY69" i="13"/>
  <c r="BY68" i="13" s="1"/>
  <c r="DB69" i="13"/>
  <c r="DB68" i="13" s="1"/>
  <c r="CY55" i="13"/>
  <c r="CY59" i="13"/>
  <c r="BI59" i="13"/>
  <c r="BI54" i="13"/>
  <c r="BF54" i="13"/>
  <c r="CV54" i="13"/>
  <c r="CV58" i="13"/>
  <c r="BD59" i="13"/>
  <c r="BD56" i="13"/>
  <c r="BF57" i="13"/>
  <c r="BF61" i="13"/>
  <c r="T69" i="13"/>
  <c r="BI57" i="13"/>
  <c r="BI61" i="13"/>
  <c r="BI56" i="13"/>
  <c r="CY56" i="13"/>
  <c r="CY60" i="13"/>
  <c r="BF55" i="13"/>
  <c r="CV55" i="13"/>
  <c r="CV57" i="13"/>
  <c r="CV59" i="13"/>
  <c r="CV61" i="13"/>
  <c r="BD57" i="13"/>
  <c r="BD61" i="13"/>
  <c r="BD54" i="13"/>
  <c r="CA62" i="13"/>
  <c r="CT54" i="13"/>
  <c r="CT58" i="13"/>
  <c r="M69" i="13"/>
  <c r="BF58" i="13"/>
  <c r="BF60" i="13"/>
  <c r="M62" i="13"/>
  <c r="R62" i="13"/>
  <c r="T62" i="13"/>
  <c r="P62" i="13"/>
  <c r="U62" i="13"/>
  <c r="O62" i="13"/>
  <c r="CR42" i="13"/>
  <c r="AT7" i="13"/>
  <c r="AW7" i="13"/>
  <c r="Y23" i="24" s="1"/>
  <c r="BR7" i="13"/>
  <c r="Y24" i="24" s="1"/>
  <c r="DH7" i="13"/>
  <c r="BO7" i="13"/>
  <c r="DE7" i="13"/>
  <c r="CM7" i="13"/>
  <c r="CJ7" i="13"/>
  <c r="EH7" i="13"/>
  <c r="ET7" i="13" s="1"/>
  <c r="CR11" i="13"/>
  <c r="EQ112" i="13"/>
  <c r="R22" i="24"/>
  <c r="L16" i="24"/>
  <c r="L22" i="24"/>
  <c r="L15" i="24"/>
  <c r="P22" i="24"/>
  <c r="CR19" i="13"/>
  <c r="CR30" i="13"/>
  <c r="CR41" i="13"/>
  <c r="O19" i="17"/>
  <c r="BB9" i="13"/>
  <c r="BB40" i="13"/>
  <c r="BB38" i="13"/>
  <c r="BB37" i="13"/>
  <c r="BB19" i="13"/>
  <c r="O9" i="17"/>
  <c r="N18" i="20"/>
  <c r="BB26" i="13"/>
  <c r="BB12" i="13"/>
  <c r="BB15" i="13"/>
  <c r="CR50" i="13"/>
  <c r="CR43" i="13"/>
  <c r="CR21" i="13"/>
  <c r="CR47" i="13"/>
  <c r="CR36" i="13"/>
  <c r="CR27" i="13"/>
  <c r="CR44" i="13"/>
  <c r="CR33" i="13"/>
  <c r="CR34" i="13"/>
  <c r="CR32" i="13"/>
  <c r="CR45" i="13"/>
  <c r="CR38" i="13"/>
  <c r="CR18" i="13"/>
  <c r="CR8" i="13"/>
  <c r="CR16" i="13"/>
  <c r="CR25" i="13"/>
  <c r="CR28" i="13"/>
  <c r="CR9" i="13"/>
  <c r="CR48" i="13"/>
  <c r="CR29" i="13"/>
  <c r="CR13" i="13"/>
  <c r="CR24" i="13"/>
  <c r="CR31" i="13"/>
  <c r="CR39" i="13"/>
  <c r="CR37" i="13"/>
  <c r="CR26" i="13"/>
  <c r="CR46" i="13"/>
  <c r="CR49" i="13"/>
  <c r="CR10" i="13"/>
  <c r="CR15" i="13"/>
  <c r="CR35" i="13"/>
  <c r="CR14" i="13"/>
  <c r="N34" i="20"/>
  <c r="N27" i="20"/>
  <c r="N16" i="20"/>
  <c r="N43" i="20"/>
  <c r="N11" i="20"/>
  <c r="N33" i="20"/>
  <c r="N40" i="20"/>
  <c r="N17" i="20"/>
  <c r="N37" i="20"/>
  <c r="N49" i="20"/>
  <c r="N19" i="20"/>
  <c r="N26" i="20"/>
  <c r="N42" i="20"/>
  <c r="N32" i="20"/>
  <c r="N13" i="20"/>
  <c r="N15" i="20"/>
  <c r="N23" i="20"/>
  <c r="N36" i="20"/>
  <c r="N14" i="20"/>
  <c r="N50" i="20"/>
  <c r="N10" i="20"/>
  <c r="N46" i="20"/>
  <c r="N21" i="20"/>
  <c r="N8" i="20"/>
  <c r="N45" i="20"/>
  <c r="N48" i="20"/>
  <c r="N20" i="20"/>
  <c r="O8" i="17"/>
  <c r="O33" i="17"/>
  <c r="O48" i="17"/>
  <c r="O11" i="17"/>
  <c r="O36" i="17"/>
  <c r="O13" i="17"/>
  <c r="O14" i="17"/>
  <c r="O22" i="17"/>
  <c r="O44" i="17"/>
  <c r="O46" i="17"/>
  <c r="O20" i="17"/>
  <c r="O35" i="17"/>
  <c r="O31" i="17"/>
  <c r="O10" i="17"/>
  <c r="O47" i="17"/>
  <c r="O34" i="17"/>
  <c r="O28" i="17"/>
  <c r="O29" i="17"/>
  <c r="O45" i="17"/>
  <c r="O25" i="17"/>
  <c r="O32" i="17"/>
  <c r="O42" i="17"/>
  <c r="O17" i="17"/>
  <c r="O18" i="17"/>
  <c r="O43" i="17"/>
  <c r="O39" i="17"/>
  <c r="O49" i="17"/>
  <c r="O21" i="17"/>
  <c r="O24" i="17"/>
  <c r="O41" i="17"/>
  <c r="O27" i="17"/>
  <c r="O16" i="17"/>
  <c r="O23" i="17"/>
  <c r="R7" i="13"/>
  <c r="S7" i="13"/>
  <c r="D4" i="22"/>
  <c r="D4" i="20"/>
  <c r="D4" i="19"/>
  <c r="D4" i="18"/>
  <c r="D4" i="17"/>
  <c r="D4" i="11"/>
  <c r="D4" i="4"/>
  <c r="H5" i="14"/>
  <c r="G5" i="14"/>
  <c r="F5" i="14"/>
  <c r="D5" i="14"/>
  <c r="C5" i="14"/>
  <c r="L3" i="13"/>
  <c r="D7" i="13"/>
  <c r="FZ10" i="13" l="1"/>
  <c r="L12" i="36"/>
  <c r="L16" i="36"/>
  <c r="L20" i="36"/>
  <c r="L24" i="36"/>
  <c r="L28" i="36"/>
  <c r="L32" i="36"/>
  <c r="L36" i="36"/>
  <c r="L40" i="36"/>
  <c r="L44" i="36"/>
  <c r="L48" i="36"/>
  <c r="L11" i="36"/>
  <c r="L15" i="36"/>
  <c r="L19" i="36"/>
  <c r="L23" i="36"/>
  <c r="L27" i="36"/>
  <c r="L31" i="36"/>
  <c r="L35" i="36"/>
  <c r="L39" i="36"/>
  <c r="L43" i="36"/>
  <c r="L47" i="36"/>
  <c r="L51" i="36"/>
  <c r="L14" i="36"/>
  <c r="L18" i="36"/>
  <c r="L22" i="36"/>
  <c r="L26" i="36"/>
  <c r="L30" i="36"/>
  <c r="L34" i="36"/>
  <c r="L38" i="36"/>
  <c r="L42" i="36"/>
  <c r="L46" i="36"/>
  <c r="L50" i="36"/>
  <c r="L13" i="36"/>
  <c r="L17" i="36"/>
  <c r="L21" i="36"/>
  <c r="L25" i="36"/>
  <c r="L29" i="36"/>
  <c r="L33" i="36"/>
  <c r="L37" i="36"/>
  <c r="L41" i="36"/>
  <c r="L45" i="36"/>
  <c r="L49" i="36"/>
  <c r="J9" i="36"/>
  <c r="FM8" i="13"/>
  <c r="K9" i="36" s="1"/>
  <c r="I9" i="35"/>
  <c r="FN8" i="13"/>
  <c r="DT92" i="13"/>
  <c r="DT72" i="13"/>
  <c r="DT52" i="13"/>
  <c r="I7" i="14" s="1"/>
  <c r="DT81" i="13"/>
  <c r="J16" i="14" s="1"/>
  <c r="DT101" i="13"/>
  <c r="K16" i="14" s="1"/>
  <c r="DT73" i="13"/>
  <c r="J8" i="14" s="1"/>
  <c r="DT93" i="13"/>
  <c r="K8" i="14" s="1"/>
  <c r="DT53" i="13"/>
  <c r="I8" i="14" s="1"/>
  <c r="DT66" i="13"/>
  <c r="I22" i="14" s="1"/>
  <c r="DT106" i="13"/>
  <c r="K22" i="14" s="1"/>
  <c r="DT86" i="13"/>
  <c r="J22" i="14" s="1"/>
  <c r="DT61" i="13"/>
  <c r="I16" i="14" s="1"/>
  <c r="EO7" i="13"/>
  <c r="DT69" i="13"/>
  <c r="DT54" i="13"/>
  <c r="I9" i="14" s="1"/>
  <c r="DT89" i="13"/>
  <c r="DT74" i="13"/>
  <c r="J9" i="14" s="1"/>
  <c r="DT57" i="13"/>
  <c r="DT97" i="13"/>
  <c r="K12" i="14" s="1"/>
  <c r="DT77" i="13"/>
  <c r="J12" i="14" s="1"/>
  <c r="DT94" i="13"/>
  <c r="K9" i="14" s="1"/>
  <c r="DT109" i="13"/>
  <c r="AM69" i="13"/>
  <c r="AM82" i="13"/>
  <c r="AM62" i="13"/>
  <c r="AM68" i="13"/>
  <c r="AO84" i="13"/>
  <c r="AR84" i="13" s="1"/>
  <c r="AS84" i="13" s="1"/>
  <c r="AO64" i="13"/>
  <c r="AO67" i="13"/>
  <c r="AR67" i="13" s="1"/>
  <c r="AO86" i="13"/>
  <c r="AO85" i="13"/>
  <c r="AR85" i="13" s="1"/>
  <c r="AS85" i="13" s="1"/>
  <c r="AO66" i="13"/>
  <c r="AR66" i="13" s="1"/>
  <c r="AO65" i="13"/>
  <c r="AR65" i="13" s="1"/>
  <c r="AO87" i="13"/>
  <c r="AR87" i="13" s="1"/>
  <c r="AS87" i="13" s="1"/>
  <c r="AX69" i="13"/>
  <c r="AX54" i="13"/>
  <c r="D9" i="14" s="1"/>
  <c r="AX68" i="13"/>
  <c r="AX73" i="13"/>
  <c r="AX87" i="13"/>
  <c r="E23" i="14" s="1"/>
  <c r="AX67" i="13"/>
  <c r="D23" i="14" s="1"/>
  <c r="AX66" i="13"/>
  <c r="D22" i="14" s="1"/>
  <c r="AX53" i="13"/>
  <c r="AX86" i="13"/>
  <c r="AX89" i="13"/>
  <c r="E25" i="14" s="1"/>
  <c r="AX88" i="13"/>
  <c r="E24" i="14" s="1"/>
  <c r="AX74" i="13"/>
  <c r="E9" i="14" s="1"/>
  <c r="D7" i="14"/>
  <c r="AX72" i="13"/>
  <c r="E7" i="14" s="1"/>
  <c r="AM89" i="13"/>
  <c r="AM88" i="13"/>
  <c r="FF26" i="13"/>
  <c r="EB7" i="13"/>
  <c r="EZ7" i="13" s="1"/>
  <c r="AA13" i="24"/>
  <c r="FO31" i="13"/>
  <c r="FF14" i="13"/>
  <c r="FD25" i="13"/>
  <c r="FO19" i="13"/>
  <c r="DM31" i="13"/>
  <c r="FO11" i="13"/>
  <c r="FO25" i="13"/>
  <c r="FO13" i="13"/>
  <c r="FO42" i="13"/>
  <c r="FQ45" i="13"/>
  <c r="FX45" i="13"/>
  <c r="FY45" i="13"/>
  <c r="FZ45" i="13" s="1"/>
  <c r="FO26" i="13"/>
  <c r="ET13" i="13"/>
  <c r="ET26" i="13"/>
  <c r="FF13" i="13"/>
  <c r="ET31" i="13"/>
  <c r="ET14" i="13"/>
  <c r="FF31" i="13"/>
  <c r="ER19" i="13"/>
  <c r="FD19" i="13"/>
  <c r="ER25" i="13"/>
  <c r="FA7" i="13"/>
  <c r="FG7" i="13" s="1"/>
  <c r="DM26" i="13"/>
  <c r="EH28" i="13"/>
  <c r="DM28" i="13"/>
  <c r="P13" i="20"/>
  <c r="DM13" i="13"/>
  <c r="P26" i="20"/>
  <c r="P14" i="20"/>
  <c r="P31" i="20"/>
  <c r="P28" i="20"/>
  <c r="DM14" i="13"/>
  <c r="J56" i="13"/>
  <c r="CW62" i="13"/>
  <c r="BK62" i="13"/>
  <c r="BG62" i="13"/>
  <c r="DA62" i="13"/>
  <c r="CE65" i="13"/>
  <c r="CH65" i="13" s="1"/>
  <c r="CE66" i="13"/>
  <c r="CH66" i="13" s="1"/>
  <c r="CE67" i="13"/>
  <c r="CH67" i="13" s="1"/>
  <c r="CE64" i="13"/>
  <c r="BJ65" i="13"/>
  <c r="BM65" i="13" s="1"/>
  <c r="BJ66" i="13"/>
  <c r="BM66" i="13" s="1"/>
  <c r="BJ67" i="13"/>
  <c r="BM67" i="13" s="1"/>
  <c r="BJ64" i="13"/>
  <c r="CZ65" i="13"/>
  <c r="DC65" i="13" s="1"/>
  <c r="CZ66" i="13"/>
  <c r="DC66" i="13" s="1"/>
  <c r="CZ67" i="13"/>
  <c r="DC67" i="13" s="1"/>
  <c r="CZ64" i="13"/>
  <c r="FH112" i="13"/>
  <c r="FJ112" i="13" s="1"/>
  <c r="FD112" i="13" s="1"/>
  <c r="I58" i="13"/>
  <c r="I61" i="13" s="1"/>
  <c r="T68" i="13"/>
  <c r="J59" i="13"/>
  <c r="M68" i="13"/>
  <c r="U68" i="13"/>
  <c r="P7" i="30"/>
  <c r="P7" i="29"/>
  <c r="D24" i="14"/>
  <c r="D25" i="14"/>
  <c r="CY62" i="13"/>
  <c r="F7" i="30"/>
  <c r="F7" i="29"/>
  <c r="R7" i="30"/>
  <c r="R7" i="29"/>
  <c r="BS68" i="13"/>
  <c r="F24" i="14" s="1"/>
  <c r="BS54" i="13"/>
  <c r="F9" i="14" s="1"/>
  <c r="BS69" i="13"/>
  <c r="F25" i="14" s="1"/>
  <c r="BS66" i="13"/>
  <c r="F22" i="14" s="1"/>
  <c r="BS67" i="13"/>
  <c r="F23" i="14" s="1"/>
  <c r="BS53" i="13"/>
  <c r="BE67" i="13"/>
  <c r="BH67" i="13" s="1"/>
  <c r="BE65" i="13"/>
  <c r="BH65" i="13" s="1"/>
  <c r="BE66" i="13"/>
  <c r="BH66" i="13" s="1"/>
  <c r="BE64" i="13"/>
  <c r="BD62" i="13"/>
  <c r="V7" i="30"/>
  <c r="V7" i="29"/>
  <c r="DI68" i="13"/>
  <c r="H24" i="14" s="1"/>
  <c r="DI54" i="13"/>
  <c r="H9" i="14" s="1"/>
  <c r="DI67" i="13"/>
  <c r="H23" i="14" s="1"/>
  <c r="DI53" i="13"/>
  <c r="DI69" i="13"/>
  <c r="H25" i="14" s="1"/>
  <c r="DI66" i="13"/>
  <c r="H22" i="14" s="1"/>
  <c r="CU67" i="13"/>
  <c r="CX67" i="13" s="1"/>
  <c r="CU65" i="13"/>
  <c r="CX65" i="13" s="1"/>
  <c r="CU66" i="13"/>
  <c r="CX66" i="13" s="1"/>
  <c r="CU64" i="13"/>
  <c r="BF62" i="13"/>
  <c r="J60" i="13"/>
  <c r="L70" i="13"/>
  <c r="N2" i="30"/>
  <c r="N2" i="29"/>
  <c r="BI62" i="13"/>
  <c r="T7" i="30"/>
  <c r="T7" i="29"/>
  <c r="CN68" i="13"/>
  <c r="G24" i="14" s="1"/>
  <c r="CN69" i="13"/>
  <c r="G25" i="14" s="1"/>
  <c r="CN66" i="13"/>
  <c r="G22" i="14" s="1"/>
  <c r="CN67" i="13"/>
  <c r="G23" i="14" s="1"/>
  <c r="CN53" i="13"/>
  <c r="CN54" i="13"/>
  <c r="G9" i="14" s="1"/>
  <c r="BZ64" i="13"/>
  <c r="BZ65" i="13"/>
  <c r="CC65" i="13" s="1"/>
  <c r="BZ66" i="13"/>
  <c r="CC66" i="13" s="1"/>
  <c r="BZ67" i="13"/>
  <c r="CC67" i="13" s="1"/>
  <c r="CT62" i="13"/>
  <c r="H61" i="13"/>
  <c r="R68" i="13"/>
  <c r="CV62" i="13"/>
  <c r="DZ7" i="13"/>
  <c r="EL7" i="13" s="1"/>
  <c r="O68" i="13"/>
  <c r="P68" i="13"/>
  <c r="M7" i="20"/>
  <c r="DI7" i="13"/>
  <c r="EA7" i="13"/>
  <c r="EM7" i="13" s="1"/>
  <c r="M7" i="19"/>
  <c r="CN7" i="13"/>
  <c r="DY7" i="13"/>
  <c r="N7" i="17"/>
  <c r="AX7" i="13"/>
  <c r="BA7" i="13" s="1"/>
  <c r="BB7" i="13" s="1"/>
  <c r="BS7" i="13"/>
  <c r="M7" i="18"/>
  <c r="BB30" i="13"/>
  <c r="BB39" i="13"/>
  <c r="BB17" i="13"/>
  <c r="BB45" i="13"/>
  <c r="BB47" i="13"/>
  <c r="BB31" i="13"/>
  <c r="BB44" i="13"/>
  <c r="BB14" i="13"/>
  <c r="BB36" i="13"/>
  <c r="BB48" i="13"/>
  <c r="BB8" i="13"/>
  <c r="BB27" i="13"/>
  <c r="BB49" i="13"/>
  <c r="BB43" i="13"/>
  <c r="BB18" i="13"/>
  <c r="BB42" i="13"/>
  <c r="BB25" i="13"/>
  <c r="BB29" i="13"/>
  <c r="BB34" i="13"/>
  <c r="BB10" i="13"/>
  <c r="BB35" i="13"/>
  <c r="BB46" i="13"/>
  <c r="BB22" i="13"/>
  <c r="BB13" i="13"/>
  <c r="BB11" i="13"/>
  <c r="BB33" i="13"/>
  <c r="BB32" i="13"/>
  <c r="BB28" i="13"/>
  <c r="BB20" i="13"/>
  <c r="BB23" i="13"/>
  <c r="BB24" i="13"/>
  <c r="BB16" i="13"/>
  <c r="BB41" i="13"/>
  <c r="BB21" i="13"/>
  <c r="T7" i="13"/>
  <c r="H22" i="24" s="1"/>
  <c r="AP6" i="13"/>
  <c r="AT6" i="13" s="1"/>
  <c r="M6" i="4"/>
  <c r="DA6" i="13"/>
  <c r="BK6" i="13"/>
  <c r="BR6" i="13" s="1"/>
  <c r="M41" i="36" l="1"/>
  <c r="M12" i="36"/>
  <c r="M16" i="36"/>
  <c r="M20" i="36"/>
  <c r="M24" i="36"/>
  <c r="M28" i="36"/>
  <c r="M32" i="36"/>
  <c r="M36" i="36"/>
  <c r="M40" i="36"/>
  <c r="M44" i="36"/>
  <c r="M48" i="36"/>
  <c r="M42" i="36"/>
  <c r="M46" i="36"/>
  <c r="M37" i="36"/>
  <c r="M45" i="36"/>
  <c r="M22" i="36"/>
  <c r="M30" i="36"/>
  <c r="M11" i="36"/>
  <c r="M15" i="36"/>
  <c r="M19" i="36"/>
  <c r="M23" i="36"/>
  <c r="M27" i="36"/>
  <c r="M31" i="36"/>
  <c r="M35" i="36"/>
  <c r="M39" i="36"/>
  <c r="M43" i="36"/>
  <c r="M47" i="36"/>
  <c r="M51" i="36"/>
  <c r="M18" i="36"/>
  <c r="M34" i="36"/>
  <c r="M38" i="36"/>
  <c r="M14" i="36"/>
  <c r="M26" i="36"/>
  <c r="M50" i="36"/>
  <c r="M13" i="36"/>
  <c r="M17" i="36"/>
  <c r="M21" i="36"/>
  <c r="M25" i="36"/>
  <c r="M29" i="36"/>
  <c r="M33" i="36"/>
  <c r="M49" i="36"/>
  <c r="I10" i="14"/>
  <c r="K20" i="14"/>
  <c r="DT90" i="13"/>
  <c r="J20" i="14"/>
  <c r="EK7" i="13"/>
  <c r="EW7" i="13"/>
  <c r="Q7" i="17"/>
  <c r="EE7" i="13"/>
  <c r="EQ7" i="13" s="1"/>
  <c r="AB23" i="24"/>
  <c r="AO60" i="13"/>
  <c r="AR60" i="13" s="1"/>
  <c r="AO56" i="13"/>
  <c r="AR56" i="13" s="1"/>
  <c r="AO58" i="13"/>
  <c r="AR58" i="13" s="1"/>
  <c r="AO55" i="13"/>
  <c r="AR55" i="13" s="1"/>
  <c r="AO57" i="13"/>
  <c r="AR57" i="13" s="1"/>
  <c r="AO59" i="13"/>
  <c r="AR59" i="13" s="1"/>
  <c r="AO54" i="13"/>
  <c r="AR54" i="13" s="1"/>
  <c r="AO61" i="13"/>
  <c r="AR61" i="13" s="1"/>
  <c r="G26" i="14"/>
  <c r="DT65" i="13"/>
  <c r="I12" i="14"/>
  <c r="I20" i="14" s="1"/>
  <c r="DT75" i="13"/>
  <c r="J7" i="14"/>
  <c r="J10" i="14" s="1"/>
  <c r="DT55" i="13"/>
  <c r="DT70" i="13"/>
  <c r="I25" i="14"/>
  <c r="I26" i="14" s="1"/>
  <c r="J25" i="14"/>
  <c r="J26" i="14" s="1"/>
  <c r="DT110" i="13"/>
  <c r="K25" i="14"/>
  <c r="K26" i="14" s="1"/>
  <c r="DT95" i="13"/>
  <c r="K7" i="14"/>
  <c r="K10" i="14" s="1"/>
  <c r="FV63" i="13" s="1"/>
  <c r="D26" i="14"/>
  <c r="F26" i="14"/>
  <c r="H26" i="14"/>
  <c r="EN7" i="13"/>
  <c r="AO79" i="13"/>
  <c r="AR79" i="13" s="1"/>
  <c r="AS79" i="13" s="1"/>
  <c r="E22" i="14"/>
  <c r="E26" i="14" s="1"/>
  <c r="AX90" i="13"/>
  <c r="AO89" i="13"/>
  <c r="AO88" i="13" s="1"/>
  <c r="AR88" i="13" s="1"/>
  <c r="AS88" i="13" s="1"/>
  <c r="AR86" i="13"/>
  <c r="AS86" i="13" s="1"/>
  <c r="AO81" i="13"/>
  <c r="AR81" i="13" s="1"/>
  <c r="AS81" i="13" s="1"/>
  <c r="AO78" i="13"/>
  <c r="AR78" i="13" s="1"/>
  <c r="AS78" i="13" s="1"/>
  <c r="AO77" i="13"/>
  <c r="AR77" i="13" s="1"/>
  <c r="AS77" i="13" s="1"/>
  <c r="AO74" i="13"/>
  <c r="AO80" i="13"/>
  <c r="AR80" i="13" s="1"/>
  <c r="AS80" i="13" s="1"/>
  <c r="E8" i="14"/>
  <c r="E10" i="14" s="1"/>
  <c r="AX75" i="13"/>
  <c r="AO75" i="13"/>
  <c r="AR75" i="13" s="1"/>
  <c r="AS75" i="13" s="1"/>
  <c r="AO76" i="13"/>
  <c r="AR76" i="13" s="1"/>
  <c r="AS76" i="13" s="1"/>
  <c r="AO69" i="13"/>
  <c r="AO68" i="13" s="1"/>
  <c r="AR68" i="13" s="1"/>
  <c r="AR64" i="13"/>
  <c r="AR69" i="13" s="1"/>
  <c r="AX60" i="13"/>
  <c r="D15" i="14" s="1"/>
  <c r="AX78" i="13"/>
  <c r="E13" i="14" s="1"/>
  <c r="AX79" i="13"/>
  <c r="E14" i="14" s="1"/>
  <c r="AX61" i="13"/>
  <c r="D16" i="14" s="1"/>
  <c r="AX63" i="13"/>
  <c r="D18" i="14" s="1"/>
  <c r="AX84" i="13"/>
  <c r="E19" i="14" s="1"/>
  <c r="AX58" i="13"/>
  <c r="D13" i="14" s="1"/>
  <c r="AX57" i="13"/>
  <c r="D12" i="14" s="1"/>
  <c r="AX62" i="13"/>
  <c r="D17" i="14" s="1"/>
  <c r="AX81" i="13"/>
  <c r="E16" i="14" s="1"/>
  <c r="AX77" i="13"/>
  <c r="E12" i="14" s="1"/>
  <c r="AX82" i="13"/>
  <c r="E17" i="14" s="1"/>
  <c r="AX64" i="13"/>
  <c r="D19" i="14" s="1"/>
  <c r="AX59" i="13"/>
  <c r="D14" i="14" s="1"/>
  <c r="AX83" i="13"/>
  <c r="E18" i="14" s="1"/>
  <c r="AX80" i="13"/>
  <c r="E15" i="14" s="1"/>
  <c r="FQ25" i="13"/>
  <c r="FY25" i="13"/>
  <c r="FZ25" i="13" s="1"/>
  <c r="FX25" i="13"/>
  <c r="FQ42" i="13"/>
  <c r="FX42" i="13"/>
  <c r="FY42" i="13"/>
  <c r="FZ42" i="13" s="1"/>
  <c r="FQ11" i="13"/>
  <c r="FX11" i="13"/>
  <c r="FY11" i="13"/>
  <c r="FZ11" i="13" s="1"/>
  <c r="FO14" i="13"/>
  <c r="FQ13" i="13"/>
  <c r="FX13" i="13"/>
  <c r="FY13" i="13"/>
  <c r="FZ13" i="13" s="1"/>
  <c r="FX31" i="13"/>
  <c r="FQ31" i="13"/>
  <c r="FY31" i="13"/>
  <c r="FZ31" i="13" s="1"/>
  <c r="FQ26" i="13"/>
  <c r="FX26" i="13"/>
  <c r="FY26" i="13"/>
  <c r="FZ26" i="13" s="1"/>
  <c r="FO9" i="13"/>
  <c r="FP9" i="13"/>
  <c r="FO28" i="13"/>
  <c r="FO8" i="13"/>
  <c r="FP8" i="13"/>
  <c r="FQ19" i="13"/>
  <c r="FX19" i="13"/>
  <c r="FY19" i="13"/>
  <c r="FZ19" i="13" s="1"/>
  <c r="ET28" i="13"/>
  <c r="FF28" i="13"/>
  <c r="CQ7" i="13"/>
  <c r="Y25" i="24" s="1"/>
  <c r="P7" i="18"/>
  <c r="AA7" i="13"/>
  <c r="EY7" i="13"/>
  <c r="EX7" i="13"/>
  <c r="FF7" i="13"/>
  <c r="DD66" i="13"/>
  <c r="DD65" i="13"/>
  <c r="BN67" i="13"/>
  <c r="AS66" i="13"/>
  <c r="J58" i="13"/>
  <c r="J61" i="13" s="1"/>
  <c r="M4" i="26" s="1"/>
  <c r="CI67" i="13"/>
  <c r="BN66" i="13"/>
  <c r="AS67" i="13"/>
  <c r="CI66" i="13"/>
  <c r="BN65" i="13"/>
  <c r="AS65" i="13"/>
  <c r="DD67" i="13"/>
  <c r="CI65" i="13"/>
  <c r="DC64" i="13"/>
  <c r="DC69" i="13" s="1"/>
  <c r="CZ69" i="13"/>
  <c r="CZ68" i="13" s="1"/>
  <c r="DC68" i="13" s="1"/>
  <c r="CE56" i="13"/>
  <c r="CH56" i="13" s="1"/>
  <c r="CE59" i="13"/>
  <c r="CH59" i="13" s="1"/>
  <c r="CE60" i="13"/>
  <c r="CH60" i="13" s="1"/>
  <c r="CE54" i="13"/>
  <c r="CE61" i="13"/>
  <c r="CH61" i="13" s="1"/>
  <c r="CE57" i="13"/>
  <c r="CH57" i="13" s="1"/>
  <c r="CE55" i="13"/>
  <c r="CH55" i="13" s="1"/>
  <c r="CE58" i="13"/>
  <c r="CH58" i="13" s="1"/>
  <c r="BJ54" i="13"/>
  <c r="BJ56" i="13"/>
  <c r="BM56" i="13" s="1"/>
  <c r="BJ60" i="13"/>
  <c r="BM60" i="13" s="1"/>
  <c r="BJ61" i="13"/>
  <c r="BM61" i="13" s="1"/>
  <c r="BJ59" i="13"/>
  <c r="BM59" i="13" s="1"/>
  <c r="BJ55" i="13"/>
  <c r="BM55" i="13" s="1"/>
  <c r="BJ58" i="13"/>
  <c r="BM58" i="13" s="1"/>
  <c r="BJ57" i="13"/>
  <c r="BM57" i="13" s="1"/>
  <c r="CZ55" i="13"/>
  <c r="DC55" i="13" s="1"/>
  <c r="CZ58" i="13"/>
  <c r="DC58" i="13" s="1"/>
  <c r="CZ61" i="13"/>
  <c r="DC61" i="13" s="1"/>
  <c r="CZ60" i="13"/>
  <c r="DC60" i="13" s="1"/>
  <c r="CZ54" i="13"/>
  <c r="CZ56" i="13"/>
  <c r="DC56" i="13" s="1"/>
  <c r="CZ59" i="13"/>
  <c r="DC59" i="13" s="1"/>
  <c r="CZ57" i="13"/>
  <c r="DC57" i="13" s="1"/>
  <c r="BM64" i="13"/>
  <c r="BM69" i="13" s="1"/>
  <c r="BJ69" i="13"/>
  <c r="BJ68" i="13" s="1"/>
  <c r="BM68" i="13" s="1"/>
  <c r="CH64" i="13"/>
  <c r="CH69" i="13" s="1"/>
  <c r="CE69" i="13"/>
  <c r="CE68" i="13" s="1"/>
  <c r="CH68" i="13" s="1"/>
  <c r="FE112" i="13"/>
  <c r="S7" i="30"/>
  <c r="S7" i="29"/>
  <c r="BS63" i="13"/>
  <c r="F18" i="14" s="1"/>
  <c r="BS59" i="13"/>
  <c r="F14" i="14" s="1"/>
  <c r="BS60" i="13"/>
  <c r="F15" i="14" s="1"/>
  <c r="BS57" i="13"/>
  <c r="F12" i="14" s="1"/>
  <c r="BS62" i="13"/>
  <c r="F17" i="14" s="1"/>
  <c r="BS58" i="13"/>
  <c r="F13" i="14" s="1"/>
  <c r="BS64" i="13"/>
  <c r="F19" i="14" s="1"/>
  <c r="BS61" i="13"/>
  <c r="F16" i="14" s="1"/>
  <c r="BE61" i="13"/>
  <c r="BH61" i="13" s="1"/>
  <c r="BE59" i="13"/>
  <c r="BH59" i="13" s="1"/>
  <c r="BE57" i="13"/>
  <c r="BH57" i="13" s="1"/>
  <c r="BE54" i="13"/>
  <c r="BE58" i="13"/>
  <c r="BH58" i="13" s="1"/>
  <c r="BE55" i="13"/>
  <c r="BH55" i="13" s="1"/>
  <c r="BE60" i="13"/>
  <c r="BH60" i="13" s="1"/>
  <c r="BE56" i="13"/>
  <c r="BH56" i="13" s="1"/>
  <c r="G8" i="14"/>
  <c r="G10" i="14" s="1"/>
  <c r="CN55" i="13"/>
  <c r="BE69" i="13"/>
  <c r="BE68" i="13" s="1"/>
  <c r="BH68" i="13" s="1"/>
  <c r="BN68" i="13" s="1"/>
  <c r="BH64" i="13"/>
  <c r="F8" i="14"/>
  <c r="F10" i="14" s="1"/>
  <c r="BS55" i="13"/>
  <c r="N64" i="13"/>
  <c r="N65" i="13"/>
  <c r="Q65" i="13" s="1"/>
  <c r="N66" i="13"/>
  <c r="Q66" i="13" s="1"/>
  <c r="N67" i="13"/>
  <c r="Q67" i="13" s="1"/>
  <c r="Q7" i="30"/>
  <c r="Q7" i="29"/>
  <c r="U7" i="30"/>
  <c r="U7" i="29"/>
  <c r="CN63" i="13"/>
  <c r="G18" i="14" s="1"/>
  <c r="CN59" i="13"/>
  <c r="G14" i="14" s="1"/>
  <c r="CN64" i="13"/>
  <c r="G19" i="14" s="1"/>
  <c r="CN57" i="13"/>
  <c r="G12" i="14" s="1"/>
  <c r="CN62" i="13"/>
  <c r="G17" i="14" s="1"/>
  <c r="CN58" i="13"/>
  <c r="G13" i="14" s="1"/>
  <c r="CN60" i="13"/>
  <c r="G15" i="14" s="1"/>
  <c r="CN61" i="13"/>
  <c r="G16" i="14" s="1"/>
  <c r="BZ56" i="13"/>
  <c r="CC56" i="13" s="1"/>
  <c r="BZ54" i="13"/>
  <c r="BZ58" i="13"/>
  <c r="CC58" i="13" s="1"/>
  <c r="BZ55" i="13"/>
  <c r="CC55" i="13" s="1"/>
  <c r="BZ60" i="13"/>
  <c r="CC60" i="13" s="1"/>
  <c r="BZ61" i="13"/>
  <c r="CC61" i="13" s="1"/>
  <c r="BZ59" i="13"/>
  <c r="CC59" i="13" s="1"/>
  <c r="BZ57" i="13"/>
  <c r="CC57" i="13" s="1"/>
  <c r="H8" i="14"/>
  <c r="H10" i="14" s="1"/>
  <c r="DI55" i="13"/>
  <c r="AX55" i="13"/>
  <c r="D8" i="14"/>
  <c r="D10" i="14" s="1"/>
  <c r="DI70" i="13"/>
  <c r="BS70" i="13"/>
  <c r="AX70" i="13"/>
  <c r="W7" i="30"/>
  <c r="W7" i="29"/>
  <c r="DI63" i="13"/>
  <c r="H18" i="14" s="1"/>
  <c r="DI59" i="13"/>
  <c r="H14" i="14" s="1"/>
  <c r="DI64" i="13"/>
  <c r="H19" i="14" s="1"/>
  <c r="DI61" i="13"/>
  <c r="H16" i="14" s="1"/>
  <c r="DI62" i="13"/>
  <c r="H17" i="14" s="1"/>
  <c r="DI58" i="13"/>
  <c r="H13" i="14" s="1"/>
  <c r="DI60" i="13"/>
  <c r="H15" i="14" s="1"/>
  <c r="DI57" i="13"/>
  <c r="H12" i="14" s="1"/>
  <c r="CU61" i="13"/>
  <c r="CX61" i="13" s="1"/>
  <c r="CU57" i="13"/>
  <c r="CX57" i="13" s="1"/>
  <c r="CU59" i="13"/>
  <c r="CX59" i="13" s="1"/>
  <c r="CU56" i="13"/>
  <c r="CX56" i="13" s="1"/>
  <c r="CU58" i="13"/>
  <c r="CX58" i="13" s="1"/>
  <c r="CU54" i="13"/>
  <c r="CU55" i="13"/>
  <c r="CX55" i="13" s="1"/>
  <c r="CU60" i="13"/>
  <c r="CX60" i="13" s="1"/>
  <c r="CU69" i="13"/>
  <c r="CU68" i="13" s="1"/>
  <c r="CX68" i="13" s="1"/>
  <c r="CX64" i="13"/>
  <c r="DZ6" i="13"/>
  <c r="R6" i="30"/>
  <c r="R56" i="30" s="1"/>
  <c r="S56" i="30" s="1"/>
  <c r="R6" i="29"/>
  <c r="BZ69" i="13"/>
  <c r="BZ68" i="13" s="1"/>
  <c r="CC68" i="13" s="1"/>
  <c r="CC64" i="13"/>
  <c r="CN70" i="13"/>
  <c r="N7" i="18"/>
  <c r="N7" i="19"/>
  <c r="N7" i="20"/>
  <c r="O7" i="17"/>
  <c r="DM7" i="13"/>
  <c r="AB26" i="24" s="1"/>
  <c r="M6" i="18"/>
  <c r="X7" i="13"/>
  <c r="M50" i="4"/>
  <c r="M51" i="4"/>
  <c r="BO6" i="13"/>
  <c r="DH6" i="13"/>
  <c r="EB6" i="13" s="1"/>
  <c r="DE6" i="13"/>
  <c r="AW6" i="13"/>
  <c r="BS6" i="13"/>
  <c r="FC7" i="13" l="1"/>
  <c r="S67" i="13"/>
  <c r="V67" i="13" s="1"/>
  <c r="M7" i="4"/>
  <c r="AR62" i="13"/>
  <c r="AO62" i="13"/>
  <c r="G20" i="14"/>
  <c r="H20" i="14"/>
  <c r="F20" i="14"/>
  <c r="E20" i="14"/>
  <c r="D20" i="14"/>
  <c r="AR89" i="13"/>
  <c r="AS89" i="13" s="1"/>
  <c r="DT105" i="13"/>
  <c r="AO82" i="13"/>
  <c r="AR74" i="13"/>
  <c r="DT85" i="13"/>
  <c r="FQ9" i="13"/>
  <c r="FX14" i="13"/>
  <c r="FQ14" i="13"/>
  <c r="FY14" i="13"/>
  <c r="FZ14" i="13" s="1"/>
  <c r="FQ8" i="13"/>
  <c r="FQ28" i="13"/>
  <c r="FX28" i="13"/>
  <c r="FY28" i="13"/>
  <c r="FZ28" i="13" s="1"/>
  <c r="EX6" i="13"/>
  <c r="FA6" i="13"/>
  <c r="EZ6" i="13"/>
  <c r="P7" i="19"/>
  <c r="EG7" i="13"/>
  <c r="ES7" i="13" s="1"/>
  <c r="CR7" i="13"/>
  <c r="AB25" i="24" s="1"/>
  <c r="BW7" i="13"/>
  <c r="AB24" i="24" s="1"/>
  <c r="EF7" i="13"/>
  <c r="BN59" i="13"/>
  <c r="BN61" i="13"/>
  <c r="FV59" i="13"/>
  <c r="FV62" i="13"/>
  <c r="FV60" i="13"/>
  <c r="FV61" i="13"/>
  <c r="AB54" i="13"/>
  <c r="C9" i="14" s="1"/>
  <c r="S64" i="13"/>
  <c r="V64" i="13" s="1"/>
  <c r="AS68" i="13"/>
  <c r="AS60" i="13"/>
  <c r="CI56" i="13"/>
  <c r="AS61" i="13"/>
  <c r="N7" i="30"/>
  <c r="AB69" i="13"/>
  <c r="C25" i="14" s="1"/>
  <c r="AB53" i="13"/>
  <c r="AB55" i="13" s="1"/>
  <c r="N7" i="29"/>
  <c r="S66" i="13"/>
  <c r="V66" i="13" s="1"/>
  <c r="AB68" i="13"/>
  <c r="C24" i="14" s="1"/>
  <c r="AB66" i="13"/>
  <c r="C22" i="14" s="1"/>
  <c r="S65" i="13"/>
  <c r="V65" i="13" s="1"/>
  <c r="DX7" i="13"/>
  <c r="EV7" i="13" s="1"/>
  <c r="FH7" i="13" s="1"/>
  <c r="FJ7" i="13" s="1"/>
  <c r="AB67" i="13"/>
  <c r="C23" i="14" s="1"/>
  <c r="DD60" i="13"/>
  <c r="DD59" i="13"/>
  <c r="AS55" i="13"/>
  <c r="DD68" i="13"/>
  <c r="DD58" i="13"/>
  <c r="DD56" i="13"/>
  <c r="CI57" i="13"/>
  <c r="CI59" i="13"/>
  <c r="BN55" i="13"/>
  <c r="BN56" i="13"/>
  <c r="CI61" i="13"/>
  <c r="DD55" i="13"/>
  <c r="CI58" i="13"/>
  <c r="AS56" i="13"/>
  <c r="CI55" i="13"/>
  <c r="DD61" i="13"/>
  <c r="CI60" i="13"/>
  <c r="AS59" i="13"/>
  <c r="AS58" i="13"/>
  <c r="BN58" i="13"/>
  <c r="CI68" i="13"/>
  <c r="DD57" i="13"/>
  <c r="AS57" i="13"/>
  <c r="BN60" i="13"/>
  <c r="BN57" i="13"/>
  <c r="CZ62" i="13"/>
  <c r="DC54" i="13"/>
  <c r="BM54" i="13"/>
  <c r="BM62" i="13" s="1"/>
  <c r="BJ62" i="13"/>
  <c r="CH54" i="13"/>
  <c r="CE62" i="13"/>
  <c r="CH62" i="13" s="1"/>
  <c r="EY6" i="13"/>
  <c r="AX65" i="13"/>
  <c r="CX69" i="13"/>
  <c r="DD69" i="13" s="1"/>
  <c r="DD64" i="13"/>
  <c r="BZ62" i="13"/>
  <c r="CC54" i="13"/>
  <c r="BE62" i="13"/>
  <c r="BH54" i="13"/>
  <c r="S6" i="30"/>
  <c r="S6" i="29"/>
  <c r="S98" i="29" s="1"/>
  <c r="R56" i="29"/>
  <c r="S56" i="29" s="1"/>
  <c r="R98" i="29"/>
  <c r="CU62" i="13"/>
  <c r="CX54" i="13"/>
  <c r="AS69" i="13"/>
  <c r="AS64" i="13"/>
  <c r="BS65" i="13"/>
  <c r="DY6" i="13"/>
  <c r="EW6" i="13" s="1"/>
  <c r="P6" i="30"/>
  <c r="P56" i="30" s="1"/>
  <c r="Q56" i="30" s="1"/>
  <c r="P6" i="29"/>
  <c r="BH69" i="13"/>
  <c r="BN69" i="13" s="1"/>
  <c r="BN64" i="13"/>
  <c r="V6" i="30"/>
  <c r="V56" i="30" s="1"/>
  <c r="W56" i="30" s="1"/>
  <c r="V6" i="29"/>
  <c r="CC69" i="13"/>
  <c r="CI69" i="13" s="1"/>
  <c r="CI64" i="13"/>
  <c r="DI65" i="13"/>
  <c r="CN65" i="13"/>
  <c r="N69" i="13"/>
  <c r="N6" i="18"/>
  <c r="T22" i="24"/>
  <c r="FC112" i="13"/>
  <c r="AB7" i="13"/>
  <c r="M6" i="20"/>
  <c r="N6" i="17"/>
  <c r="N51" i="4"/>
  <c r="N50" i="4"/>
  <c r="DI6" i="13"/>
  <c r="N8" i="4"/>
  <c r="AX6" i="13"/>
  <c r="H8" i="36" l="1"/>
  <c r="H8" i="35"/>
  <c r="AE7" i="13"/>
  <c r="DC62" i="13"/>
  <c r="AS74" i="13"/>
  <c r="AS82" i="13" s="1"/>
  <c r="AR82" i="13"/>
  <c r="EJ7" i="13"/>
  <c r="FE7" i="13"/>
  <c r="ER7" i="13"/>
  <c r="FD7" i="13"/>
  <c r="C8" i="14"/>
  <c r="C10" i="14" s="1"/>
  <c r="S69" i="13"/>
  <c r="S68" i="13" s="1"/>
  <c r="V68" i="13" s="1"/>
  <c r="AB70" i="13"/>
  <c r="V69" i="13"/>
  <c r="S61" i="13"/>
  <c r="V61" i="13" s="1"/>
  <c r="S57" i="13"/>
  <c r="V57" i="13" s="1"/>
  <c r="S58" i="13"/>
  <c r="V58" i="13" s="1"/>
  <c r="S54" i="13"/>
  <c r="S59" i="13"/>
  <c r="V59" i="13" s="1"/>
  <c r="S55" i="13"/>
  <c r="V55" i="13" s="1"/>
  <c r="S60" i="13"/>
  <c r="V60" i="13" s="1"/>
  <c r="S56" i="13"/>
  <c r="V56" i="13" s="1"/>
  <c r="O7" i="30"/>
  <c r="O7" i="29"/>
  <c r="AB57" i="13"/>
  <c r="C12" i="14" s="1"/>
  <c r="AB63" i="13"/>
  <c r="C18" i="14" s="1"/>
  <c r="AB59" i="13"/>
  <c r="C14" i="14" s="1"/>
  <c r="AB64" i="13"/>
  <c r="C19" i="14" s="1"/>
  <c r="AB61" i="13"/>
  <c r="C16" i="14" s="1"/>
  <c r="AB62" i="13"/>
  <c r="C17" i="14" s="1"/>
  <c r="AB58" i="13"/>
  <c r="C13" i="14" s="1"/>
  <c r="AB60" i="13"/>
  <c r="C15" i="14" s="1"/>
  <c r="AS54" i="13"/>
  <c r="AS62" i="13" s="1"/>
  <c r="V56" i="29"/>
  <c r="W56" i="29" s="1"/>
  <c r="V98" i="29"/>
  <c r="W6" i="30"/>
  <c r="W6" i="29"/>
  <c r="W98" i="29" s="1"/>
  <c r="BN54" i="13"/>
  <c r="BN62" i="13" s="1"/>
  <c r="BH62" i="13"/>
  <c r="P56" i="29"/>
  <c r="Q56" i="29" s="1"/>
  <c r="P98" i="29"/>
  <c r="Q6" i="30"/>
  <c r="Q6" i="29"/>
  <c r="Q98" i="29" s="1"/>
  <c r="CX62" i="13"/>
  <c r="DD54" i="13"/>
  <c r="DD62" i="13" s="1"/>
  <c r="CC62" i="13"/>
  <c r="CI54" i="13"/>
  <c r="CI62" i="13" s="1"/>
  <c r="W66" i="13"/>
  <c r="N58" i="13"/>
  <c r="Q58" i="13" s="1"/>
  <c r="N54" i="13"/>
  <c r="W65" i="13"/>
  <c r="N61" i="13"/>
  <c r="Q61" i="13" s="1"/>
  <c r="N59" i="13"/>
  <c r="Q59" i="13" s="1"/>
  <c r="N57" i="13"/>
  <c r="Q57" i="13" s="1"/>
  <c r="N55" i="13"/>
  <c r="Q55" i="13" s="1"/>
  <c r="Q64" i="13"/>
  <c r="Q69" i="13" s="1"/>
  <c r="N60" i="13"/>
  <c r="Q60" i="13" s="1"/>
  <c r="N56" i="13"/>
  <c r="Q56" i="13" s="1"/>
  <c r="N6" i="20"/>
  <c r="O6" i="17"/>
  <c r="N7" i="4"/>
  <c r="P7" i="4" l="1"/>
  <c r="Y22" i="24"/>
  <c r="FN7" i="13"/>
  <c r="FL7" i="13"/>
  <c r="ED7" i="13"/>
  <c r="AX85" i="13"/>
  <c r="FG6" i="13"/>
  <c r="FF6" i="13"/>
  <c r="W61" i="13"/>
  <c r="FV58" i="13"/>
  <c r="W56" i="13"/>
  <c r="W60" i="13"/>
  <c r="W58" i="13"/>
  <c r="W59" i="13"/>
  <c r="W57" i="13"/>
  <c r="W55" i="13"/>
  <c r="S62" i="13"/>
  <c r="V54" i="13"/>
  <c r="V62" i="13" s="1"/>
  <c r="FF112" i="13"/>
  <c r="W64" i="13"/>
  <c r="W69" i="13" s="1"/>
  <c r="N62" i="13"/>
  <c r="N68" i="13" s="1"/>
  <c r="Q68" i="13" s="1"/>
  <c r="Q54" i="13"/>
  <c r="AB65" i="13"/>
  <c r="AF7" i="13"/>
  <c r="AB22" i="24" s="1"/>
  <c r="C26" i="14"/>
  <c r="C20" i="14"/>
  <c r="I8" i="36" l="1"/>
  <c r="I8" i="35"/>
  <c r="EP7" i="13"/>
  <c r="FB7" i="13"/>
  <c r="FI7" i="13" s="1"/>
  <c r="FK7" i="13" s="1"/>
  <c r="J8" i="36" s="1"/>
  <c r="Z51" i="29"/>
  <c r="W54" i="13"/>
  <c r="W62" i="13" s="1"/>
  <c r="W68" i="13" s="1"/>
  <c r="Q62" i="13"/>
  <c r="F47" i="24" l="1"/>
  <c r="F50" i="24" s="1"/>
  <c r="Z51" i="30"/>
  <c r="FO7" i="13" l="1"/>
  <c r="FM7" i="13"/>
  <c r="K8" i="36" s="1"/>
  <c r="FP7" i="13"/>
  <c r="FR7" i="13" s="1"/>
  <c r="X56" i="30" l="1"/>
  <c r="Y56" i="30" s="1"/>
  <c r="FN6" i="13" l="1"/>
  <c r="FP6" i="13" s="1"/>
  <c r="Y98" i="29"/>
  <c r="X56" i="29"/>
  <c r="Y56" i="29" s="1"/>
  <c r="X98" i="29"/>
  <c r="FS9" i="13" l="1"/>
  <c r="J10" i="35" s="1"/>
  <c r="FR8" i="13"/>
  <c r="FR9" i="13"/>
  <c r="FS8" i="13"/>
  <c r="J9" i="35" s="1"/>
  <c r="K47" i="24"/>
  <c r="S47" i="24" s="1"/>
  <c r="Z41" i="30"/>
  <c r="FT8" i="13" l="1"/>
  <c r="K9" i="35" s="1"/>
  <c r="FT9" i="13"/>
  <c r="K10" i="35" s="1"/>
  <c r="Z41" i="29"/>
  <c r="F19" i="26" l="1"/>
  <c r="K19" i="26"/>
  <c r="K16" i="26"/>
  <c r="F16" i="26"/>
  <c r="K18" i="26"/>
  <c r="K17" i="26"/>
  <c r="F18" i="26"/>
  <c r="F17" i="26"/>
  <c r="Z26" i="29"/>
  <c r="Z26" i="30"/>
  <c r="AC51" i="30" l="1"/>
  <c r="D51" i="30" s="1"/>
  <c r="AC51" i="29"/>
  <c r="D51" i="29" s="1"/>
  <c r="F21" i="26"/>
  <c r="F20" i="26"/>
  <c r="K12" i="26"/>
  <c r="F6" i="26"/>
  <c r="K10" i="26"/>
  <c r="K7" i="26"/>
  <c r="F12" i="26"/>
  <c r="K13" i="26"/>
  <c r="K9" i="26"/>
  <c r="F8" i="26"/>
  <c r="F7" i="26"/>
  <c r="F9" i="26"/>
  <c r="K8" i="26"/>
  <c r="F13" i="26"/>
  <c r="F10" i="26"/>
  <c r="F11" i="26"/>
  <c r="K6" i="26"/>
  <c r="K11" i="26"/>
  <c r="K20" i="26"/>
  <c r="K21" i="26"/>
  <c r="E19" i="26"/>
  <c r="J19" i="26"/>
  <c r="H19" i="26"/>
  <c r="C19" i="26"/>
  <c r="AC49" i="30"/>
  <c r="D49" i="30" s="1"/>
  <c r="AC49" i="29"/>
  <c r="D49" i="29" s="1"/>
  <c r="F15" i="26" l="1"/>
  <c r="F14" i="26" s="1"/>
  <c r="K15" i="26"/>
  <c r="K14" i="26" s="1"/>
  <c r="Z16" i="29" l="1"/>
  <c r="Z16" i="30"/>
  <c r="FD6" i="13"/>
  <c r="FB112" i="13"/>
  <c r="FE6" i="13"/>
  <c r="FC6" i="13"/>
  <c r="FS7" i="13"/>
  <c r="J8" i="35" s="1"/>
  <c r="FB6" i="13"/>
  <c r="FU9" i="13" l="1"/>
  <c r="FU8" i="13"/>
  <c r="AC42" i="29"/>
  <c r="D42" i="29" s="1"/>
  <c r="AC42" i="30"/>
  <c r="D42" i="30" s="1"/>
  <c r="FQ7" i="13"/>
  <c r="Z31" i="30"/>
  <c r="Z31" i="29"/>
  <c r="Z30" i="30"/>
  <c r="Z30" i="29"/>
  <c r="Z38" i="29"/>
  <c r="Z38" i="30"/>
  <c r="Z23" i="30"/>
  <c r="Z23" i="29"/>
  <c r="Z12" i="29"/>
  <c r="Z12" i="30"/>
  <c r="Z47" i="29"/>
  <c r="Z47" i="30"/>
  <c r="Z29" i="30"/>
  <c r="Z29" i="29"/>
  <c r="Z18" i="30"/>
  <c r="Z18" i="29"/>
  <c r="Z48" i="30"/>
  <c r="Z48" i="29"/>
  <c r="Z40" i="30"/>
  <c r="Z40" i="29"/>
  <c r="FU7" i="13"/>
  <c r="FT7" i="13"/>
  <c r="K8" i="35" s="1"/>
  <c r="Z9" i="30"/>
  <c r="Z9" i="29"/>
  <c r="Z33" i="30"/>
  <c r="Z33" i="29"/>
  <c r="Z10" i="29"/>
  <c r="Z10" i="30"/>
  <c r="Z28" i="29"/>
  <c r="Z28" i="30"/>
  <c r="Z21" i="29"/>
  <c r="Z21" i="30"/>
  <c r="Z14" i="29"/>
  <c r="Z14" i="30"/>
  <c r="FO6" i="13"/>
  <c r="FQ6" i="13" s="1"/>
  <c r="M45" i="24" l="1"/>
  <c r="FY8" i="13"/>
  <c r="FX8" i="13"/>
  <c r="FX9" i="13"/>
  <c r="FY9" i="13"/>
  <c r="AK3" i="24"/>
  <c r="FY7" i="13"/>
  <c r="FX7" i="13"/>
  <c r="C29" i="24"/>
  <c r="U29" i="24" s="1"/>
  <c r="AC35" i="30"/>
  <c r="D35" i="30" s="1"/>
  <c r="AC35" i="29"/>
  <c r="D35" i="29" s="1"/>
  <c r="AC28" i="30"/>
  <c r="D28" i="30" s="1"/>
  <c r="AC28" i="29"/>
  <c r="D28" i="29" s="1"/>
  <c r="AC12" i="30"/>
  <c r="D12" i="30" s="1"/>
  <c r="AC12" i="29"/>
  <c r="D12" i="29" s="1"/>
  <c r="AC29" i="29"/>
  <c r="D29" i="29" s="1"/>
  <c r="AC29" i="30"/>
  <c r="D29" i="30" s="1"/>
  <c r="AC8" i="29"/>
  <c r="D8" i="29" s="1"/>
  <c r="AC8" i="30"/>
  <c r="D8" i="30" s="1"/>
  <c r="AC23" i="29"/>
  <c r="D23" i="29" s="1"/>
  <c r="AC23" i="30"/>
  <c r="D23" i="30" s="1"/>
  <c r="AC15" i="29"/>
  <c r="D15" i="29" s="1"/>
  <c r="AC15" i="30"/>
  <c r="D15" i="30" s="1"/>
  <c r="AC30" i="29"/>
  <c r="D30" i="29" s="1"/>
  <c r="AC30" i="30"/>
  <c r="D30" i="30" s="1"/>
  <c r="AC16" i="29"/>
  <c r="D16" i="29" s="1"/>
  <c r="AC16" i="30"/>
  <c r="D16" i="30" s="1"/>
  <c r="AC22" i="29"/>
  <c r="D22" i="29" s="1"/>
  <c r="AC22" i="30"/>
  <c r="D22" i="30" s="1"/>
  <c r="AC26" i="29"/>
  <c r="D26" i="29" s="1"/>
  <c r="AC26" i="30"/>
  <c r="D26" i="30" s="1"/>
  <c r="AC9" i="29"/>
  <c r="D9" i="29" s="1"/>
  <c r="AC9" i="30"/>
  <c r="D9" i="30" s="1"/>
  <c r="AC50" i="29"/>
  <c r="D50" i="29" s="1"/>
  <c r="AC50" i="30"/>
  <c r="D50" i="30" s="1"/>
  <c r="AC34" i="29"/>
  <c r="D34" i="29" s="1"/>
  <c r="AC34" i="30"/>
  <c r="D34" i="30" s="1"/>
  <c r="AC10" i="29"/>
  <c r="D10" i="29" s="1"/>
  <c r="AC10" i="30"/>
  <c r="D10" i="30" s="1"/>
  <c r="AC27" i="29"/>
  <c r="D27" i="29" s="1"/>
  <c r="AC27" i="30"/>
  <c r="D27" i="30" s="1"/>
  <c r="AC46" i="30"/>
  <c r="D46" i="30" s="1"/>
  <c r="AC46" i="29"/>
  <c r="D46" i="29" s="1"/>
  <c r="AC37" i="30"/>
  <c r="D37" i="30" s="1"/>
  <c r="AC37" i="29"/>
  <c r="D37" i="29" s="1"/>
  <c r="AC24" i="29"/>
  <c r="D24" i="29" s="1"/>
  <c r="AC24" i="30"/>
  <c r="D24" i="30" s="1"/>
  <c r="AC11" i="30"/>
  <c r="D11" i="30" s="1"/>
  <c r="AC11" i="29"/>
  <c r="D11" i="29" s="1"/>
  <c r="AC19" i="29"/>
  <c r="D19" i="29" s="1"/>
  <c r="AC19" i="30"/>
  <c r="D19" i="30" s="1"/>
  <c r="Z6" i="30"/>
  <c r="Z6" i="29"/>
  <c r="Z35" i="30"/>
  <c r="Z35" i="29"/>
  <c r="Z44" i="29"/>
  <c r="Z44" i="30"/>
  <c r="Z17" i="29"/>
  <c r="Z17" i="30"/>
  <c r="AC18" i="29"/>
  <c r="D18" i="29" s="1"/>
  <c r="AC18" i="30"/>
  <c r="D18" i="30" s="1"/>
  <c r="AC20" i="30"/>
  <c r="D20" i="30" s="1"/>
  <c r="AC20" i="29"/>
  <c r="D20" i="29" s="1"/>
  <c r="I19" i="26"/>
  <c r="L19" i="26" s="1"/>
  <c r="D19" i="26"/>
  <c r="G19" i="26" s="1"/>
  <c r="AC38" i="29"/>
  <c r="D38" i="29" s="1"/>
  <c r="AC38" i="30"/>
  <c r="D38" i="30" s="1"/>
  <c r="AC32" i="30"/>
  <c r="D32" i="30" s="1"/>
  <c r="AC32" i="29"/>
  <c r="D32" i="29" s="1"/>
  <c r="AC48" i="29"/>
  <c r="D48" i="29" s="1"/>
  <c r="AC48" i="30"/>
  <c r="D48" i="30" s="1"/>
  <c r="AC39" i="30"/>
  <c r="D39" i="30" s="1"/>
  <c r="AC39" i="29"/>
  <c r="D39" i="29" s="1"/>
  <c r="AC47" i="29"/>
  <c r="D47" i="29" s="1"/>
  <c r="AC47" i="30"/>
  <c r="D47" i="30" s="1"/>
  <c r="Z49" i="29"/>
  <c r="Z49" i="30"/>
  <c r="AC40" i="29"/>
  <c r="D40" i="29" s="1"/>
  <c r="AC40" i="30"/>
  <c r="D40" i="30" s="1"/>
  <c r="AC25" i="29"/>
  <c r="D25" i="29" s="1"/>
  <c r="AC25" i="30"/>
  <c r="D25" i="30" s="1"/>
  <c r="AC45" i="29"/>
  <c r="D45" i="29" s="1"/>
  <c r="AC45" i="30"/>
  <c r="D45" i="30" s="1"/>
  <c r="AC13" i="30"/>
  <c r="D13" i="30" s="1"/>
  <c r="AC13" i="29"/>
  <c r="D13" i="29" s="1"/>
  <c r="Z25" i="30"/>
  <c r="Z25" i="29"/>
  <c r="Z24" i="30"/>
  <c r="Z24" i="29"/>
  <c r="Z39" i="29"/>
  <c r="Z39" i="30"/>
  <c r="Z13" i="29"/>
  <c r="Z13" i="30"/>
  <c r="Z42" i="29"/>
  <c r="Z42" i="30"/>
  <c r="Z7" i="29"/>
  <c r="Z7" i="30"/>
  <c r="Z50" i="29"/>
  <c r="Z50" i="30"/>
  <c r="Z32" i="29"/>
  <c r="Z32" i="30"/>
  <c r="Z11" i="29"/>
  <c r="Z11" i="30"/>
  <c r="Z43" i="29"/>
  <c r="Z43" i="30"/>
  <c r="Z19" i="30"/>
  <c r="Z19" i="29"/>
  <c r="AC44" i="29"/>
  <c r="D44" i="29" s="1"/>
  <c r="AC44" i="30"/>
  <c r="D44" i="30" s="1"/>
  <c r="AC21" i="30"/>
  <c r="D21" i="30" s="1"/>
  <c r="AC21" i="29"/>
  <c r="D21" i="29" s="1"/>
  <c r="AC14" i="30"/>
  <c r="D14" i="30" s="1"/>
  <c r="AC14" i="29"/>
  <c r="D14" i="29" s="1"/>
  <c r="Z36" i="30"/>
  <c r="Z36" i="29"/>
  <c r="Z8" i="29"/>
  <c r="Z8" i="30"/>
  <c r="AC41" i="29"/>
  <c r="D41" i="29" s="1"/>
  <c r="AC41" i="30"/>
  <c r="D41" i="30" s="1"/>
  <c r="AC17" i="29"/>
  <c r="D17" i="29" s="1"/>
  <c r="AC17" i="30"/>
  <c r="D17" i="30" s="1"/>
  <c r="AC33" i="30"/>
  <c r="D33" i="30" s="1"/>
  <c r="AC33" i="29"/>
  <c r="D33" i="29" s="1"/>
  <c r="AC36" i="30"/>
  <c r="D36" i="30" s="1"/>
  <c r="AC36" i="29"/>
  <c r="D36" i="29" s="1"/>
  <c r="AC7" i="30"/>
  <c r="D7" i="30" s="1"/>
  <c r="AC7" i="29"/>
  <c r="D7" i="29" s="1"/>
  <c r="AC43" i="30"/>
  <c r="D43" i="30" s="1"/>
  <c r="AC43" i="29"/>
  <c r="D43" i="29" s="1"/>
  <c r="AC31" i="29"/>
  <c r="D31" i="29" s="1"/>
  <c r="AC31" i="30"/>
  <c r="D31" i="30" s="1"/>
  <c r="Z37" i="29"/>
  <c r="Z37" i="30"/>
  <c r="Z46" i="29"/>
  <c r="Z46" i="30"/>
  <c r="Z45" i="29"/>
  <c r="Z45" i="30"/>
  <c r="Z22" i="29"/>
  <c r="Z22" i="30"/>
  <c r="Z34" i="30"/>
  <c r="Z34" i="29"/>
  <c r="Z15" i="30"/>
  <c r="Z15" i="29"/>
  <c r="Z27" i="29"/>
  <c r="Z27" i="30"/>
  <c r="Z20" i="30"/>
  <c r="Z20" i="29"/>
  <c r="FZ9" i="13" l="1"/>
  <c r="M10" i="36" s="1"/>
  <c r="L10" i="36"/>
  <c r="FZ8" i="13"/>
  <c r="M9" i="36" s="1"/>
  <c r="L9" i="36"/>
  <c r="FZ7" i="13"/>
  <c r="M8" i="36" s="1"/>
  <c r="L8" i="36"/>
  <c r="M46" i="24"/>
  <c r="AA7" i="29"/>
  <c r="AB7" i="29" s="1"/>
  <c r="V46" i="24"/>
  <c r="Q46" i="24"/>
  <c r="AA7" i="30"/>
  <c r="AB7" i="30" s="1"/>
  <c r="AA13" i="29"/>
  <c r="AB13" i="29" s="1"/>
  <c r="AA21" i="29"/>
  <c r="AB21" i="29" s="1"/>
  <c r="AA29" i="29"/>
  <c r="AB29" i="29" s="1"/>
  <c r="AF29" i="29" s="1"/>
  <c r="AA37" i="29"/>
  <c r="AB37" i="29" s="1"/>
  <c r="AA45" i="29"/>
  <c r="AB45" i="29" s="1"/>
  <c r="AA14" i="29"/>
  <c r="AB14" i="29" s="1"/>
  <c r="AA22" i="29"/>
  <c r="AB22" i="29" s="1"/>
  <c r="AF22" i="29" s="1"/>
  <c r="AA30" i="29"/>
  <c r="AB30" i="29" s="1"/>
  <c r="AF30" i="29" s="1"/>
  <c r="AA38" i="29"/>
  <c r="AB38" i="29" s="1"/>
  <c r="AA46" i="29"/>
  <c r="AB46" i="29" s="1"/>
  <c r="AF46" i="29" s="1"/>
  <c r="AA8" i="29"/>
  <c r="AB8" i="29" s="1"/>
  <c r="AA16" i="29"/>
  <c r="AB16" i="29" s="1"/>
  <c r="AA24" i="29"/>
  <c r="AB24" i="29" s="1"/>
  <c r="AA32" i="29"/>
  <c r="AB32" i="29" s="1"/>
  <c r="AF32" i="29" s="1"/>
  <c r="AA40" i="29"/>
  <c r="AB40" i="29" s="1"/>
  <c r="AA48" i="29"/>
  <c r="AB48" i="29" s="1"/>
  <c r="AA9" i="29"/>
  <c r="AB9" i="29" s="1"/>
  <c r="AA17" i="29"/>
  <c r="AB17" i="29" s="1"/>
  <c r="AF17" i="29" s="1"/>
  <c r="AA25" i="29"/>
  <c r="AB25" i="29" s="1"/>
  <c r="AA33" i="29"/>
  <c r="AB33" i="29" s="1"/>
  <c r="AF33" i="29" s="1"/>
  <c r="AA41" i="29"/>
  <c r="AB41" i="29" s="1"/>
  <c r="AF41" i="29" s="1"/>
  <c r="AA49" i="29"/>
  <c r="AB49" i="29" s="1"/>
  <c r="AF49" i="29" s="1"/>
  <c r="AA10" i="29"/>
  <c r="AB10" i="29" s="1"/>
  <c r="AA18" i="29"/>
  <c r="AB18" i="29" s="1"/>
  <c r="AF18" i="29" s="1"/>
  <c r="AA26" i="29"/>
  <c r="AB26" i="29" s="1"/>
  <c r="AA34" i="29"/>
  <c r="AB34" i="29" s="1"/>
  <c r="AF34" i="29" s="1"/>
  <c r="AA42" i="29"/>
  <c r="AB42" i="29" s="1"/>
  <c r="AF42" i="29" s="1"/>
  <c r="AA50" i="29"/>
  <c r="AB50" i="29" s="1"/>
  <c r="AF50" i="29" s="1"/>
  <c r="AA11" i="29"/>
  <c r="AB11" i="29" s="1"/>
  <c r="AF11" i="29" s="1"/>
  <c r="AA19" i="29"/>
  <c r="AB19" i="29" s="1"/>
  <c r="AF19" i="29" s="1"/>
  <c r="AA27" i="29"/>
  <c r="AB27" i="29" s="1"/>
  <c r="AA35" i="29"/>
  <c r="AB35" i="29" s="1"/>
  <c r="AA43" i="29"/>
  <c r="AB43" i="29" s="1"/>
  <c r="AF43" i="29" s="1"/>
  <c r="AA51" i="29"/>
  <c r="AB51" i="29" s="1"/>
  <c r="AF51" i="29" s="1"/>
  <c r="AA12" i="29"/>
  <c r="AB12" i="29" s="1"/>
  <c r="AA20" i="29"/>
  <c r="AB20" i="29" s="1"/>
  <c r="AA28" i="29"/>
  <c r="AB28" i="29" s="1"/>
  <c r="AF28" i="29" s="1"/>
  <c r="AA36" i="29"/>
  <c r="AB36" i="29" s="1"/>
  <c r="AA44" i="29"/>
  <c r="AB44" i="29" s="1"/>
  <c r="AA6" i="29"/>
  <c r="AB6" i="29" s="1"/>
  <c r="AA15" i="29"/>
  <c r="AB15" i="29" s="1"/>
  <c r="AF15" i="29" s="1"/>
  <c r="AA39" i="29"/>
  <c r="AB39" i="29" s="1"/>
  <c r="AF39" i="29" s="1"/>
  <c r="AA23" i="29"/>
  <c r="AB23" i="29" s="1"/>
  <c r="AA31" i="29"/>
  <c r="AB31" i="29" s="1"/>
  <c r="AA47" i="29"/>
  <c r="AB47" i="29" s="1"/>
  <c r="AF47" i="29" s="1"/>
  <c r="AA13" i="30"/>
  <c r="AB13" i="30" s="1"/>
  <c r="AA21" i="30"/>
  <c r="AB21" i="30" s="1"/>
  <c r="AA29" i="30"/>
  <c r="AB29" i="30" s="1"/>
  <c r="AA37" i="30"/>
  <c r="AB37" i="30" s="1"/>
  <c r="AA45" i="30"/>
  <c r="AB45" i="30" s="1"/>
  <c r="AA8" i="30"/>
  <c r="AB8" i="30" s="1"/>
  <c r="AA14" i="30"/>
  <c r="AB14" i="30" s="1"/>
  <c r="AA22" i="30"/>
  <c r="AB22" i="30" s="1"/>
  <c r="AA30" i="30"/>
  <c r="AB30" i="30" s="1"/>
  <c r="AA38" i="30"/>
  <c r="AB38" i="30" s="1"/>
  <c r="AA46" i="30"/>
  <c r="AB46" i="30" s="1"/>
  <c r="AA9" i="30"/>
  <c r="AB9" i="30" s="1"/>
  <c r="AA16" i="30"/>
  <c r="AB16" i="30" s="1"/>
  <c r="AA24" i="30"/>
  <c r="AB24" i="30" s="1"/>
  <c r="AA32" i="30"/>
  <c r="AB32" i="30" s="1"/>
  <c r="AA40" i="30"/>
  <c r="AB40" i="30" s="1"/>
  <c r="AA48" i="30"/>
  <c r="AB48" i="30" s="1"/>
  <c r="AF48" i="30" s="1"/>
  <c r="AA11" i="30"/>
  <c r="AB11" i="30" s="1"/>
  <c r="AA17" i="30"/>
  <c r="AB17" i="30" s="1"/>
  <c r="AA25" i="30"/>
  <c r="AB25" i="30" s="1"/>
  <c r="AA33" i="30"/>
  <c r="AB33" i="30" s="1"/>
  <c r="AA41" i="30"/>
  <c r="AB41" i="30" s="1"/>
  <c r="AA49" i="30"/>
  <c r="AB49" i="30" s="1"/>
  <c r="AF49" i="30" s="1"/>
  <c r="AA12" i="30"/>
  <c r="AB12" i="30" s="1"/>
  <c r="AA18" i="30"/>
  <c r="AB18" i="30" s="1"/>
  <c r="AF18" i="30" s="1"/>
  <c r="AA26" i="30"/>
  <c r="AB26" i="30" s="1"/>
  <c r="AA34" i="30"/>
  <c r="AB34" i="30" s="1"/>
  <c r="AA42" i="30"/>
  <c r="AB42" i="30" s="1"/>
  <c r="AA50" i="30"/>
  <c r="AB50" i="30" s="1"/>
  <c r="AF50" i="30" s="1"/>
  <c r="AA6" i="30"/>
  <c r="AB6" i="30" s="1"/>
  <c r="AA19" i="30"/>
  <c r="AB19" i="30" s="1"/>
  <c r="AA27" i="30"/>
  <c r="AB27" i="30" s="1"/>
  <c r="AA35" i="30"/>
  <c r="AB35" i="30" s="1"/>
  <c r="AA43" i="30"/>
  <c r="AB43" i="30" s="1"/>
  <c r="AA51" i="30"/>
  <c r="AB51" i="30" s="1"/>
  <c r="AF51" i="30" s="1"/>
  <c r="AA20" i="30"/>
  <c r="AB20" i="30" s="1"/>
  <c r="AA28" i="30"/>
  <c r="AB28" i="30" s="1"/>
  <c r="AA36" i="30"/>
  <c r="AB36" i="30" s="1"/>
  <c r="AA44" i="30"/>
  <c r="AB44" i="30" s="1"/>
  <c r="AA47" i="30"/>
  <c r="AB47" i="30" s="1"/>
  <c r="AF47" i="30" s="1"/>
  <c r="AA10" i="30"/>
  <c r="AB10" i="30" s="1"/>
  <c r="AA15" i="30"/>
  <c r="AB15" i="30" s="1"/>
  <c r="AA31" i="30"/>
  <c r="AB31" i="30" s="1"/>
  <c r="AA39" i="30"/>
  <c r="AB39" i="30" s="1"/>
  <c r="AA23" i="30"/>
  <c r="AB23" i="30" s="1"/>
  <c r="J43" i="24"/>
  <c r="L29" i="24"/>
  <c r="AB29" i="24"/>
  <c r="R29" i="24"/>
  <c r="H29" i="24"/>
  <c r="Y29" i="24"/>
  <c r="P29" i="24"/>
  <c r="T29" i="24"/>
  <c r="AD51" i="29"/>
  <c r="AD51" i="30"/>
  <c r="AD23" i="30"/>
  <c r="AD18" i="30"/>
  <c r="AD19" i="30"/>
  <c r="AD43" i="29"/>
  <c r="AD32" i="29"/>
  <c r="AD26" i="29"/>
  <c r="AD7" i="29"/>
  <c r="AD41" i="29"/>
  <c r="AD16" i="29"/>
  <c r="AD39" i="29"/>
  <c r="AD25" i="30"/>
  <c r="AD49" i="29"/>
  <c r="AD44" i="29"/>
  <c r="AD34" i="29"/>
  <c r="AD19" i="29"/>
  <c r="AD25" i="29"/>
  <c r="AD49" i="30"/>
  <c r="AD44" i="30"/>
  <c r="AD20" i="30"/>
  <c r="AD27" i="29"/>
  <c r="AD22" i="29"/>
  <c r="AD37" i="29"/>
  <c r="AD8" i="29"/>
  <c r="AD36" i="30"/>
  <c r="AD11" i="29"/>
  <c r="AD50" i="29"/>
  <c r="AD42" i="29"/>
  <c r="AD13" i="29"/>
  <c r="AD24" i="30"/>
  <c r="AD17" i="29"/>
  <c r="AD35" i="30"/>
  <c r="AD30" i="29"/>
  <c r="AD48" i="29"/>
  <c r="E18" i="26"/>
  <c r="C16" i="26"/>
  <c r="I18" i="26"/>
  <c r="AD31" i="29"/>
  <c r="AD18" i="29"/>
  <c r="AD28" i="29"/>
  <c r="AD38" i="30"/>
  <c r="AD38" i="29"/>
  <c r="AD29" i="30"/>
  <c r="AD21" i="30"/>
  <c r="AD10" i="29"/>
  <c r="J16" i="26"/>
  <c r="I17" i="26"/>
  <c r="AD47" i="30"/>
  <c r="AD40" i="29"/>
  <c r="AD9" i="29"/>
  <c r="AD29" i="29"/>
  <c r="AD9" i="30"/>
  <c r="E16" i="26"/>
  <c r="J18" i="26"/>
  <c r="H17" i="26"/>
  <c r="D18" i="26"/>
  <c r="D16" i="26"/>
  <c r="AD15" i="30"/>
  <c r="AD34" i="30"/>
  <c r="AD45" i="29"/>
  <c r="AD46" i="29"/>
  <c r="AD15" i="29"/>
  <c r="AD45" i="30"/>
  <c r="AD46" i="30"/>
  <c r="AD43" i="30"/>
  <c r="AD32" i="30"/>
  <c r="AD7" i="30"/>
  <c r="AD26" i="30"/>
  <c r="AD41" i="30"/>
  <c r="AD16" i="30"/>
  <c r="AD39" i="30"/>
  <c r="H10" i="26"/>
  <c r="H8" i="26"/>
  <c r="C6" i="26"/>
  <c r="C8" i="26"/>
  <c r="C9" i="26"/>
  <c r="C7" i="26"/>
  <c r="H12" i="26"/>
  <c r="H11" i="26"/>
  <c r="C12" i="26"/>
  <c r="C10" i="26"/>
  <c r="C11" i="26"/>
  <c r="H13" i="26"/>
  <c r="C13" i="26"/>
  <c r="H9" i="26"/>
  <c r="H7" i="26"/>
  <c r="I9" i="26"/>
  <c r="I7" i="26"/>
  <c r="D12" i="26"/>
  <c r="D9" i="26"/>
  <c r="D8" i="26"/>
  <c r="I10" i="26"/>
  <c r="D10" i="26"/>
  <c r="I11" i="26"/>
  <c r="D11" i="26"/>
  <c r="I13" i="26"/>
  <c r="I12" i="26"/>
  <c r="D6" i="26"/>
  <c r="D13" i="26"/>
  <c r="I8" i="26"/>
  <c r="D7" i="26"/>
  <c r="I6" i="26"/>
  <c r="AD20" i="29"/>
  <c r="AD27" i="30"/>
  <c r="AD22" i="30"/>
  <c r="AD37" i="30"/>
  <c r="AD8" i="30"/>
  <c r="AD36" i="29"/>
  <c r="AD11" i="30"/>
  <c r="AD50" i="30"/>
  <c r="AD42" i="30"/>
  <c r="AD13" i="30"/>
  <c r="AD24" i="29"/>
  <c r="AD17" i="30"/>
  <c r="AD35" i="29"/>
  <c r="J13" i="26"/>
  <c r="E9" i="26"/>
  <c r="J8" i="26"/>
  <c r="E8" i="26"/>
  <c r="J9" i="26"/>
  <c r="E10" i="26"/>
  <c r="J10" i="26"/>
  <c r="E7" i="26"/>
  <c r="J7" i="26"/>
  <c r="J6" i="26"/>
  <c r="J12" i="26"/>
  <c r="J11" i="26"/>
  <c r="E12" i="26"/>
  <c r="E6" i="26"/>
  <c r="E13" i="26"/>
  <c r="E11" i="26"/>
  <c r="AD31" i="30"/>
  <c r="J17" i="26"/>
  <c r="H18" i="26"/>
  <c r="I16" i="26"/>
  <c r="AD14" i="29"/>
  <c r="M19" i="26"/>
  <c r="AD33" i="29"/>
  <c r="C17" i="26"/>
  <c r="AD23" i="29"/>
  <c r="AD33" i="30"/>
  <c r="AD47" i="29"/>
  <c r="AD40" i="30"/>
  <c r="AD10" i="30"/>
  <c r="AD12" i="30"/>
  <c r="AD30" i="30"/>
  <c r="AD12" i="29"/>
  <c r="AD48" i="30"/>
  <c r="AD28" i="30"/>
  <c r="AD14" i="30"/>
  <c r="AD21" i="29"/>
  <c r="E17" i="26"/>
  <c r="C18" i="26"/>
  <c r="H16" i="26"/>
  <c r="D17" i="26"/>
  <c r="H6" i="26" l="1"/>
  <c r="H15" i="26" s="1"/>
  <c r="H14" i="26" s="1"/>
  <c r="V45" i="24"/>
  <c r="AE51" i="29"/>
  <c r="AE51" i="30"/>
  <c r="AE48" i="30"/>
  <c r="C48" i="30" s="1"/>
  <c r="AE33" i="29"/>
  <c r="C33" i="29" s="1"/>
  <c r="L18" i="26"/>
  <c r="G12" i="26"/>
  <c r="G9" i="26"/>
  <c r="L9" i="26"/>
  <c r="AE18" i="30"/>
  <c r="C18" i="30" s="1"/>
  <c r="I21" i="26"/>
  <c r="I20" i="26"/>
  <c r="E21" i="26"/>
  <c r="E20" i="26"/>
  <c r="C21" i="26"/>
  <c r="C20" i="26"/>
  <c r="G16" i="26"/>
  <c r="H21" i="26"/>
  <c r="H20" i="26"/>
  <c r="L16" i="26"/>
  <c r="G6" i="26"/>
  <c r="C15" i="26"/>
  <c r="C14" i="26" s="1"/>
  <c r="J21" i="26"/>
  <c r="J20" i="26"/>
  <c r="AE12" i="30"/>
  <c r="AF12" i="30" s="1"/>
  <c r="AE24" i="29"/>
  <c r="AF24" i="29" s="1"/>
  <c r="AE11" i="30"/>
  <c r="AF11" i="30" s="1"/>
  <c r="AE8" i="30"/>
  <c r="AF8" i="30" s="1"/>
  <c r="L8" i="26"/>
  <c r="AE43" i="30"/>
  <c r="AF43" i="30" s="1"/>
  <c r="AE46" i="29"/>
  <c r="AE34" i="30"/>
  <c r="AF34" i="30" s="1"/>
  <c r="AE9" i="30"/>
  <c r="AF9" i="30" s="1"/>
  <c r="AE9" i="29"/>
  <c r="AF9" i="29" s="1"/>
  <c r="AE18" i="29"/>
  <c r="AE30" i="29"/>
  <c r="AE36" i="30"/>
  <c r="AF36" i="30" s="1"/>
  <c r="AE32" i="29"/>
  <c r="AE28" i="30"/>
  <c r="AF28" i="30" s="1"/>
  <c r="AE36" i="29"/>
  <c r="AF36" i="29" s="1"/>
  <c r="G10" i="26"/>
  <c r="AE45" i="30"/>
  <c r="AF45" i="30" s="1"/>
  <c r="AE38" i="29"/>
  <c r="AE35" i="30"/>
  <c r="AF35" i="30" s="1"/>
  <c r="AE8" i="29"/>
  <c r="AF8" i="29" s="1"/>
  <c r="AE19" i="29"/>
  <c r="AE25" i="30"/>
  <c r="AF25" i="30" s="1"/>
  <c r="AE16" i="29"/>
  <c r="AF16" i="29" s="1"/>
  <c r="AE23" i="30"/>
  <c r="AF23" i="30" s="1"/>
  <c r="AE14" i="30"/>
  <c r="AF14" i="30" s="1"/>
  <c r="AE30" i="30"/>
  <c r="AF30" i="30" s="1"/>
  <c r="AE40" i="30"/>
  <c r="AF40" i="30" s="1"/>
  <c r="AE23" i="29"/>
  <c r="AF23" i="29" s="1"/>
  <c r="AE14" i="29"/>
  <c r="AE31" i="30"/>
  <c r="AE17" i="30"/>
  <c r="AF17" i="30" s="1"/>
  <c r="AE13" i="30"/>
  <c r="AF13" i="30" s="1"/>
  <c r="AE37" i="30"/>
  <c r="AF37" i="30" s="1"/>
  <c r="AE27" i="30"/>
  <c r="AF27" i="30" s="1"/>
  <c r="I15" i="26"/>
  <c r="I14" i="26" s="1"/>
  <c r="D15" i="26"/>
  <c r="D14" i="26" s="1"/>
  <c r="L7" i="26"/>
  <c r="G11" i="26"/>
  <c r="L12" i="26"/>
  <c r="AE26" i="30"/>
  <c r="AF26" i="30" s="1"/>
  <c r="AE45" i="29"/>
  <c r="AF45" i="29" s="1"/>
  <c r="AE29" i="30"/>
  <c r="AF29" i="30" s="1"/>
  <c r="AE42" i="29"/>
  <c r="AE11" i="29"/>
  <c r="AE22" i="29"/>
  <c r="AE20" i="30"/>
  <c r="AE34" i="29"/>
  <c r="AE49" i="29"/>
  <c r="AE26" i="29"/>
  <c r="AF26" i="29" s="1"/>
  <c r="AE43" i="29"/>
  <c r="D21" i="26"/>
  <c r="D20" i="26"/>
  <c r="AE33" i="30"/>
  <c r="AF33" i="30" s="1"/>
  <c r="AE42" i="30"/>
  <c r="AF42" i="30" s="1"/>
  <c r="AE22" i="30"/>
  <c r="AF22" i="30" s="1"/>
  <c r="G13" i="26"/>
  <c r="AE16" i="30"/>
  <c r="AF16" i="30" s="1"/>
  <c r="AE47" i="30"/>
  <c r="AE13" i="29"/>
  <c r="AE27" i="29"/>
  <c r="AE44" i="29"/>
  <c r="AF44" i="29" s="1"/>
  <c r="AE41" i="29"/>
  <c r="G18" i="26"/>
  <c r="AE47" i="29"/>
  <c r="G17" i="26"/>
  <c r="AE50" i="30"/>
  <c r="G7" i="26"/>
  <c r="AE39" i="30"/>
  <c r="AF39" i="30" s="1"/>
  <c r="AE7" i="30"/>
  <c r="AE40" i="29"/>
  <c r="AF40" i="29" s="1"/>
  <c r="AE10" i="29"/>
  <c r="AE28" i="29"/>
  <c r="AE48" i="29"/>
  <c r="AE24" i="30"/>
  <c r="AF24" i="30" s="1"/>
  <c r="AE49" i="30"/>
  <c r="AE21" i="29"/>
  <c r="AE12" i="29"/>
  <c r="AF12" i="29" s="1"/>
  <c r="AE10" i="30"/>
  <c r="AF10" i="30" s="1"/>
  <c r="E15" i="26"/>
  <c r="E14" i="26" s="1"/>
  <c r="J15" i="26"/>
  <c r="J14" i="26" s="1"/>
  <c r="AE35" i="29"/>
  <c r="AF35" i="29" s="1"/>
  <c r="AE20" i="29"/>
  <c r="AF20" i="29" s="1"/>
  <c r="L13" i="26"/>
  <c r="L11" i="26"/>
  <c r="G8" i="26"/>
  <c r="L10" i="26"/>
  <c r="AE41" i="30"/>
  <c r="AF41" i="30" s="1"/>
  <c r="AE32" i="30"/>
  <c r="AE46" i="30"/>
  <c r="AF46" i="30" s="1"/>
  <c r="AE15" i="29"/>
  <c r="AE15" i="30"/>
  <c r="AF15" i="30" s="1"/>
  <c r="L17" i="26"/>
  <c r="AE29" i="29"/>
  <c r="AE21" i="30"/>
  <c r="AF21" i="30" s="1"/>
  <c r="AE38" i="30"/>
  <c r="AF38" i="30" s="1"/>
  <c r="AE31" i="29"/>
  <c r="AF31" i="29" s="1"/>
  <c r="AE17" i="29"/>
  <c r="AE50" i="29"/>
  <c r="AE37" i="29"/>
  <c r="AF27" i="29"/>
  <c r="AE44" i="30"/>
  <c r="AF44" i="30" s="1"/>
  <c r="AE25" i="29"/>
  <c r="AE39" i="29"/>
  <c r="AE7" i="29"/>
  <c r="AF7" i="29" s="1"/>
  <c r="AE19" i="30"/>
  <c r="AF19" i="30" s="1"/>
  <c r="L6" i="26" l="1"/>
  <c r="M6" i="26" s="1"/>
  <c r="M12" i="26"/>
  <c r="C51" i="30"/>
  <c r="C51" i="29"/>
  <c r="M7" i="26"/>
  <c r="M13" i="26"/>
  <c r="M9" i="26"/>
  <c r="M8" i="26"/>
  <c r="M18" i="26"/>
  <c r="C25" i="29"/>
  <c r="C50" i="29"/>
  <c r="C32" i="30"/>
  <c r="C12" i="29"/>
  <c r="C7" i="30"/>
  <c r="C47" i="30"/>
  <c r="C26" i="29"/>
  <c r="C29" i="30"/>
  <c r="C13" i="30"/>
  <c r="C23" i="30"/>
  <c r="C28" i="30"/>
  <c r="C34" i="30"/>
  <c r="C39" i="29"/>
  <c r="C37" i="29"/>
  <c r="C29" i="29"/>
  <c r="C10" i="30"/>
  <c r="C40" i="29"/>
  <c r="C43" i="29"/>
  <c r="C26" i="30"/>
  <c r="C14" i="30"/>
  <c r="C36" i="29"/>
  <c r="C36" i="30"/>
  <c r="C9" i="30"/>
  <c r="C24" i="29"/>
  <c r="C7" i="29"/>
  <c r="C17" i="29"/>
  <c r="C15" i="29"/>
  <c r="C20" i="29"/>
  <c r="C49" i="30"/>
  <c r="C10" i="29"/>
  <c r="AF10" i="29"/>
  <c r="C47" i="29"/>
  <c r="C27" i="29"/>
  <c r="C16" i="30"/>
  <c r="C33" i="30"/>
  <c r="C34" i="29"/>
  <c r="C11" i="29"/>
  <c r="C37" i="30"/>
  <c r="C31" i="30"/>
  <c r="AF31" i="30"/>
  <c r="C30" i="30"/>
  <c r="C25" i="30"/>
  <c r="C8" i="29"/>
  <c r="C9" i="29"/>
  <c r="C43" i="30"/>
  <c r="C11" i="30"/>
  <c r="AF25" i="29"/>
  <c r="AF32" i="30"/>
  <c r="M10" i="26"/>
  <c r="AF37" i="29"/>
  <c r="C38" i="30"/>
  <c r="C35" i="29"/>
  <c r="C48" i="29"/>
  <c r="AF48" i="29"/>
  <c r="C41" i="29"/>
  <c r="C22" i="30"/>
  <c r="C20" i="30"/>
  <c r="C23" i="29"/>
  <c r="C19" i="29"/>
  <c r="C38" i="29"/>
  <c r="AF38" i="29"/>
  <c r="C30" i="29"/>
  <c r="C12" i="30"/>
  <c r="G15" i="26"/>
  <c r="G14" i="26" s="1"/>
  <c r="G21" i="26"/>
  <c r="M16" i="26"/>
  <c r="G20" i="26"/>
  <c r="C31" i="29"/>
  <c r="C46" i="30"/>
  <c r="C24" i="30"/>
  <c r="C50" i="30"/>
  <c r="C13" i="29"/>
  <c r="C42" i="29"/>
  <c r="C14" i="29"/>
  <c r="AF14" i="29"/>
  <c r="C35" i="30"/>
  <c r="C19" i="30"/>
  <c r="C44" i="30"/>
  <c r="C21" i="30"/>
  <c r="C15" i="30"/>
  <c r="C41" i="30"/>
  <c r="C21" i="29"/>
  <c r="AF21" i="29"/>
  <c r="C28" i="29"/>
  <c r="C39" i="30"/>
  <c r="C44" i="29"/>
  <c r="C42" i="30"/>
  <c r="C49" i="29"/>
  <c r="C22" i="29"/>
  <c r="C45" i="29"/>
  <c r="C27" i="30"/>
  <c r="C17" i="30"/>
  <c r="C40" i="30"/>
  <c r="C16" i="29"/>
  <c r="C45" i="30"/>
  <c r="C32" i="29"/>
  <c r="C18" i="29"/>
  <c r="C46" i="29"/>
  <c r="C8" i="30"/>
  <c r="L21" i="26"/>
  <c r="L20" i="26"/>
  <c r="AF13" i="29"/>
  <c r="M17" i="26"/>
  <c r="AF7" i="30"/>
  <c r="M11" i="26"/>
  <c r="AF20" i="30"/>
  <c r="L15" i="26" l="1"/>
  <c r="L14" i="26" s="1"/>
  <c r="AG51" i="29"/>
  <c r="AG51" i="30"/>
  <c r="AG27" i="30"/>
  <c r="C77" i="30" s="1"/>
  <c r="Z77" i="30" s="1"/>
  <c r="AG22" i="29"/>
  <c r="C72" i="29" s="1"/>
  <c r="L72" i="29" s="1"/>
  <c r="AG41" i="30"/>
  <c r="C91" i="30" s="1"/>
  <c r="Z91" i="30" s="1"/>
  <c r="AG24" i="29"/>
  <c r="C74" i="29" s="1"/>
  <c r="Z74" i="29" s="1"/>
  <c r="AG42" i="30"/>
  <c r="C92" i="30" s="1"/>
  <c r="AD92" i="30" s="1"/>
  <c r="AG24" i="30"/>
  <c r="C74" i="30" s="1"/>
  <c r="Z74" i="30" s="1"/>
  <c r="AG47" i="30"/>
  <c r="AG18" i="29"/>
  <c r="C68" i="29" s="1"/>
  <c r="F68" i="29" s="1"/>
  <c r="AG39" i="30"/>
  <c r="C89" i="30" s="1"/>
  <c r="Z89" i="30" s="1"/>
  <c r="AG31" i="30"/>
  <c r="C81" i="30" s="1"/>
  <c r="I81" i="30" s="1"/>
  <c r="AG32" i="30"/>
  <c r="C82" i="30" s="1"/>
  <c r="F82" i="30" s="1"/>
  <c r="AG22" i="30"/>
  <c r="C72" i="30" s="1"/>
  <c r="E72" i="30" s="1"/>
  <c r="AG8" i="30"/>
  <c r="C58" i="30" s="1"/>
  <c r="AB58" i="30" s="1"/>
  <c r="AG33" i="30"/>
  <c r="C83" i="30" s="1"/>
  <c r="M83" i="30" s="1"/>
  <c r="AG11" i="29"/>
  <c r="C61" i="29" s="1"/>
  <c r="L61" i="29" s="1"/>
  <c r="AG12" i="30"/>
  <c r="C62" i="30" s="1"/>
  <c r="G62" i="30" s="1"/>
  <c r="AG28" i="30"/>
  <c r="C78" i="30" s="1"/>
  <c r="F78" i="30" s="1"/>
  <c r="M21" i="26"/>
  <c r="M20" i="26"/>
  <c r="H22" i="26" s="1"/>
  <c r="AG14" i="29"/>
  <c r="C64" i="29" s="1"/>
  <c r="AG38" i="29"/>
  <c r="C88" i="29" s="1"/>
  <c r="AG9" i="29"/>
  <c r="C59" i="29" s="1"/>
  <c r="AG27" i="29"/>
  <c r="C77" i="29" s="1"/>
  <c r="AG7" i="29"/>
  <c r="C57" i="29" s="1"/>
  <c r="AG26" i="29"/>
  <c r="C76" i="29" s="1"/>
  <c r="AG21" i="30"/>
  <c r="C71" i="30" s="1"/>
  <c r="AG46" i="30"/>
  <c r="C96" i="30" s="1"/>
  <c r="AG35" i="29"/>
  <c r="C85" i="29" s="1"/>
  <c r="AG11" i="30"/>
  <c r="C61" i="30" s="1"/>
  <c r="AG25" i="30"/>
  <c r="C75" i="30" s="1"/>
  <c r="AG37" i="30"/>
  <c r="C87" i="30" s="1"/>
  <c r="AG34" i="29"/>
  <c r="C84" i="29" s="1"/>
  <c r="AG16" i="30"/>
  <c r="C66" i="30" s="1"/>
  <c r="AG49" i="30"/>
  <c r="AG15" i="29"/>
  <c r="C65" i="29" s="1"/>
  <c r="AG9" i="30"/>
  <c r="C59" i="30" s="1"/>
  <c r="AG36" i="29"/>
  <c r="C86" i="29" s="1"/>
  <c r="AG26" i="30"/>
  <c r="C76" i="30" s="1"/>
  <c r="AG40" i="29"/>
  <c r="C90" i="29" s="1"/>
  <c r="AG39" i="29"/>
  <c r="C89" i="29" s="1"/>
  <c r="AG13" i="30"/>
  <c r="C63" i="30" s="1"/>
  <c r="AG7" i="30"/>
  <c r="C57" i="30" s="1"/>
  <c r="AG25" i="29"/>
  <c r="C75" i="29" s="1"/>
  <c r="AG46" i="29"/>
  <c r="C96" i="29" s="1"/>
  <c r="AG32" i="29"/>
  <c r="C82" i="29" s="1"/>
  <c r="AG17" i="30"/>
  <c r="C67" i="30" s="1"/>
  <c r="AG45" i="29"/>
  <c r="C95" i="29" s="1"/>
  <c r="AG49" i="29"/>
  <c r="AG44" i="29"/>
  <c r="C94" i="29" s="1"/>
  <c r="AG28" i="29"/>
  <c r="C78" i="29" s="1"/>
  <c r="AG44" i="30"/>
  <c r="C94" i="30" s="1"/>
  <c r="AG35" i="30"/>
  <c r="C85" i="30" s="1"/>
  <c r="AG42" i="29"/>
  <c r="C92" i="29" s="1"/>
  <c r="AG50" i="30"/>
  <c r="AG19" i="29"/>
  <c r="C69" i="29" s="1"/>
  <c r="AG20" i="30"/>
  <c r="C70" i="30" s="1"/>
  <c r="AG41" i="29"/>
  <c r="C91" i="29" s="1"/>
  <c r="AG48" i="29"/>
  <c r="AG38" i="30"/>
  <c r="C88" i="30" s="1"/>
  <c r="AG8" i="29"/>
  <c r="C58" i="29" s="1"/>
  <c r="AG47" i="29"/>
  <c r="AG48" i="30"/>
  <c r="AG18" i="30"/>
  <c r="C68" i="30" s="1"/>
  <c r="AG31" i="29"/>
  <c r="C81" i="29" s="1"/>
  <c r="AG33" i="29"/>
  <c r="C83" i="29" s="1"/>
  <c r="AG29" i="29"/>
  <c r="C79" i="29" s="1"/>
  <c r="AG16" i="29"/>
  <c r="C66" i="29" s="1"/>
  <c r="AG19" i="30"/>
  <c r="C69" i="30" s="1"/>
  <c r="AG45" i="30"/>
  <c r="C95" i="30" s="1"/>
  <c r="AG40" i="30"/>
  <c r="C90" i="30" s="1"/>
  <c r="AG21" i="29"/>
  <c r="C71" i="29" s="1"/>
  <c r="AG15" i="30"/>
  <c r="C65" i="30" s="1"/>
  <c r="AG13" i="29"/>
  <c r="C63" i="29" s="1"/>
  <c r="M15" i="26"/>
  <c r="M14" i="26" s="1"/>
  <c r="AG30" i="29"/>
  <c r="C80" i="29" s="1"/>
  <c r="AG23" i="29"/>
  <c r="C73" i="29" s="1"/>
  <c r="AG43" i="30"/>
  <c r="C93" i="30" s="1"/>
  <c r="AG30" i="30"/>
  <c r="C80" i="30" s="1"/>
  <c r="AG10" i="29"/>
  <c r="C60" i="29" s="1"/>
  <c r="AG20" i="29"/>
  <c r="C70" i="29" s="1"/>
  <c r="AG17" i="29"/>
  <c r="C67" i="29" s="1"/>
  <c r="AG36" i="30"/>
  <c r="C86" i="30" s="1"/>
  <c r="AG14" i="30"/>
  <c r="C64" i="30" s="1"/>
  <c r="AG43" i="29"/>
  <c r="C93" i="29" s="1"/>
  <c r="AG10" i="30"/>
  <c r="C60" i="30" s="1"/>
  <c r="AG37" i="29"/>
  <c r="C87" i="29" s="1"/>
  <c r="AG34" i="30"/>
  <c r="C84" i="30" s="1"/>
  <c r="AG23" i="30"/>
  <c r="C73" i="30" s="1"/>
  <c r="AG29" i="30"/>
  <c r="C79" i="30" s="1"/>
  <c r="AG12" i="29"/>
  <c r="C62" i="29" s="1"/>
  <c r="AG50" i="29"/>
  <c r="H54" i="35" l="1"/>
  <c r="H58" i="35"/>
  <c r="H66" i="35"/>
  <c r="H62" i="35"/>
  <c r="AA72" i="30"/>
  <c r="V74" i="29"/>
  <c r="W74" i="29" s="1"/>
  <c r="H72" i="30"/>
  <c r="F72" i="30"/>
  <c r="J74" i="29"/>
  <c r="M72" i="30"/>
  <c r="I72" i="30"/>
  <c r="K74" i="29"/>
  <c r="P68" i="29"/>
  <c r="Q68" i="29" s="1"/>
  <c r="H68" i="29"/>
  <c r="H62" i="30"/>
  <c r="AC62" i="30"/>
  <c r="T68" i="29"/>
  <c r="U68" i="29" s="1"/>
  <c r="AD62" i="30"/>
  <c r="P74" i="29"/>
  <c r="Q74" i="29" s="1"/>
  <c r="AD58" i="30"/>
  <c r="D58" i="30" s="1"/>
  <c r="R92" i="30"/>
  <c r="S92" i="30" s="1"/>
  <c r="J78" i="30"/>
  <c r="M81" i="30"/>
  <c r="M72" i="29"/>
  <c r="N92" i="30"/>
  <c r="O92" i="30" s="1"/>
  <c r="F77" i="30"/>
  <c r="I78" i="30"/>
  <c r="AD89" i="30"/>
  <c r="D89" i="30" s="1"/>
  <c r="AA74" i="30"/>
  <c r="N77" i="30"/>
  <c r="O77" i="30" s="1"/>
  <c r="E58" i="30"/>
  <c r="K89" i="30"/>
  <c r="AC92" i="30"/>
  <c r="J58" i="30"/>
  <c r="AD83" i="30"/>
  <c r="P89" i="30"/>
  <c r="Q89" i="30" s="1"/>
  <c r="T81" i="30"/>
  <c r="U81" i="30" s="1"/>
  <c r="R74" i="30"/>
  <c r="S74" i="30" s="1"/>
  <c r="AD81" i="30"/>
  <c r="P91" i="30"/>
  <c r="Q91" i="30" s="1"/>
  <c r="R83" i="30"/>
  <c r="S83" i="30" s="1"/>
  <c r="K72" i="29"/>
  <c r="J92" i="30"/>
  <c r="G89" i="30"/>
  <c r="H89" i="30"/>
  <c r="I89" i="30"/>
  <c r="AA81" i="30"/>
  <c r="AC74" i="30"/>
  <c r="L92" i="30"/>
  <c r="AB92" i="30"/>
  <c r="R77" i="30"/>
  <c r="S77" i="30" s="1"/>
  <c r="E77" i="30"/>
  <c r="K77" i="30"/>
  <c r="L58" i="30"/>
  <c r="Z58" i="30"/>
  <c r="R78" i="30"/>
  <c r="S78" i="30" s="1"/>
  <c r="X78" i="30"/>
  <c r="Y78" i="30" s="1"/>
  <c r="AB78" i="30"/>
  <c r="T62" i="30"/>
  <c r="U62" i="30" s="1"/>
  <c r="E62" i="30"/>
  <c r="X89" i="30"/>
  <c r="Y89" i="30" s="1"/>
  <c r="L89" i="30"/>
  <c r="P72" i="29"/>
  <c r="Q72" i="29" s="1"/>
  <c r="AB68" i="29"/>
  <c r="E68" i="29"/>
  <c r="AA74" i="29"/>
  <c r="I92" i="30"/>
  <c r="F92" i="30"/>
  <c r="AA77" i="30"/>
  <c r="X77" i="30"/>
  <c r="Y77" i="30" s="1"/>
  <c r="X58" i="30"/>
  <c r="Y58" i="30" s="1"/>
  <c r="R58" i="30"/>
  <c r="S58" i="30" s="1"/>
  <c r="G58" i="30"/>
  <c r="M78" i="30"/>
  <c r="AC78" i="30"/>
  <c r="Z81" i="30"/>
  <c r="F74" i="30"/>
  <c r="X74" i="30"/>
  <c r="Y74" i="30" s="1"/>
  <c r="T92" i="30"/>
  <c r="U92" i="30" s="1"/>
  <c r="E92" i="30"/>
  <c r="P77" i="30"/>
  <c r="Q77" i="30" s="1"/>
  <c r="T77" i="30"/>
  <c r="U77" i="30" s="1"/>
  <c r="I77" i="30"/>
  <c r="N58" i="30"/>
  <c r="O58" i="30" s="1"/>
  <c r="F58" i="30"/>
  <c r="P78" i="30"/>
  <c r="Q78" i="30" s="1"/>
  <c r="H78" i="30"/>
  <c r="V78" i="30"/>
  <c r="W78" i="30" s="1"/>
  <c r="AC83" i="30"/>
  <c r="AB89" i="30"/>
  <c r="AA89" i="30"/>
  <c r="G72" i="29"/>
  <c r="J72" i="29"/>
  <c r="H81" i="30"/>
  <c r="K81" i="30"/>
  <c r="V74" i="30"/>
  <c r="W74" i="30" s="1"/>
  <c r="T83" i="30"/>
  <c r="U83" i="30" s="1"/>
  <c r="P83" i="30"/>
  <c r="Q83" i="30" s="1"/>
  <c r="L83" i="30"/>
  <c r="G83" i="30"/>
  <c r="AD72" i="29"/>
  <c r="D72" i="29" s="1"/>
  <c r="R72" i="29"/>
  <c r="S72" i="29" s="1"/>
  <c r="AC72" i="29"/>
  <c r="L81" i="30"/>
  <c r="V81" i="30"/>
  <c r="W81" i="30" s="1"/>
  <c r="X81" i="30"/>
  <c r="Y81" i="30" s="1"/>
  <c r="F81" i="30"/>
  <c r="AB81" i="30"/>
  <c r="P74" i="30"/>
  <c r="Q74" i="30" s="1"/>
  <c r="N74" i="30"/>
  <c r="O74" i="30" s="1"/>
  <c r="K74" i="30"/>
  <c r="L74" i="30"/>
  <c r="I74" i="30"/>
  <c r="N83" i="30"/>
  <c r="O83" i="30" s="1"/>
  <c r="F83" i="30"/>
  <c r="AA83" i="30"/>
  <c r="E83" i="30"/>
  <c r="E72" i="29"/>
  <c r="N72" i="29"/>
  <c r="O72" i="29" s="1"/>
  <c r="V72" i="29"/>
  <c r="W72" i="29" s="1"/>
  <c r="F72" i="29"/>
  <c r="AB72" i="29"/>
  <c r="N81" i="30"/>
  <c r="O81" i="30" s="1"/>
  <c r="E81" i="30"/>
  <c r="G81" i="30"/>
  <c r="T74" i="30"/>
  <c r="U74" i="30" s="1"/>
  <c r="E74" i="30"/>
  <c r="H74" i="30"/>
  <c r="AB74" i="30"/>
  <c r="AA72" i="29"/>
  <c r="I72" i="29"/>
  <c r="AD82" i="30"/>
  <c r="D82" i="30" s="1"/>
  <c r="R81" i="30"/>
  <c r="S81" i="30" s="1"/>
  <c r="P81" i="30"/>
  <c r="Q81" i="30" s="1"/>
  <c r="AC81" i="30"/>
  <c r="J81" i="30"/>
  <c r="AD74" i="30"/>
  <c r="M74" i="30"/>
  <c r="J74" i="30"/>
  <c r="G74" i="30"/>
  <c r="X83" i="30"/>
  <c r="Y83" i="30" s="1"/>
  <c r="Z83" i="30"/>
  <c r="I83" i="30"/>
  <c r="J83" i="30"/>
  <c r="T72" i="29"/>
  <c r="U72" i="29" s="1"/>
  <c r="Z72" i="29"/>
  <c r="X72" i="29"/>
  <c r="Y72" i="29" s="1"/>
  <c r="H72" i="29"/>
  <c r="X92" i="30"/>
  <c r="Y92" i="30" s="1"/>
  <c r="K92" i="30"/>
  <c r="P92" i="30"/>
  <c r="Q92" i="30" s="1"/>
  <c r="H92" i="30"/>
  <c r="G92" i="30"/>
  <c r="AB77" i="30"/>
  <c r="J77" i="30"/>
  <c r="G77" i="30"/>
  <c r="M77" i="30"/>
  <c r="AD77" i="30"/>
  <c r="D77" i="30" s="1"/>
  <c r="V58" i="30"/>
  <c r="W58" i="30" s="1"/>
  <c r="T58" i="30"/>
  <c r="U58" i="30" s="1"/>
  <c r="AA58" i="30"/>
  <c r="M58" i="30"/>
  <c r="K58" i="30"/>
  <c r="E78" i="30"/>
  <c r="N78" i="30"/>
  <c r="O78" i="30" s="1"/>
  <c r="G78" i="30"/>
  <c r="K78" i="30"/>
  <c r="AA78" i="30"/>
  <c r="AC89" i="30"/>
  <c r="V89" i="30"/>
  <c r="W89" i="30" s="1"/>
  <c r="F89" i="30"/>
  <c r="E89" i="30"/>
  <c r="J89" i="30"/>
  <c r="AD91" i="30"/>
  <c r="AE91" i="30" s="1"/>
  <c r="V92" i="30"/>
  <c r="W92" i="30" s="1"/>
  <c r="Z92" i="30"/>
  <c r="M92" i="30"/>
  <c r="AA92" i="30"/>
  <c r="H77" i="30"/>
  <c r="V77" i="30"/>
  <c r="W77" i="30" s="1"/>
  <c r="AC77" i="30"/>
  <c r="L77" i="30"/>
  <c r="H58" i="30"/>
  <c r="P58" i="30"/>
  <c r="Q58" i="30" s="1"/>
  <c r="AC58" i="30"/>
  <c r="I58" i="30"/>
  <c r="AD78" i="30"/>
  <c r="D78" i="30" s="1"/>
  <c r="T78" i="30"/>
  <c r="U78" i="30" s="1"/>
  <c r="Z78" i="30"/>
  <c r="L78" i="30"/>
  <c r="N89" i="30"/>
  <c r="O89" i="30" s="1"/>
  <c r="R89" i="30"/>
  <c r="S89" i="30" s="1"/>
  <c r="T89" i="30"/>
  <c r="U89" i="30" s="1"/>
  <c r="M89" i="30"/>
  <c r="G82" i="30"/>
  <c r="AC91" i="30"/>
  <c r="V82" i="30"/>
  <c r="W82" i="30" s="1"/>
  <c r="I82" i="30"/>
  <c r="J72" i="30"/>
  <c r="G72" i="30"/>
  <c r="R91" i="30"/>
  <c r="S91" i="30" s="1"/>
  <c r="F62" i="30"/>
  <c r="N62" i="30"/>
  <c r="O62" i="30" s="1"/>
  <c r="Z62" i="30"/>
  <c r="R68" i="29"/>
  <c r="S68" i="29" s="1"/>
  <c r="J68" i="29"/>
  <c r="AB74" i="29"/>
  <c r="T74" i="29"/>
  <c r="U74" i="29" s="1"/>
  <c r="E74" i="29"/>
  <c r="M82" i="30"/>
  <c r="P72" i="30"/>
  <c r="Q72" i="30" s="1"/>
  <c r="Z72" i="30"/>
  <c r="AB72" i="30"/>
  <c r="K91" i="30"/>
  <c r="K62" i="30"/>
  <c r="J62" i="30"/>
  <c r="N68" i="29"/>
  <c r="O68" i="29" s="1"/>
  <c r="G68" i="29"/>
  <c r="AA68" i="29"/>
  <c r="H74" i="29"/>
  <c r="G74" i="29"/>
  <c r="K82" i="30"/>
  <c r="T82" i="30"/>
  <c r="U82" i="30" s="1"/>
  <c r="J82" i="30"/>
  <c r="E82" i="30"/>
  <c r="Z82" i="30"/>
  <c r="J91" i="30"/>
  <c r="L91" i="30"/>
  <c r="H91" i="30"/>
  <c r="P61" i="29"/>
  <c r="Q61" i="29" s="1"/>
  <c r="AD61" i="29"/>
  <c r="D61" i="29" s="1"/>
  <c r="X61" i="29"/>
  <c r="Y61" i="29" s="1"/>
  <c r="J61" i="29"/>
  <c r="AB61" i="29"/>
  <c r="H82" i="30"/>
  <c r="AC82" i="30"/>
  <c r="X82" i="30"/>
  <c r="Y82" i="30" s="1"/>
  <c r="AB82" i="30"/>
  <c r="L82" i="30"/>
  <c r="R72" i="30"/>
  <c r="S72" i="30" s="1"/>
  <c r="X72" i="30"/>
  <c r="Y72" i="30" s="1"/>
  <c r="N72" i="30"/>
  <c r="O72" i="30" s="1"/>
  <c r="K72" i="30"/>
  <c r="L72" i="30"/>
  <c r="V91" i="30"/>
  <c r="W91" i="30" s="1"/>
  <c r="F91" i="30"/>
  <c r="E91" i="30"/>
  <c r="G91" i="30"/>
  <c r="I91" i="30"/>
  <c r="V83" i="30"/>
  <c r="W83" i="30" s="1"/>
  <c r="K83" i="30"/>
  <c r="AB83" i="30"/>
  <c r="H83" i="30"/>
  <c r="V62" i="30"/>
  <c r="W62" i="30" s="1"/>
  <c r="AB62" i="30"/>
  <c r="M62" i="30"/>
  <c r="AA62" i="30"/>
  <c r="R62" i="30"/>
  <c r="S62" i="30" s="1"/>
  <c r="M68" i="29"/>
  <c r="AD68" i="29"/>
  <c r="D68" i="29" s="1"/>
  <c r="V68" i="29"/>
  <c r="W68" i="29" s="1"/>
  <c r="Z68" i="29"/>
  <c r="L68" i="29"/>
  <c r="R74" i="29"/>
  <c r="S74" i="29" s="1"/>
  <c r="F74" i="29"/>
  <c r="AD74" i="29"/>
  <c r="D74" i="29" s="1"/>
  <c r="N74" i="29"/>
  <c r="O74" i="29" s="1"/>
  <c r="L74" i="29"/>
  <c r="K61" i="29"/>
  <c r="R61" i="29"/>
  <c r="S61" i="29" s="1"/>
  <c r="T61" i="29"/>
  <c r="U61" i="29" s="1"/>
  <c r="M61" i="29"/>
  <c r="N61" i="29"/>
  <c r="O61" i="29" s="1"/>
  <c r="E61" i="29"/>
  <c r="V61" i="29"/>
  <c r="W61" i="29" s="1"/>
  <c r="I61" i="29"/>
  <c r="AC61" i="29"/>
  <c r="Z61" i="29"/>
  <c r="N91" i="30"/>
  <c r="O91" i="30" s="1"/>
  <c r="AA91" i="30"/>
  <c r="N82" i="30"/>
  <c r="O82" i="30" s="1"/>
  <c r="P82" i="30"/>
  <c r="Q82" i="30" s="1"/>
  <c r="R82" i="30"/>
  <c r="S82" i="30" s="1"/>
  <c r="AA82" i="30"/>
  <c r="T72" i="30"/>
  <c r="U72" i="30" s="1"/>
  <c r="AD72" i="30"/>
  <c r="D72" i="30" s="1"/>
  <c r="V72" i="30"/>
  <c r="W72" i="30" s="1"/>
  <c r="AC72" i="30"/>
  <c r="T91" i="30"/>
  <c r="U91" i="30" s="1"/>
  <c r="X91" i="30"/>
  <c r="Y91" i="30" s="1"/>
  <c r="AB91" i="30"/>
  <c r="M91" i="30"/>
  <c r="L62" i="30"/>
  <c r="X62" i="30"/>
  <c r="Y62" i="30" s="1"/>
  <c r="I62" i="30"/>
  <c r="P62" i="30"/>
  <c r="Q62" i="30" s="1"/>
  <c r="AC68" i="29"/>
  <c r="X68" i="29"/>
  <c r="Y68" i="29" s="1"/>
  <c r="K68" i="29"/>
  <c r="I68" i="29"/>
  <c r="X74" i="29"/>
  <c r="Y74" i="29" s="1"/>
  <c r="AC74" i="29"/>
  <c r="I74" i="29"/>
  <c r="M74" i="29"/>
  <c r="G61" i="29"/>
  <c r="F61" i="29"/>
  <c r="H61" i="29"/>
  <c r="AA61" i="29"/>
  <c r="AB62" i="29"/>
  <c r="Z62" i="29"/>
  <c r="J62" i="29"/>
  <c r="G62" i="29"/>
  <c r="M62" i="29"/>
  <c r="L62" i="29"/>
  <c r="AC62" i="29"/>
  <c r="AA62" i="29"/>
  <c r="T62" i="29"/>
  <c r="U62" i="29" s="1"/>
  <c r="I62" i="29"/>
  <c r="V62" i="29"/>
  <c r="W62" i="29" s="1"/>
  <c r="K62" i="29"/>
  <c r="N62" i="29"/>
  <c r="O62" i="29" s="1"/>
  <c r="X62" i="29"/>
  <c r="Y62" i="29" s="1"/>
  <c r="F62" i="29"/>
  <c r="R62" i="29"/>
  <c r="S62" i="29" s="1"/>
  <c r="E62" i="29"/>
  <c r="AD62" i="29"/>
  <c r="H62" i="29"/>
  <c r="P62" i="29"/>
  <c r="Q62" i="29" s="1"/>
  <c r="H80" i="30"/>
  <c r="I80" i="30"/>
  <c r="AA80" i="30"/>
  <c r="AD80" i="30"/>
  <c r="F80" i="30"/>
  <c r="Z80" i="30"/>
  <c r="G80" i="30"/>
  <c r="K80" i="30"/>
  <c r="L80" i="30"/>
  <c r="E80" i="30"/>
  <c r="V80" i="30"/>
  <c r="W80" i="30" s="1"/>
  <c r="T80" i="30"/>
  <c r="U80" i="30" s="1"/>
  <c r="J80" i="30"/>
  <c r="N80" i="30"/>
  <c r="O80" i="30" s="1"/>
  <c r="M80" i="30"/>
  <c r="P80" i="30"/>
  <c r="Q80" i="30" s="1"/>
  <c r="AB80" i="30"/>
  <c r="AC80" i="30"/>
  <c r="X80" i="30"/>
  <c r="Y80" i="30" s="1"/>
  <c r="R80" i="30"/>
  <c r="S80" i="30" s="1"/>
  <c r="AA79" i="29"/>
  <c r="AB79" i="29"/>
  <c r="F79" i="29"/>
  <c r="P79" i="29"/>
  <c r="Q79" i="29" s="1"/>
  <c r="K79" i="29"/>
  <c r="AC79" i="29"/>
  <c r="H79" i="29"/>
  <c r="E79" i="29"/>
  <c r="I79" i="29"/>
  <c r="V79" i="29"/>
  <c r="W79" i="29" s="1"/>
  <c r="G79" i="29"/>
  <c r="N79" i="29"/>
  <c r="O79" i="29" s="1"/>
  <c r="AD79" i="29"/>
  <c r="M79" i="29"/>
  <c r="T79" i="29"/>
  <c r="U79" i="29" s="1"/>
  <c r="Z79" i="29"/>
  <c r="X79" i="29"/>
  <c r="Y79" i="29" s="1"/>
  <c r="J79" i="29"/>
  <c r="R79" i="29"/>
  <c r="S79" i="29" s="1"/>
  <c r="L79" i="29"/>
  <c r="D92" i="30"/>
  <c r="AE92" i="30"/>
  <c r="J78" i="29"/>
  <c r="AA78" i="29"/>
  <c r="AB78" i="29"/>
  <c r="L78" i="29"/>
  <c r="E78" i="29"/>
  <c r="K78" i="29"/>
  <c r="I78" i="29"/>
  <c r="G78" i="29"/>
  <c r="AC78" i="29"/>
  <c r="F78" i="29"/>
  <c r="Z78" i="29"/>
  <c r="P78" i="29"/>
  <c r="Q78" i="29" s="1"/>
  <c r="H78" i="29"/>
  <c r="M78" i="29"/>
  <c r="X78" i="29"/>
  <c r="Y78" i="29" s="1"/>
  <c r="AD78" i="29"/>
  <c r="V78" i="29"/>
  <c r="W78" i="29" s="1"/>
  <c r="N78" i="29"/>
  <c r="O78" i="29" s="1"/>
  <c r="T78" i="29"/>
  <c r="U78" i="29" s="1"/>
  <c r="R78" i="29"/>
  <c r="S78" i="29" s="1"/>
  <c r="Z57" i="30"/>
  <c r="K57" i="30"/>
  <c r="G57" i="30"/>
  <c r="AC57" i="30"/>
  <c r="L57" i="30"/>
  <c r="M57" i="30"/>
  <c r="I57" i="30"/>
  <c r="J57" i="30"/>
  <c r="AA57" i="30"/>
  <c r="AB57" i="30"/>
  <c r="N57" i="30"/>
  <c r="O57" i="30" s="1"/>
  <c r="P57" i="30"/>
  <c r="Q57" i="30" s="1"/>
  <c r="AD57" i="30"/>
  <c r="F57" i="30"/>
  <c r="V57" i="30"/>
  <c r="W57" i="30" s="1"/>
  <c r="H57" i="30"/>
  <c r="E57" i="30"/>
  <c r="X57" i="30"/>
  <c r="Y57" i="30" s="1"/>
  <c r="R57" i="30"/>
  <c r="S57" i="30" s="1"/>
  <c r="T57" i="30"/>
  <c r="U57" i="30" s="1"/>
  <c r="AB75" i="30"/>
  <c r="E75" i="30"/>
  <c r="M75" i="30"/>
  <c r="H75" i="30"/>
  <c r="G75" i="30"/>
  <c r="F75" i="30"/>
  <c r="AC75" i="30"/>
  <c r="AD75" i="30"/>
  <c r="I75" i="30"/>
  <c r="R75" i="30"/>
  <c r="S75" i="30" s="1"/>
  <c r="V75" i="30"/>
  <c r="W75" i="30" s="1"/>
  <c r="N75" i="30"/>
  <c r="O75" i="30" s="1"/>
  <c r="P75" i="30"/>
  <c r="Q75" i="30" s="1"/>
  <c r="L75" i="30"/>
  <c r="K75" i="30"/>
  <c r="J75" i="30"/>
  <c r="Z75" i="30"/>
  <c r="AA75" i="30"/>
  <c r="X75" i="30"/>
  <c r="Y75" i="30" s="1"/>
  <c r="T75" i="30"/>
  <c r="U75" i="30" s="1"/>
  <c r="AA71" i="30"/>
  <c r="E71" i="30"/>
  <c r="K71" i="30"/>
  <c r="I71" i="30"/>
  <c r="H71" i="30"/>
  <c r="G71" i="30"/>
  <c r="F71" i="30"/>
  <c r="AC71" i="30"/>
  <c r="M71" i="30"/>
  <c r="P71" i="30"/>
  <c r="Q71" i="30" s="1"/>
  <c r="AB71" i="30"/>
  <c r="L71" i="30"/>
  <c r="X71" i="30"/>
  <c r="Y71" i="30" s="1"/>
  <c r="V71" i="30"/>
  <c r="W71" i="30" s="1"/>
  <c r="T71" i="30"/>
  <c r="U71" i="30" s="1"/>
  <c r="Z71" i="30"/>
  <c r="AD71" i="30"/>
  <c r="N71" i="30"/>
  <c r="O71" i="30" s="1"/>
  <c r="J71" i="30"/>
  <c r="R71" i="30"/>
  <c r="S71" i="30" s="1"/>
  <c r="AD64" i="30"/>
  <c r="M64" i="30"/>
  <c r="K64" i="30"/>
  <c r="J64" i="30"/>
  <c r="L64" i="30"/>
  <c r="AB64" i="30"/>
  <c r="H64" i="30"/>
  <c r="Z64" i="30"/>
  <c r="F64" i="30"/>
  <c r="G64" i="30"/>
  <c r="AC64" i="30"/>
  <c r="T64" i="30"/>
  <c r="U64" i="30" s="1"/>
  <c r="X64" i="30"/>
  <c r="Y64" i="30" s="1"/>
  <c r="P64" i="30"/>
  <c r="Q64" i="30" s="1"/>
  <c r="E64" i="30"/>
  <c r="V64" i="30"/>
  <c r="W64" i="30" s="1"/>
  <c r="AA64" i="30"/>
  <c r="I64" i="30"/>
  <c r="N64" i="30"/>
  <c r="O64" i="30" s="1"/>
  <c r="R64" i="30"/>
  <c r="S64" i="30" s="1"/>
  <c r="E80" i="29"/>
  <c r="AB80" i="29"/>
  <c r="AA80" i="29"/>
  <c r="G80" i="29"/>
  <c r="M80" i="29"/>
  <c r="AC80" i="29"/>
  <c r="H80" i="29"/>
  <c r="L80" i="29"/>
  <c r="I80" i="29"/>
  <c r="J80" i="29"/>
  <c r="N80" i="29"/>
  <c r="O80" i="29" s="1"/>
  <c r="F80" i="29"/>
  <c r="T80" i="29"/>
  <c r="U80" i="29" s="1"/>
  <c r="Z80" i="29"/>
  <c r="P80" i="29"/>
  <c r="Q80" i="29" s="1"/>
  <c r="X80" i="29"/>
  <c r="Y80" i="29" s="1"/>
  <c r="V80" i="29"/>
  <c r="W80" i="29" s="1"/>
  <c r="R80" i="29"/>
  <c r="S80" i="29" s="1"/>
  <c r="K80" i="29"/>
  <c r="AD80" i="29"/>
  <c r="L66" i="29"/>
  <c r="J66" i="29"/>
  <c r="Z66" i="29"/>
  <c r="P66" i="29"/>
  <c r="Q66" i="29" s="1"/>
  <c r="G66" i="29"/>
  <c r="E66" i="29"/>
  <c r="K66" i="29"/>
  <c r="AB66" i="29"/>
  <c r="M66" i="29"/>
  <c r="F66" i="29"/>
  <c r="V66" i="29"/>
  <c r="W66" i="29" s="1"/>
  <c r="T66" i="29"/>
  <c r="U66" i="29" s="1"/>
  <c r="AA66" i="29"/>
  <c r="X66" i="29"/>
  <c r="Y66" i="29" s="1"/>
  <c r="H66" i="29"/>
  <c r="I66" i="29"/>
  <c r="R66" i="29"/>
  <c r="S66" i="29" s="1"/>
  <c r="AC66" i="29"/>
  <c r="N66" i="29"/>
  <c r="O66" i="29" s="1"/>
  <c r="AD66" i="29"/>
  <c r="K88" i="30"/>
  <c r="Z88" i="30"/>
  <c r="AB88" i="30"/>
  <c r="I88" i="30"/>
  <c r="H88" i="30"/>
  <c r="AC88" i="30"/>
  <c r="F88" i="30"/>
  <c r="G88" i="30"/>
  <c r="J88" i="30"/>
  <c r="V88" i="30"/>
  <c r="W88" i="30" s="1"/>
  <c r="E88" i="30"/>
  <c r="L88" i="30"/>
  <c r="X88" i="30"/>
  <c r="Y88" i="30" s="1"/>
  <c r="M88" i="30"/>
  <c r="P88" i="30"/>
  <c r="Q88" i="30" s="1"/>
  <c r="AD88" i="30"/>
  <c r="T88" i="30"/>
  <c r="U88" i="30" s="1"/>
  <c r="AA88" i="30"/>
  <c r="R88" i="30"/>
  <c r="S88" i="30" s="1"/>
  <c r="N88" i="30"/>
  <c r="O88" i="30" s="1"/>
  <c r="AC94" i="30"/>
  <c r="I94" i="30"/>
  <c r="L94" i="30"/>
  <c r="P94" i="30"/>
  <c r="Q94" i="30" s="1"/>
  <c r="N94" i="30"/>
  <c r="O94" i="30" s="1"/>
  <c r="G94" i="30"/>
  <c r="AA94" i="30"/>
  <c r="H94" i="30"/>
  <c r="V94" i="30"/>
  <c r="W94" i="30" s="1"/>
  <c r="M94" i="30"/>
  <c r="Z94" i="30"/>
  <c r="R94" i="30"/>
  <c r="S94" i="30" s="1"/>
  <c r="AD94" i="30"/>
  <c r="J94" i="30"/>
  <c r="F94" i="30"/>
  <c r="AB94" i="30"/>
  <c r="T94" i="30"/>
  <c r="U94" i="30" s="1"/>
  <c r="K94" i="30"/>
  <c r="X94" i="30"/>
  <c r="Y94" i="30" s="1"/>
  <c r="E94" i="30"/>
  <c r="AB75" i="29"/>
  <c r="G75" i="29"/>
  <c r="AA75" i="29"/>
  <c r="M75" i="29"/>
  <c r="R75" i="29"/>
  <c r="S75" i="29" s="1"/>
  <c r="I75" i="29"/>
  <c r="J75" i="29"/>
  <c r="AC75" i="29"/>
  <c r="K75" i="29"/>
  <c r="Z75" i="29"/>
  <c r="V75" i="29"/>
  <c r="W75" i="29" s="1"/>
  <c r="P75" i="29"/>
  <c r="Q75" i="29" s="1"/>
  <c r="E75" i="29"/>
  <c r="N75" i="29"/>
  <c r="O75" i="29" s="1"/>
  <c r="T75" i="29"/>
  <c r="U75" i="29" s="1"/>
  <c r="F75" i="29"/>
  <c r="AD75" i="29"/>
  <c r="X75" i="29"/>
  <c r="Y75" i="29" s="1"/>
  <c r="L75" i="29"/>
  <c r="H75" i="29"/>
  <c r="G65" i="29"/>
  <c r="I65" i="29"/>
  <c r="E65" i="29"/>
  <c r="F65" i="29"/>
  <c r="AC65" i="29"/>
  <c r="K65" i="29"/>
  <c r="AA65" i="29"/>
  <c r="H65" i="29"/>
  <c r="Z65" i="29"/>
  <c r="V65" i="29"/>
  <c r="W65" i="29" s="1"/>
  <c r="AB65" i="29"/>
  <c r="M65" i="29"/>
  <c r="R65" i="29"/>
  <c r="S65" i="29" s="1"/>
  <c r="AD65" i="29"/>
  <c r="T65" i="29"/>
  <c r="U65" i="29" s="1"/>
  <c r="P65" i="29"/>
  <c r="Q65" i="29" s="1"/>
  <c r="X65" i="29"/>
  <c r="Y65" i="29" s="1"/>
  <c r="N65" i="29"/>
  <c r="O65" i="29" s="1"/>
  <c r="L65" i="29"/>
  <c r="J65" i="29"/>
  <c r="AC96" i="30"/>
  <c r="V96" i="30"/>
  <c r="W96" i="30" s="1"/>
  <c r="T96" i="30"/>
  <c r="U96" i="30" s="1"/>
  <c r="AD96" i="30"/>
  <c r="AE96" i="30" s="1"/>
  <c r="AB96" i="30"/>
  <c r="P96" i="30"/>
  <c r="Q96" i="30" s="1"/>
  <c r="Z96" i="30"/>
  <c r="AA96" i="30"/>
  <c r="N96" i="30"/>
  <c r="O96" i="30" s="1"/>
  <c r="R96" i="30"/>
  <c r="S96" i="30" s="1"/>
  <c r="X96" i="30"/>
  <c r="Y96" i="30" s="1"/>
  <c r="D62" i="30"/>
  <c r="H73" i="30"/>
  <c r="G73" i="30"/>
  <c r="F73" i="30"/>
  <c r="AA73" i="30"/>
  <c r="M73" i="30"/>
  <c r="K73" i="30"/>
  <c r="Z73" i="30"/>
  <c r="AC73" i="30"/>
  <c r="X73" i="30"/>
  <c r="Y73" i="30" s="1"/>
  <c r="E73" i="30"/>
  <c r="L73" i="30"/>
  <c r="I73" i="30"/>
  <c r="AB73" i="30"/>
  <c r="AD73" i="30"/>
  <c r="P73" i="30"/>
  <c r="Q73" i="30" s="1"/>
  <c r="R73" i="30"/>
  <c r="S73" i="30" s="1"/>
  <c r="J73" i="30"/>
  <c r="N73" i="30"/>
  <c r="O73" i="30" s="1"/>
  <c r="V73" i="30"/>
  <c r="W73" i="30" s="1"/>
  <c r="T73" i="30"/>
  <c r="U73" i="30" s="1"/>
  <c r="H93" i="29"/>
  <c r="AD93" i="29"/>
  <c r="E93" i="29"/>
  <c r="L93" i="29"/>
  <c r="I93" i="29"/>
  <c r="AA93" i="29"/>
  <c r="M93" i="29"/>
  <c r="AC93" i="29"/>
  <c r="V93" i="29"/>
  <c r="W93" i="29" s="1"/>
  <c r="J93" i="29"/>
  <c r="Z93" i="29"/>
  <c r="K93" i="29"/>
  <c r="T93" i="29"/>
  <c r="U93" i="29" s="1"/>
  <c r="G93" i="29"/>
  <c r="X93" i="29"/>
  <c r="Y93" i="29" s="1"/>
  <c r="N93" i="29"/>
  <c r="O93" i="29" s="1"/>
  <c r="F93" i="29"/>
  <c r="R93" i="29"/>
  <c r="S93" i="29" s="1"/>
  <c r="P93" i="29"/>
  <c r="Q93" i="29" s="1"/>
  <c r="AB93" i="29"/>
  <c r="F70" i="29"/>
  <c r="J70" i="29"/>
  <c r="I70" i="29"/>
  <c r="G70" i="29"/>
  <c r="M70" i="29"/>
  <c r="Z70" i="29"/>
  <c r="AC70" i="29"/>
  <c r="L70" i="29"/>
  <c r="AB70" i="29"/>
  <c r="H70" i="29"/>
  <c r="AD70" i="29"/>
  <c r="T70" i="29"/>
  <c r="U70" i="29" s="1"/>
  <c r="AA70" i="29"/>
  <c r="V70" i="29"/>
  <c r="W70" i="29" s="1"/>
  <c r="E70" i="29"/>
  <c r="N70" i="29"/>
  <c r="O70" i="29" s="1"/>
  <c r="X70" i="29"/>
  <c r="Y70" i="29" s="1"/>
  <c r="P70" i="29"/>
  <c r="Q70" i="29" s="1"/>
  <c r="R70" i="29"/>
  <c r="S70" i="29" s="1"/>
  <c r="K70" i="29"/>
  <c r="L73" i="29"/>
  <c r="AB73" i="29"/>
  <c r="F73" i="29"/>
  <c r="K73" i="29"/>
  <c r="V73" i="29"/>
  <c r="W73" i="29" s="1"/>
  <c r="G73" i="29"/>
  <c r="M73" i="29"/>
  <c r="AA73" i="29"/>
  <c r="AC73" i="29"/>
  <c r="H73" i="29"/>
  <c r="E73" i="29"/>
  <c r="I73" i="29"/>
  <c r="Z73" i="29"/>
  <c r="X73" i="29"/>
  <c r="Y73" i="29" s="1"/>
  <c r="J73" i="29"/>
  <c r="P73" i="29"/>
  <c r="Q73" i="29" s="1"/>
  <c r="AD73" i="29"/>
  <c r="N73" i="29"/>
  <c r="O73" i="29" s="1"/>
  <c r="T73" i="29"/>
  <c r="U73" i="29" s="1"/>
  <c r="R73" i="29"/>
  <c r="S73" i="29" s="1"/>
  <c r="K65" i="30"/>
  <c r="AC65" i="30"/>
  <c r="I65" i="30"/>
  <c r="T65" i="30"/>
  <c r="U65" i="30" s="1"/>
  <c r="M65" i="30"/>
  <c r="L65" i="30"/>
  <c r="E65" i="30"/>
  <c r="H65" i="30"/>
  <c r="X65" i="30"/>
  <c r="Y65" i="30" s="1"/>
  <c r="G65" i="30"/>
  <c r="J65" i="30"/>
  <c r="N65" i="30"/>
  <c r="O65" i="30" s="1"/>
  <c r="AA65" i="30"/>
  <c r="P65" i="30"/>
  <c r="Q65" i="30" s="1"/>
  <c r="Z65" i="30"/>
  <c r="AB65" i="30"/>
  <c r="V65" i="30"/>
  <c r="W65" i="30" s="1"/>
  <c r="F65" i="30"/>
  <c r="AD65" i="30"/>
  <c r="R65" i="30"/>
  <c r="S65" i="30" s="1"/>
  <c r="H69" i="30"/>
  <c r="F69" i="30"/>
  <c r="I69" i="30"/>
  <c r="L69" i="30"/>
  <c r="G69" i="30"/>
  <c r="Z69" i="30"/>
  <c r="M69" i="30"/>
  <c r="E69" i="30"/>
  <c r="K69" i="30"/>
  <c r="AC69" i="30"/>
  <c r="P69" i="30"/>
  <c r="Q69" i="30" s="1"/>
  <c r="N69" i="30"/>
  <c r="O69" i="30" s="1"/>
  <c r="AB69" i="30"/>
  <c r="V69" i="30"/>
  <c r="W69" i="30" s="1"/>
  <c r="T69" i="30"/>
  <c r="U69" i="30" s="1"/>
  <c r="R69" i="30"/>
  <c r="S69" i="30" s="1"/>
  <c r="AD69" i="30"/>
  <c r="J69" i="30"/>
  <c r="X69" i="30"/>
  <c r="Y69" i="30" s="1"/>
  <c r="AA69" i="30"/>
  <c r="K81" i="29"/>
  <c r="L81" i="29"/>
  <c r="J81" i="29"/>
  <c r="H81" i="29"/>
  <c r="Z81" i="29"/>
  <c r="AC81" i="29"/>
  <c r="AB81" i="29"/>
  <c r="E81" i="29"/>
  <c r="I81" i="29"/>
  <c r="AA81" i="29"/>
  <c r="V81" i="29"/>
  <c r="W81" i="29" s="1"/>
  <c r="F81" i="29"/>
  <c r="M81" i="29"/>
  <c r="R81" i="29"/>
  <c r="S81" i="29" s="1"/>
  <c r="P81" i="29"/>
  <c r="Q81" i="29" s="1"/>
  <c r="AD81" i="29"/>
  <c r="N81" i="29"/>
  <c r="O81" i="29" s="1"/>
  <c r="G81" i="29"/>
  <c r="T81" i="29"/>
  <c r="U81" i="29" s="1"/>
  <c r="X81" i="29"/>
  <c r="Y81" i="29" s="1"/>
  <c r="G58" i="29"/>
  <c r="Z58" i="29"/>
  <c r="M58" i="29"/>
  <c r="I58" i="29"/>
  <c r="X58" i="29"/>
  <c r="Y58" i="29" s="1"/>
  <c r="E58" i="29"/>
  <c r="N58" i="29"/>
  <c r="O58" i="29" s="1"/>
  <c r="AB58" i="29"/>
  <c r="J58" i="29"/>
  <c r="H58" i="29"/>
  <c r="L58" i="29"/>
  <c r="T58" i="29"/>
  <c r="U58" i="29" s="1"/>
  <c r="AC58" i="29"/>
  <c r="F58" i="29"/>
  <c r="R58" i="29"/>
  <c r="S58" i="29" s="1"/>
  <c r="AA58" i="29"/>
  <c r="AD58" i="29"/>
  <c r="K58" i="29"/>
  <c r="P58" i="29"/>
  <c r="Q58" i="29" s="1"/>
  <c r="V58" i="29"/>
  <c r="W58" i="29" s="1"/>
  <c r="AB70" i="30"/>
  <c r="J70" i="30"/>
  <c r="I70" i="30"/>
  <c r="G70" i="30"/>
  <c r="K70" i="30"/>
  <c r="H70" i="30"/>
  <c r="AD70" i="30"/>
  <c r="M70" i="30"/>
  <c r="L70" i="30"/>
  <c r="AA70" i="30"/>
  <c r="Z70" i="30"/>
  <c r="E70" i="30"/>
  <c r="R70" i="30"/>
  <c r="S70" i="30" s="1"/>
  <c r="AC70" i="30"/>
  <c r="F70" i="30"/>
  <c r="X70" i="30"/>
  <c r="Y70" i="30" s="1"/>
  <c r="V70" i="30"/>
  <c r="W70" i="30" s="1"/>
  <c r="N70" i="30"/>
  <c r="O70" i="30" s="1"/>
  <c r="P70" i="30"/>
  <c r="Q70" i="30" s="1"/>
  <c r="T70" i="30"/>
  <c r="U70" i="30" s="1"/>
  <c r="AA85" i="30"/>
  <c r="M85" i="30"/>
  <c r="Z85" i="30"/>
  <c r="F85" i="30"/>
  <c r="T85" i="30"/>
  <c r="U85" i="30" s="1"/>
  <c r="AC85" i="30"/>
  <c r="E85" i="30"/>
  <c r="H85" i="30"/>
  <c r="X85" i="30"/>
  <c r="Y85" i="30" s="1"/>
  <c r="K85" i="30"/>
  <c r="I85" i="30"/>
  <c r="V85" i="30"/>
  <c r="W85" i="30" s="1"/>
  <c r="R85" i="30"/>
  <c r="S85" i="30" s="1"/>
  <c r="AB85" i="30"/>
  <c r="J85" i="30"/>
  <c r="G85" i="30"/>
  <c r="P85" i="30"/>
  <c r="Q85" i="30" s="1"/>
  <c r="L85" i="30"/>
  <c r="AD85" i="30"/>
  <c r="N85" i="30"/>
  <c r="O85" i="30" s="1"/>
  <c r="Z96" i="29"/>
  <c r="P96" i="29"/>
  <c r="Q96" i="29" s="1"/>
  <c r="AC96" i="29"/>
  <c r="AA96" i="29"/>
  <c r="N96" i="29"/>
  <c r="O96" i="29" s="1"/>
  <c r="AD96" i="29"/>
  <c r="AE96" i="29" s="1"/>
  <c r="V96" i="29"/>
  <c r="W96" i="29" s="1"/>
  <c r="T96" i="29"/>
  <c r="U96" i="29" s="1"/>
  <c r="X96" i="29"/>
  <c r="Y96" i="29" s="1"/>
  <c r="R96" i="29"/>
  <c r="S96" i="29" s="1"/>
  <c r="AB96" i="29"/>
  <c r="F89" i="29"/>
  <c r="AA89" i="29"/>
  <c r="G89" i="29"/>
  <c r="AC89" i="29"/>
  <c r="I89" i="29"/>
  <c r="E89" i="29"/>
  <c r="K89" i="29"/>
  <c r="AD89" i="29"/>
  <c r="Z89" i="29"/>
  <c r="L89" i="29"/>
  <c r="AB89" i="29"/>
  <c r="J89" i="29"/>
  <c r="T89" i="29"/>
  <c r="U89" i="29" s="1"/>
  <c r="M89" i="29"/>
  <c r="H89" i="29"/>
  <c r="V89" i="29"/>
  <c r="W89" i="29" s="1"/>
  <c r="X89" i="29"/>
  <c r="Y89" i="29" s="1"/>
  <c r="P89" i="29"/>
  <c r="Q89" i="29" s="1"/>
  <c r="N89" i="29"/>
  <c r="O89" i="29" s="1"/>
  <c r="R89" i="29"/>
  <c r="S89" i="29" s="1"/>
  <c r="M59" i="30"/>
  <c r="L59" i="30"/>
  <c r="I59" i="30"/>
  <c r="J59" i="30"/>
  <c r="T59" i="30"/>
  <c r="U59" i="30" s="1"/>
  <c r="R59" i="30"/>
  <c r="S59" i="30" s="1"/>
  <c r="V59" i="30"/>
  <c r="W59" i="30" s="1"/>
  <c r="AD59" i="30"/>
  <c r="E59" i="30"/>
  <c r="Z59" i="30"/>
  <c r="AA59" i="30"/>
  <c r="G59" i="30"/>
  <c r="K59" i="30"/>
  <c r="N59" i="30"/>
  <c r="O59" i="30" s="1"/>
  <c r="H59" i="30"/>
  <c r="AB59" i="30"/>
  <c r="AC59" i="30"/>
  <c r="P59" i="30"/>
  <c r="Q59" i="30" s="1"/>
  <c r="X59" i="30"/>
  <c r="Y59" i="30" s="1"/>
  <c r="F59" i="30"/>
  <c r="E84" i="29"/>
  <c r="G84" i="29"/>
  <c r="Z84" i="29"/>
  <c r="P84" i="29"/>
  <c r="Q84" i="29" s="1"/>
  <c r="AA84" i="29"/>
  <c r="L84" i="29"/>
  <c r="F84" i="29"/>
  <c r="V84" i="29"/>
  <c r="W84" i="29" s="1"/>
  <c r="M84" i="29"/>
  <c r="I84" i="29"/>
  <c r="K84" i="29"/>
  <c r="AC84" i="29"/>
  <c r="N84" i="29"/>
  <c r="O84" i="29" s="1"/>
  <c r="J84" i="29"/>
  <c r="R84" i="29"/>
  <c r="S84" i="29" s="1"/>
  <c r="H84" i="29"/>
  <c r="X84" i="29"/>
  <c r="Y84" i="29" s="1"/>
  <c r="AD84" i="29"/>
  <c r="AB84" i="29"/>
  <c r="T84" i="29"/>
  <c r="U84" i="29" s="1"/>
  <c r="AB85" i="29"/>
  <c r="K85" i="29"/>
  <c r="AA85" i="29"/>
  <c r="Z85" i="29"/>
  <c r="H85" i="29"/>
  <c r="AC85" i="29"/>
  <c r="I85" i="29"/>
  <c r="G85" i="29"/>
  <c r="J85" i="29"/>
  <c r="R85" i="29"/>
  <c r="S85" i="29" s="1"/>
  <c r="X85" i="29"/>
  <c r="Y85" i="29" s="1"/>
  <c r="N85" i="29"/>
  <c r="O85" i="29" s="1"/>
  <c r="L85" i="29"/>
  <c r="E85" i="29"/>
  <c r="V85" i="29"/>
  <c r="W85" i="29" s="1"/>
  <c r="T85" i="29"/>
  <c r="U85" i="29" s="1"/>
  <c r="AD85" i="29"/>
  <c r="F85" i="29"/>
  <c r="M85" i="29"/>
  <c r="P85" i="29"/>
  <c r="Q85" i="29" s="1"/>
  <c r="I57" i="29"/>
  <c r="AA57" i="29"/>
  <c r="AB57" i="29"/>
  <c r="AC57" i="29"/>
  <c r="F57" i="29"/>
  <c r="J57" i="29"/>
  <c r="H57" i="29"/>
  <c r="Z57" i="29"/>
  <c r="T57" i="29"/>
  <c r="U57" i="29" s="1"/>
  <c r="E57" i="29"/>
  <c r="G57" i="29"/>
  <c r="V57" i="29"/>
  <c r="W57" i="29" s="1"/>
  <c r="M57" i="29"/>
  <c r="R57" i="29"/>
  <c r="S57" i="29" s="1"/>
  <c r="L57" i="29"/>
  <c r="X57" i="29"/>
  <c r="Y57" i="29" s="1"/>
  <c r="P57" i="29"/>
  <c r="Q57" i="29" s="1"/>
  <c r="K57" i="29"/>
  <c r="AD57" i="29"/>
  <c r="N57" i="29"/>
  <c r="O57" i="29" s="1"/>
  <c r="L64" i="29"/>
  <c r="AB64" i="29"/>
  <c r="I64" i="29"/>
  <c r="M64" i="29"/>
  <c r="AC64" i="29"/>
  <c r="AA64" i="29"/>
  <c r="J64" i="29"/>
  <c r="H64" i="29"/>
  <c r="K64" i="29"/>
  <c r="X64" i="29"/>
  <c r="Y64" i="29" s="1"/>
  <c r="F64" i="29"/>
  <c r="E64" i="29"/>
  <c r="N64" i="29"/>
  <c r="O64" i="29" s="1"/>
  <c r="AD64" i="29"/>
  <c r="G64" i="29"/>
  <c r="Z64" i="29"/>
  <c r="V64" i="29"/>
  <c r="W64" i="29" s="1"/>
  <c r="T64" i="29"/>
  <c r="U64" i="29" s="1"/>
  <c r="P64" i="29"/>
  <c r="Q64" i="29" s="1"/>
  <c r="R64" i="29"/>
  <c r="S64" i="29" s="1"/>
  <c r="Z87" i="29"/>
  <c r="E87" i="29"/>
  <c r="M87" i="29"/>
  <c r="AC87" i="29"/>
  <c r="V87" i="29"/>
  <c r="W87" i="29" s="1"/>
  <c r="G87" i="29"/>
  <c r="K87" i="29"/>
  <c r="AA87" i="29"/>
  <c r="AD87" i="29"/>
  <c r="T87" i="29"/>
  <c r="U87" i="29" s="1"/>
  <c r="J87" i="29"/>
  <c r="I87" i="29"/>
  <c r="N87" i="29"/>
  <c r="O87" i="29" s="1"/>
  <c r="H87" i="29"/>
  <c r="P87" i="29"/>
  <c r="Q87" i="29" s="1"/>
  <c r="L87" i="29"/>
  <c r="X87" i="29"/>
  <c r="Y87" i="29" s="1"/>
  <c r="AB87" i="29"/>
  <c r="F87" i="29"/>
  <c r="R87" i="29"/>
  <c r="S87" i="29" s="1"/>
  <c r="I86" i="30"/>
  <c r="E86" i="30"/>
  <c r="AD86" i="30"/>
  <c r="G86" i="30"/>
  <c r="Z86" i="30"/>
  <c r="AB86" i="30"/>
  <c r="AC86" i="30"/>
  <c r="K86" i="30"/>
  <c r="N86" i="30"/>
  <c r="O86" i="30" s="1"/>
  <c r="F86" i="30"/>
  <c r="AA86" i="30"/>
  <c r="X86" i="30"/>
  <c r="Y86" i="30" s="1"/>
  <c r="J86" i="30"/>
  <c r="L86" i="30"/>
  <c r="P86" i="30"/>
  <c r="Q86" i="30" s="1"/>
  <c r="H86" i="30"/>
  <c r="R86" i="30"/>
  <c r="S86" i="30" s="1"/>
  <c r="V86" i="30"/>
  <c r="W86" i="30" s="1"/>
  <c r="M86" i="30"/>
  <c r="T86" i="30"/>
  <c r="U86" i="30" s="1"/>
  <c r="F90" i="30"/>
  <c r="J90" i="30"/>
  <c r="AD90" i="30"/>
  <c r="AB90" i="30"/>
  <c r="I90" i="30"/>
  <c r="E90" i="30"/>
  <c r="H90" i="30"/>
  <c r="AA90" i="30"/>
  <c r="P90" i="30"/>
  <c r="Q90" i="30" s="1"/>
  <c r="X90" i="30"/>
  <c r="Y90" i="30" s="1"/>
  <c r="G90" i="30"/>
  <c r="AC90" i="30"/>
  <c r="R90" i="30"/>
  <c r="S90" i="30" s="1"/>
  <c r="L90" i="30"/>
  <c r="Z90" i="30"/>
  <c r="N90" i="30"/>
  <c r="O90" i="30" s="1"/>
  <c r="K90" i="30"/>
  <c r="M90" i="30"/>
  <c r="V90" i="30"/>
  <c r="W90" i="30" s="1"/>
  <c r="T90" i="30"/>
  <c r="U90" i="30" s="1"/>
  <c r="F67" i="30"/>
  <c r="AC67" i="30"/>
  <c r="G67" i="30"/>
  <c r="AD67" i="30"/>
  <c r="AB67" i="30"/>
  <c r="I67" i="30"/>
  <c r="L67" i="30"/>
  <c r="AA67" i="30"/>
  <c r="Z67" i="30"/>
  <c r="M67" i="30"/>
  <c r="H67" i="30"/>
  <c r="E67" i="30"/>
  <c r="X67" i="30"/>
  <c r="Y67" i="30" s="1"/>
  <c r="T67" i="30"/>
  <c r="U67" i="30" s="1"/>
  <c r="V67" i="30"/>
  <c r="W67" i="30" s="1"/>
  <c r="P67" i="30"/>
  <c r="Q67" i="30" s="1"/>
  <c r="K67" i="30"/>
  <c r="R67" i="30"/>
  <c r="S67" i="30" s="1"/>
  <c r="J67" i="30"/>
  <c r="N67" i="30"/>
  <c r="O67" i="30" s="1"/>
  <c r="I76" i="30"/>
  <c r="AA76" i="30"/>
  <c r="K76" i="30"/>
  <c r="AB76" i="30"/>
  <c r="G76" i="30"/>
  <c r="F76" i="30"/>
  <c r="E76" i="30"/>
  <c r="Z76" i="30"/>
  <c r="R76" i="30"/>
  <c r="S76" i="30" s="1"/>
  <c r="X76" i="30"/>
  <c r="Y76" i="30" s="1"/>
  <c r="L76" i="30"/>
  <c r="AC76" i="30"/>
  <c r="H76" i="30"/>
  <c r="AD76" i="30"/>
  <c r="V76" i="30"/>
  <c r="W76" i="30" s="1"/>
  <c r="N76" i="30"/>
  <c r="O76" i="30" s="1"/>
  <c r="P76" i="30"/>
  <c r="Q76" i="30" s="1"/>
  <c r="M76" i="30"/>
  <c r="J76" i="30"/>
  <c r="T76" i="30"/>
  <c r="U76" i="30" s="1"/>
  <c r="AC59" i="29"/>
  <c r="E59" i="29"/>
  <c r="AA59" i="29"/>
  <c r="AD59" i="29"/>
  <c r="K59" i="29"/>
  <c r="F59" i="29"/>
  <c r="M59" i="29"/>
  <c r="L59" i="29"/>
  <c r="X59" i="29"/>
  <c r="Y59" i="29" s="1"/>
  <c r="Z59" i="29"/>
  <c r="R59" i="29"/>
  <c r="S59" i="29" s="1"/>
  <c r="AB59" i="29"/>
  <c r="N59" i="29"/>
  <c r="O59" i="29" s="1"/>
  <c r="J59" i="29"/>
  <c r="G59" i="29"/>
  <c r="H59" i="29"/>
  <c r="I59" i="29"/>
  <c r="V59" i="29"/>
  <c r="W59" i="29" s="1"/>
  <c r="P59" i="29"/>
  <c r="Q59" i="29" s="1"/>
  <c r="T59" i="29"/>
  <c r="U59" i="29" s="1"/>
  <c r="K84" i="30"/>
  <c r="AA84" i="30"/>
  <c r="AC84" i="30"/>
  <c r="Z84" i="30"/>
  <c r="I84" i="30"/>
  <c r="F84" i="30"/>
  <c r="AB84" i="30"/>
  <c r="J84" i="30"/>
  <c r="G84" i="30"/>
  <c r="L84" i="30"/>
  <c r="AD84" i="30"/>
  <c r="V84" i="30"/>
  <c r="W84" i="30" s="1"/>
  <c r="M84" i="30"/>
  <c r="X84" i="30"/>
  <c r="Y84" i="30" s="1"/>
  <c r="H84" i="30"/>
  <c r="P84" i="30"/>
  <c r="Q84" i="30" s="1"/>
  <c r="T84" i="30"/>
  <c r="U84" i="30" s="1"/>
  <c r="R84" i="30"/>
  <c r="S84" i="30" s="1"/>
  <c r="N84" i="30"/>
  <c r="O84" i="30" s="1"/>
  <c r="E84" i="30"/>
  <c r="E60" i="29"/>
  <c r="K60" i="29"/>
  <c r="AA60" i="29"/>
  <c r="T60" i="29"/>
  <c r="U60" i="29" s="1"/>
  <c r="I60" i="29"/>
  <c r="F60" i="29"/>
  <c r="Z60" i="29"/>
  <c r="J60" i="29"/>
  <c r="AB60" i="29"/>
  <c r="X60" i="29"/>
  <c r="Y60" i="29" s="1"/>
  <c r="P60" i="29"/>
  <c r="Q60" i="29" s="1"/>
  <c r="H60" i="29"/>
  <c r="AC60" i="29"/>
  <c r="M60" i="29"/>
  <c r="L60" i="29"/>
  <c r="AD60" i="29"/>
  <c r="G60" i="29"/>
  <c r="N60" i="29"/>
  <c r="O60" i="29" s="1"/>
  <c r="V60" i="29"/>
  <c r="W60" i="29" s="1"/>
  <c r="R60" i="29"/>
  <c r="S60" i="29" s="1"/>
  <c r="L71" i="29"/>
  <c r="J71" i="29"/>
  <c r="AA71" i="29"/>
  <c r="I71" i="29"/>
  <c r="K71" i="29"/>
  <c r="E71" i="29"/>
  <c r="F71" i="29"/>
  <c r="G71" i="29"/>
  <c r="Z71" i="29"/>
  <c r="P71" i="29"/>
  <c r="Q71" i="29" s="1"/>
  <c r="AC71" i="29"/>
  <c r="AD71" i="29"/>
  <c r="T71" i="29"/>
  <c r="U71" i="29" s="1"/>
  <c r="H71" i="29"/>
  <c r="X71" i="29"/>
  <c r="Y71" i="29" s="1"/>
  <c r="M71" i="29"/>
  <c r="V71" i="29"/>
  <c r="W71" i="29" s="1"/>
  <c r="N71" i="29"/>
  <c r="O71" i="29" s="1"/>
  <c r="R71" i="29"/>
  <c r="S71" i="29" s="1"/>
  <c r="AB71" i="29"/>
  <c r="AA68" i="30"/>
  <c r="AB68" i="30"/>
  <c r="J68" i="30"/>
  <c r="E68" i="30"/>
  <c r="M68" i="30"/>
  <c r="G68" i="30"/>
  <c r="T68" i="30"/>
  <c r="U68" i="30" s="1"/>
  <c r="V68" i="30"/>
  <c r="W68" i="30" s="1"/>
  <c r="I68" i="30"/>
  <c r="L68" i="30"/>
  <c r="F68" i="30"/>
  <c r="R68" i="30"/>
  <c r="S68" i="30" s="1"/>
  <c r="K68" i="30"/>
  <c r="N68" i="30"/>
  <c r="O68" i="30" s="1"/>
  <c r="X68" i="30"/>
  <c r="Y68" i="30" s="1"/>
  <c r="H68" i="30"/>
  <c r="Z68" i="30"/>
  <c r="AC68" i="30"/>
  <c r="P68" i="30"/>
  <c r="Q68" i="30" s="1"/>
  <c r="AD68" i="30"/>
  <c r="H69" i="29"/>
  <c r="AC69" i="29"/>
  <c r="E69" i="29"/>
  <c r="G69" i="29"/>
  <c r="V69" i="29"/>
  <c r="W69" i="29" s="1"/>
  <c r="F69" i="29"/>
  <c r="M69" i="29"/>
  <c r="AA69" i="29"/>
  <c r="P69" i="29"/>
  <c r="Q69" i="29" s="1"/>
  <c r="I69" i="29"/>
  <c r="AB69" i="29"/>
  <c r="N69" i="29"/>
  <c r="O69" i="29" s="1"/>
  <c r="Z69" i="29"/>
  <c r="L69" i="29"/>
  <c r="R69" i="29"/>
  <c r="S69" i="29" s="1"/>
  <c r="AD69" i="29"/>
  <c r="K69" i="29"/>
  <c r="T69" i="29"/>
  <c r="U69" i="29" s="1"/>
  <c r="J69" i="29"/>
  <c r="X69" i="29"/>
  <c r="Y69" i="29" s="1"/>
  <c r="K95" i="29"/>
  <c r="L95" i="29"/>
  <c r="AB95" i="29"/>
  <c r="AC95" i="29"/>
  <c r="H95" i="29"/>
  <c r="Z95" i="29"/>
  <c r="I95" i="29"/>
  <c r="M95" i="29"/>
  <c r="J95" i="29"/>
  <c r="F95" i="29"/>
  <c r="E95" i="29"/>
  <c r="R95" i="29"/>
  <c r="S95" i="29" s="1"/>
  <c r="G95" i="29"/>
  <c r="X95" i="29"/>
  <c r="Y95" i="29" s="1"/>
  <c r="T95" i="29"/>
  <c r="U95" i="29" s="1"/>
  <c r="AD95" i="29"/>
  <c r="V95" i="29"/>
  <c r="W95" i="29" s="1"/>
  <c r="P95" i="29"/>
  <c r="Q95" i="29" s="1"/>
  <c r="AA95" i="29"/>
  <c r="N95" i="29"/>
  <c r="O95" i="29" s="1"/>
  <c r="H90" i="29"/>
  <c r="M90" i="29"/>
  <c r="L90" i="29"/>
  <c r="AD90" i="29"/>
  <c r="AB90" i="29"/>
  <c r="K90" i="29"/>
  <c r="AA90" i="29"/>
  <c r="I90" i="29"/>
  <c r="Z90" i="29"/>
  <c r="E90" i="29"/>
  <c r="T90" i="29"/>
  <c r="U90" i="29" s="1"/>
  <c r="J90" i="29"/>
  <c r="V90" i="29"/>
  <c r="W90" i="29" s="1"/>
  <c r="G90" i="29"/>
  <c r="F90" i="29"/>
  <c r="X90" i="29"/>
  <c r="Y90" i="29" s="1"/>
  <c r="AC90" i="29"/>
  <c r="R90" i="29"/>
  <c r="S90" i="29" s="1"/>
  <c r="N90" i="29"/>
  <c r="O90" i="29" s="1"/>
  <c r="P90" i="29"/>
  <c r="Q90" i="29" s="1"/>
  <c r="Z87" i="30"/>
  <c r="F87" i="30"/>
  <c r="M87" i="30"/>
  <c r="P87" i="30"/>
  <c r="Q87" i="30" s="1"/>
  <c r="AC87" i="30"/>
  <c r="AB87" i="30"/>
  <c r="H87" i="30"/>
  <c r="AD87" i="30"/>
  <c r="I87" i="30"/>
  <c r="X87" i="30"/>
  <c r="Y87" i="30" s="1"/>
  <c r="R87" i="30"/>
  <c r="S87" i="30" s="1"/>
  <c r="K87" i="30"/>
  <c r="G87" i="30"/>
  <c r="V87" i="30"/>
  <c r="W87" i="30" s="1"/>
  <c r="L87" i="30"/>
  <c r="AA87" i="30"/>
  <c r="J87" i="30"/>
  <c r="T87" i="30"/>
  <c r="U87" i="30" s="1"/>
  <c r="N87" i="30"/>
  <c r="O87" i="30" s="1"/>
  <c r="E87" i="30"/>
  <c r="Z77" i="29"/>
  <c r="M77" i="29"/>
  <c r="AC77" i="29"/>
  <c r="H77" i="29"/>
  <c r="G77" i="29"/>
  <c r="E77" i="29"/>
  <c r="I77" i="29"/>
  <c r="R77" i="29"/>
  <c r="S77" i="29" s="1"/>
  <c r="T77" i="29"/>
  <c r="U77" i="29" s="1"/>
  <c r="K77" i="29"/>
  <c r="L77" i="29"/>
  <c r="P77" i="29"/>
  <c r="Q77" i="29" s="1"/>
  <c r="X77" i="29"/>
  <c r="Y77" i="29" s="1"/>
  <c r="N77" i="29"/>
  <c r="O77" i="29" s="1"/>
  <c r="V77" i="29"/>
  <c r="W77" i="29" s="1"/>
  <c r="J77" i="29"/>
  <c r="AA77" i="29"/>
  <c r="F77" i="29"/>
  <c r="AB77" i="29"/>
  <c r="AD77" i="29"/>
  <c r="F79" i="30"/>
  <c r="L79" i="30"/>
  <c r="I79" i="30"/>
  <c r="J79" i="30"/>
  <c r="AB79" i="30"/>
  <c r="E79" i="30"/>
  <c r="AC79" i="30"/>
  <c r="Z79" i="30"/>
  <c r="AD79" i="30"/>
  <c r="G79" i="30"/>
  <c r="AA79" i="30"/>
  <c r="R79" i="30"/>
  <c r="S79" i="30" s="1"/>
  <c r="T79" i="30"/>
  <c r="U79" i="30" s="1"/>
  <c r="H79" i="30"/>
  <c r="M79" i="30"/>
  <c r="K79" i="30"/>
  <c r="V79" i="30"/>
  <c r="W79" i="30" s="1"/>
  <c r="P79" i="30"/>
  <c r="Q79" i="30" s="1"/>
  <c r="N79" i="30"/>
  <c r="O79" i="30" s="1"/>
  <c r="X79" i="30"/>
  <c r="Y79" i="30" s="1"/>
  <c r="AA60" i="30"/>
  <c r="K60" i="30"/>
  <c r="AB60" i="30"/>
  <c r="T60" i="30"/>
  <c r="U60" i="30" s="1"/>
  <c r="AC60" i="30"/>
  <c r="F60" i="30"/>
  <c r="G60" i="30"/>
  <c r="H60" i="30"/>
  <c r="L60" i="30"/>
  <c r="I60" i="30"/>
  <c r="E60" i="30"/>
  <c r="X60" i="30"/>
  <c r="Y60" i="30" s="1"/>
  <c r="R60" i="30"/>
  <c r="S60" i="30" s="1"/>
  <c r="J60" i="30"/>
  <c r="V60" i="30"/>
  <c r="W60" i="30" s="1"/>
  <c r="N60" i="30"/>
  <c r="O60" i="30" s="1"/>
  <c r="Z60" i="30"/>
  <c r="AD60" i="30"/>
  <c r="P60" i="30"/>
  <c r="Q60" i="30" s="1"/>
  <c r="M60" i="30"/>
  <c r="G67" i="29"/>
  <c r="I67" i="29"/>
  <c r="M67" i="29"/>
  <c r="H67" i="29"/>
  <c r="AB67" i="29"/>
  <c r="AA67" i="29"/>
  <c r="F67" i="29"/>
  <c r="E67" i="29"/>
  <c r="X67" i="29"/>
  <c r="Y67" i="29" s="1"/>
  <c r="K67" i="29"/>
  <c r="L67" i="29"/>
  <c r="R67" i="29"/>
  <c r="S67" i="29" s="1"/>
  <c r="T67" i="29"/>
  <c r="U67" i="29" s="1"/>
  <c r="AC67" i="29"/>
  <c r="J67" i="29"/>
  <c r="N67" i="29"/>
  <c r="O67" i="29" s="1"/>
  <c r="V67" i="29"/>
  <c r="W67" i="29" s="1"/>
  <c r="P67" i="29"/>
  <c r="Q67" i="29" s="1"/>
  <c r="AD67" i="29"/>
  <c r="Z67" i="29"/>
  <c r="H93" i="30"/>
  <c r="I93" i="30"/>
  <c r="Z93" i="30"/>
  <c r="AC93" i="30"/>
  <c r="G93" i="30"/>
  <c r="K93" i="30"/>
  <c r="J93" i="30"/>
  <c r="E93" i="30"/>
  <c r="F93" i="30"/>
  <c r="P93" i="30"/>
  <c r="Q93" i="30" s="1"/>
  <c r="R93" i="30"/>
  <c r="S93" i="30" s="1"/>
  <c r="AD93" i="30"/>
  <c r="AB93" i="30"/>
  <c r="V93" i="30"/>
  <c r="W93" i="30" s="1"/>
  <c r="AA93" i="30"/>
  <c r="N93" i="30"/>
  <c r="O93" i="30" s="1"/>
  <c r="M93" i="30"/>
  <c r="T93" i="30"/>
  <c r="U93" i="30" s="1"/>
  <c r="L93" i="30"/>
  <c r="X93" i="30"/>
  <c r="Y93" i="30" s="1"/>
  <c r="Z63" i="29"/>
  <c r="E63" i="29"/>
  <c r="AB63" i="29"/>
  <c r="L63" i="29"/>
  <c r="AA63" i="29"/>
  <c r="AC63" i="29"/>
  <c r="G63" i="29"/>
  <c r="V63" i="29"/>
  <c r="W63" i="29" s="1"/>
  <c r="J63" i="29"/>
  <c r="H63" i="29"/>
  <c r="K63" i="29"/>
  <c r="M63" i="29"/>
  <c r="N63" i="29"/>
  <c r="O63" i="29" s="1"/>
  <c r="X63" i="29"/>
  <c r="Y63" i="29" s="1"/>
  <c r="R63" i="29"/>
  <c r="S63" i="29" s="1"/>
  <c r="F63" i="29"/>
  <c r="P63" i="29"/>
  <c r="Q63" i="29" s="1"/>
  <c r="I63" i="29"/>
  <c r="AD63" i="29"/>
  <c r="T63" i="29"/>
  <c r="U63" i="29" s="1"/>
  <c r="Z95" i="30"/>
  <c r="AD95" i="30"/>
  <c r="I95" i="30"/>
  <c r="AA95" i="30"/>
  <c r="AB95" i="30"/>
  <c r="F95" i="30"/>
  <c r="V95" i="30"/>
  <c r="W95" i="30" s="1"/>
  <c r="M95" i="30"/>
  <c r="E95" i="30"/>
  <c r="G95" i="30"/>
  <c r="T95" i="30"/>
  <c r="U95" i="30" s="1"/>
  <c r="P95" i="30"/>
  <c r="Q95" i="30" s="1"/>
  <c r="H95" i="30"/>
  <c r="J95" i="30"/>
  <c r="R95" i="30"/>
  <c r="S95" i="30" s="1"/>
  <c r="L95" i="30"/>
  <c r="K95" i="30"/>
  <c r="AC95" i="30"/>
  <c r="N95" i="30"/>
  <c r="O95" i="30" s="1"/>
  <c r="X95" i="30"/>
  <c r="Y95" i="30" s="1"/>
  <c r="F83" i="29"/>
  <c r="Z83" i="29"/>
  <c r="AC83" i="29"/>
  <c r="H83" i="29"/>
  <c r="L83" i="29"/>
  <c r="E83" i="29"/>
  <c r="N83" i="29"/>
  <c r="O83" i="29" s="1"/>
  <c r="P83" i="29"/>
  <c r="Q83" i="29" s="1"/>
  <c r="K83" i="29"/>
  <c r="I83" i="29"/>
  <c r="G83" i="29"/>
  <c r="AA83" i="29"/>
  <c r="T83" i="29"/>
  <c r="U83" i="29" s="1"/>
  <c r="M83" i="29"/>
  <c r="AD83" i="29"/>
  <c r="X83" i="29"/>
  <c r="Y83" i="29" s="1"/>
  <c r="J83" i="29"/>
  <c r="V83" i="29"/>
  <c r="W83" i="29" s="1"/>
  <c r="AB83" i="29"/>
  <c r="R83" i="29"/>
  <c r="S83" i="29" s="1"/>
  <c r="G91" i="29"/>
  <c r="J91" i="29"/>
  <c r="E91" i="29"/>
  <c r="R91" i="29"/>
  <c r="S91" i="29" s="1"/>
  <c r="AB91" i="29"/>
  <c r="F91" i="29"/>
  <c r="AA91" i="29"/>
  <c r="Z91" i="29"/>
  <c r="I91" i="29"/>
  <c r="H91" i="29"/>
  <c r="AD91" i="29"/>
  <c r="P91" i="29"/>
  <c r="Q91" i="29" s="1"/>
  <c r="V91" i="29"/>
  <c r="W91" i="29" s="1"/>
  <c r="AC91" i="29"/>
  <c r="X91" i="29"/>
  <c r="Y91" i="29" s="1"/>
  <c r="L91" i="29"/>
  <c r="K91" i="29"/>
  <c r="N91" i="29"/>
  <c r="O91" i="29" s="1"/>
  <c r="M91" i="29"/>
  <c r="T91" i="29"/>
  <c r="U91" i="29" s="1"/>
  <c r="E92" i="29"/>
  <c r="G92" i="29"/>
  <c r="AA92" i="29"/>
  <c r="K92" i="29"/>
  <c r="F92" i="29"/>
  <c r="I92" i="29"/>
  <c r="AD92" i="29"/>
  <c r="V92" i="29"/>
  <c r="W92" i="29" s="1"/>
  <c r="M92" i="29"/>
  <c r="Z92" i="29"/>
  <c r="T92" i="29"/>
  <c r="U92" i="29" s="1"/>
  <c r="J92" i="29"/>
  <c r="AC92" i="29"/>
  <c r="H92" i="29"/>
  <c r="R92" i="29"/>
  <c r="S92" i="29" s="1"/>
  <c r="AB92" i="29"/>
  <c r="L92" i="29"/>
  <c r="N92" i="29"/>
  <c r="O92" i="29" s="1"/>
  <c r="P92" i="29"/>
  <c r="Q92" i="29" s="1"/>
  <c r="X92" i="29"/>
  <c r="Y92" i="29" s="1"/>
  <c r="L94" i="29"/>
  <c r="AB94" i="29"/>
  <c r="K94" i="29"/>
  <c r="J94" i="29"/>
  <c r="AC94" i="29"/>
  <c r="G94" i="29"/>
  <c r="E94" i="29"/>
  <c r="AD94" i="29"/>
  <c r="I94" i="29"/>
  <c r="M94" i="29"/>
  <c r="F94" i="29"/>
  <c r="H94" i="29"/>
  <c r="Z94" i="29"/>
  <c r="X94" i="29"/>
  <c r="Y94" i="29" s="1"/>
  <c r="AA94" i="29"/>
  <c r="P94" i="29"/>
  <c r="Q94" i="29" s="1"/>
  <c r="T94" i="29"/>
  <c r="U94" i="29" s="1"/>
  <c r="R94" i="29"/>
  <c r="S94" i="29" s="1"/>
  <c r="V94" i="29"/>
  <c r="W94" i="29" s="1"/>
  <c r="N94" i="29"/>
  <c r="O94" i="29" s="1"/>
  <c r="J82" i="29"/>
  <c r="AC82" i="29"/>
  <c r="M82" i="29"/>
  <c r="N82" i="29"/>
  <c r="O82" i="29" s="1"/>
  <c r="E82" i="29"/>
  <c r="AB82" i="29"/>
  <c r="K82" i="29"/>
  <c r="G82" i="29"/>
  <c r="P82" i="29"/>
  <c r="Q82" i="29" s="1"/>
  <c r="Z82" i="29"/>
  <c r="H82" i="29"/>
  <c r="T82" i="29"/>
  <c r="U82" i="29" s="1"/>
  <c r="V82" i="29"/>
  <c r="W82" i="29" s="1"/>
  <c r="I82" i="29"/>
  <c r="L82" i="29"/>
  <c r="X82" i="29"/>
  <c r="Y82" i="29" s="1"/>
  <c r="AD82" i="29"/>
  <c r="R82" i="29"/>
  <c r="S82" i="29" s="1"/>
  <c r="F82" i="29"/>
  <c r="AA82" i="29"/>
  <c r="AA63" i="30"/>
  <c r="G63" i="30"/>
  <c r="H63" i="30"/>
  <c r="AB63" i="30"/>
  <c r="AC63" i="30"/>
  <c r="K63" i="30"/>
  <c r="I63" i="30"/>
  <c r="L63" i="30"/>
  <c r="E63" i="30"/>
  <c r="Z63" i="30"/>
  <c r="N63" i="30"/>
  <c r="O63" i="30" s="1"/>
  <c r="AD63" i="30"/>
  <c r="X63" i="30"/>
  <c r="Y63" i="30" s="1"/>
  <c r="M63" i="30"/>
  <c r="R63" i="30"/>
  <c r="S63" i="30" s="1"/>
  <c r="V63" i="30"/>
  <c r="W63" i="30" s="1"/>
  <c r="P63" i="30"/>
  <c r="Q63" i="30" s="1"/>
  <c r="J63" i="30"/>
  <c r="T63" i="30"/>
  <c r="U63" i="30" s="1"/>
  <c r="F63" i="30"/>
  <c r="L86" i="29"/>
  <c r="E86" i="29"/>
  <c r="AB86" i="29"/>
  <c r="G86" i="29"/>
  <c r="K86" i="29"/>
  <c r="I86" i="29"/>
  <c r="AA86" i="29"/>
  <c r="J86" i="29"/>
  <c r="F86" i="29"/>
  <c r="T86" i="29"/>
  <c r="U86" i="29" s="1"/>
  <c r="Z86" i="29"/>
  <c r="M86" i="29"/>
  <c r="N86" i="29"/>
  <c r="O86" i="29" s="1"/>
  <c r="X86" i="29"/>
  <c r="Y86" i="29" s="1"/>
  <c r="AC86" i="29"/>
  <c r="P86" i="29"/>
  <c r="Q86" i="29" s="1"/>
  <c r="AD86" i="29"/>
  <c r="H86" i="29"/>
  <c r="R86" i="29"/>
  <c r="S86" i="29" s="1"/>
  <c r="V86" i="29"/>
  <c r="W86" i="29" s="1"/>
  <c r="M66" i="30"/>
  <c r="I66" i="30"/>
  <c r="E66" i="30"/>
  <c r="G66" i="30"/>
  <c r="J66" i="30"/>
  <c r="H66" i="30"/>
  <c r="AA66" i="30"/>
  <c r="L66" i="30"/>
  <c r="K66" i="30"/>
  <c r="T66" i="30"/>
  <c r="U66" i="30" s="1"/>
  <c r="AB66" i="30"/>
  <c r="R66" i="30"/>
  <c r="S66" i="30" s="1"/>
  <c r="Z66" i="30"/>
  <c r="P66" i="30"/>
  <c r="Q66" i="30" s="1"/>
  <c r="N66" i="30"/>
  <c r="O66" i="30" s="1"/>
  <c r="F66" i="30"/>
  <c r="AC66" i="30"/>
  <c r="AD66" i="30"/>
  <c r="V66" i="30"/>
  <c r="W66" i="30" s="1"/>
  <c r="X66" i="30"/>
  <c r="Y66" i="30" s="1"/>
  <c r="AC61" i="30"/>
  <c r="AA61" i="30"/>
  <c r="E61" i="30"/>
  <c r="K61" i="30"/>
  <c r="F61" i="30"/>
  <c r="M61" i="30"/>
  <c r="G61" i="30"/>
  <c r="L61" i="30"/>
  <c r="J61" i="30"/>
  <c r="P61" i="30"/>
  <c r="Q61" i="30" s="1"/>
  <c r="N61" i="30"/>
  <c r="O61" i="30" s="1"/>
  <c r="I61" i="30"/>
  <c r="AB61" i="30"/>
  <c r="V61" i="30"/>
  <c r="W61" i="30" s="1"/>
  <c r="X61" i="30"/>
  <c r="Y61" i="30" s="1"/>
  <c r="T61" i="30"/>
  <c r="U61" i="30" s="1"/>
  <c r="AD61" i="30"/>
  <c r="R61" i="30"/>
  <c r="S61" i="30" s="1"/>
  <c r="Z61" i="30"/>
  <c r="H61" i="30"/>
  <c r="AC76" i="29"/>
  <c r="AB76" i="29"/>
  <c r="Z76" i="29"/>
  <c r="J76" i="29"/>
  <c r="K76" i="29"/>
  <c r="L76" i="29"/>
  <c r="I76" i="29"/>
  <c r="AA76" i="29"/>
  <c r="X76" i="29"/>
  <c r="Y76" i="29" s="1"/>
  <c r="M76" i="29"/>
  <c r="N76" i="29"/>
  <c r="O76" i="29" s="1"/>
  <c r="G76" i="29"/>
  <c r="F76" i="29"/>
  <c r="E76" i="29"/>
  <c r="H76" i="29"/>
  <c r="R76" i="29"/>
  <c r="S76" i="29" s="1"/>
  <c r="T76" i="29"/>
  <c r="U76" i="29" s="1"/>
  <c r="P76" i="29"/>
  <c r="Q76" i="29" s="1"/>
  <c r="AD76" i="29"/>
  <c r="V76" i="29"/>
  <c r="W76" i="29" s="1"/>
  <c r="K88" i="29"/>
  <c r="L88" i="29"/>
  <c r="AA88" i="29"/>
  <c r="F88" i="29"/>
  <c r="E88" i="29"/>
  <c r="H88" i="29"/>
  <c r="AD88" i="29"/>
  <c r="R88" i="29"/>
  <c r="S88" i="29" s="1"/>
  <c r="I88" i="29"/>
  <c r="AC88" i="29"/>
  <c r="P88" i="29"/>
  <c r="Q88" i="29" s="1"/>
  <c r="N88" i="29"/>
  <c r="O88" i="29" s="1"/>
  <c r="AB88" i="29"/>
  <c r="M88" i="29"/>
  <c r="X88" i="29"/>
  <c r="Y88" i="29" s="1"/>
  <c r="G88" i="29"/>
  <c r="T88" i="29"/>
  <c r="U88" i="29" s="1"/>
  <c r="V88" i="29"/>
  <c r="W88" i="29" s="1"/>
  <c r="J88" i="29"/>
  <c r="Z88" i="29"/>
  <c r="AE81" i="30" l="1"/>
  <c r="AE83" i="30"/>
  <c r="AE74" i="30"/>
  <c r="D83" i="30"/>
  <c r="AE89" i="30"/>
  <c r="AE72" i="29"/>
  <c r="C114" i="29" s="1"/>
  <c r="D74" i="30"/>
  <c r="AE82" i="30"/>
  <c r="D81" i="30"/>
  <c r="AE72" i="30"/>
  <c r="AE78" i="30"/>
  <c r="AE77" i="30"/>
  <c r="AE74" i="29"/>
  <c r="C116" i="29" s="1"/>
  <c r="D91" i="30"/>
  <c r="D93" i="30"/>
  <c r="AE93" i="30"/>
  <c r="D87" i="30"/>
  <c r="AE87" i="30"/>
  <c r="AE95" i="29"/>
  <c r="D95" i="29"/>
  <c r="D69" i="29"/>
  <c r="AE69" i="29"/>
  <c r="C111" i="29" s="1"/>
  <c r="AE59" i="29"/>
  <c r="C101" i="29" s="1"/>
  <c r="D59" i="29"/>
  <c r="D67" i="30"/>
  <c r="AE67" i="30"/>
  <c r="D85" i="29"/>
  <c r="AE85" i="29"/>
  <c r="C127" i="29" s="1"/>
  <c r="AE81" i="29"/>
  <c r="C123" i="29" s="1"/>
  <c r="D81" i="29"/>
  <c r="AE57" i="30"/>
  <c r="D57" i="30"/>
  <c r="D79" i="29"/>
  <c r="AE79" i="29"/>
  <c r="C121" i="29" s="1"/>
  <c r="D61" i="30"/>
  <c r="AE61" i="30"/>
  <c r="D86" i="29"/>
  <c r="AE86" i="29"/>
  <c r="C128" i="29" s="1"/>
  <c r="AE87" i="29"/>
  <c r="D87" i="29"/>
  <c r="AE64" i="29"/>
  <c r="C106" i="29" s="1"/>
  <c r="D64" i="29"/>
  <c r="D84" i="29"/>
  <c r="AE84" i="29"/>
  <c r="C126" i="29" s="1"/>
  <c r="AE88" i="30"/>
  <c r="D88" i="30"/>
  <c r="D80" i="29"/>
  <c r="AE80" i="29"/>
  <c r="C122" i="29" s="1"/>
  <c r="D62" i="29"/>
  <c r="AE62" i="29"/>
  <c r="C104" i="29" s="1"/>
  <c r="D66" i="30"/>
  <c r="AE66" i="30"/>
  <c r="AE95" i="30"/>
  <c r="D95" i="30"/>
  <c r="AE60" i="30"/>
  <c r="D60" i="30"/>
  <c r="D76" i="30"/>
  <c r="AE76" i="30"/>
  <c r="D57" i="29"/>
  <c r="AE57" i="29"/>
  <c r="C99" i="29" s="1"/>
  <c r="D93" i="29"/>
  <c r="AE93" i="29"/>
  <c r="AE73" i="30"/>
  <c r="D73" i="30"/>
  <c r="D75" i="29"/>
  <c r="AE75" i="29"/>
  <c r="C117" i="29" s="1"/>
  <c r="D94" i="30"/>
  <c r="AE94" i="30"/>
  <c r="AE64" i="30"/>
  <c r="D64" i="30"/>
  <c r="AE62" i="30"/>
  <c r="AE58" i="30"/>
  <c r="AE63" i="30"/>
  <c r="D63" i="30"/>
  <c r="AE94" i="29"/>
  <c r="D94" i="29"/>
  <c r="D77" i="29"/>
  <c r="AE77" i="29"/>
  <c r="C119" i="29" s="1"/>
  <c r="AE90" i="29"/>
  <c r="D90" i="29"/>
  <c r="D68" i="30"/>
  <c r="AE68" i="30"/>
  <c r="D71" i="29"/>
  <c r="AE71" i="29"/>
  <c r="C113" i="29" s="1"/>
  <c r="D60" i="29"/>
  <c r="AE60" i="29"/>
  <c r="C102" i="29" s="1"/>
  <c r="FV54" i="13"/>
  <c r="D71" i="30"/>
  <c r="AE71" i="30"/>
  <c r="AE82" i="29"/>
  <c r="C124" i="29" s="1"/>
  <c r="D82" i="29"/>
  <c r="AE79" i="30"/>
  <c r="D79" i="30"/>
  <c r="D58" i="29"/>
  <c r="AE58" i="29"/>
  <c r="C100" i="29" s="1"/>
  <c r="D69" i="30"/>
  <c r="AE69" i="30"/>
  <c r="AE73" i="29"/>
  <c r="C115" i="29" s="1"/>
  <c r="D73" i="29"/>
  <c r="D66" i="29"/>
  <c r="AE66" i="29"/>
  <c r="C108" i="29" s="1"/>
  <c r="D88" i="29"/>
  <c r="AE88" i="29"/>
  <c r="D76" i="29"/>
  <c r="AE76" i="29"/>
  <c r="C118" i="29" s="1"/>
  <c r="D92" i="29"/>
  <c r="AE92" i="29"/>
  <c r="AE91" i="29"/>
  <c r="D91" i="29"/>
  <c r="D83" i="29"/>
  <c r="AE83" i="29"/>
  <c r="C125" i="29" s="1"/>
  <c r="D63" i="29"/>
  <c r="AE63" i="29"/>
  <c r="C105" i="29" s="1"/>
  <c r="D67" i="29"/>
  <c r="AE67" i="29"/>
  <c r="C109" i="29" s="1"/>
  <c r="D84" i="30"/>
  <c r="AE84" i="30"/>
  <c r="AE90" i="30"/>
  <c r="D90" i="30"/>
  <c r="AE86" i="30"/>
  <c r="D86" i="30"/>
  <c r="AE59" i="30"/>
  <c r="D59" i="30"/>
  <c r="AE89" i="29"/>
  <c r="D89" i="29"/>
  <c r="D85" i="30"/>
  <c r="AE85" i="30"/>
  <c r="AE70" i="30"/>
  <c r="D70" i="30"/>
  <c r="AE65" i="30"/>
  <c r="D65" i="30"/>
  <c r="D70" i="29"/>
  <c r="AE70" i="29"/>
  <c r="C112" i="29" s="1"/>
  <c r="D65" i="29"/>
  <c r="AE65" i="29"/>
  <c r="C107" i="29" s="1"/>
  <c r="D75" i="30"/>
  <c r="AE75" i="30"/>
  <c r="D78" i="29"/>
  <c r="AE78" i="29"/>
  <c r="C120" i="29" s="1"/>
  <c r="AE80" i="30"/>
  <c r="D80" i="30"/>
  <c r="AE68" i="29"/>
  <c r="C110" i="29" s="1"/>
  <c r="AE61" i="29"/>
  <c r="C103" i="29" s="1"/>
  <c r="N117" i="29" l="1"/>
  <c r="O117" i="29" s="1"/>
  <c r="X117" i="29"/>
  <c r="Y117" i="29" s="1"/>
  <c r="Z117" i="29"/>
  <c r="R117" i="29"/>
  <c r="S117" i="29" s="1"/>
  <c r="AA117" i="29"/>
  <c r="T117" i="29"/>
  <c r="U117" i="29" s="1"/>
  <c r="AB117" i="29"/>
  <c r="AC117" i="29"/>
  <c r="V117" i="29"/>
  <c r="W117" i="29" s="1"/>
  <c r="P117" i="29"/>
  <c r="Q117" i="29" s="1"/>
  <c r="R121" i="29"/>
  <c r="S121" i="29" s="1"/>
  <c r="AA121" i="29"/>
  <c r="T121" i="29"/>
  <c r="U121" i="29" s="1"/>
  <c r="AB121" i="29"/>
  <c r="V121" i="29"/>
  <c r="W121" i="29" s="1"/>
  <c r="N121" i="29"/>
  <c r="O121" i="29" s="1"/>
  <c r="X121" i="29"/>
  <c r="Y121" i="29" s="1"/>
  <c r="P121" i="29"/>
  <c r="Q121" i="29" s="1"/>
  <c r="Z121" i="29"/>
  <c r="AC121" i="29"/>
  <c r="X118" i="29"/>
  <c r="Y118" i="29" s="1"/>
  <c r="P118" i="29"/>
  <c r="Q118" i="29" s="1"/>
  <c r="R118" i="29"/>
  <c r="S118" i="29" s="1"/>
  <c r="AA118" i="29"/>
  <c r="T118" i="29"/>
  <c r="U118" i="29" s="1"/>
  <c r="AB118" i="29"/>
  <c r="AC118" i="29"/>
  <c r="V118" i="29"/>
  <c r="W118" i="29" s="1"/>
  <c r="N118" i="29"/>
  <c r="O118" i="29" s="1"/>
  <c r="Z118" i="29"/>
  <c r="T122" i="29"/>
  <c r="U122" i="29" s="1"/>
  <c r="AB122" i="29"/>
  <c r="AC122" i="29"/>
  <c r="N122" i="29"/>
  <c r="O122" i="29" s="1"/>
  <c r="X122" i="29"/>
  <c r="Y122" i="29" s="1"/>
  <c r="P122" i="29"/>
  <c r="Q122" i="29" s="1"/>
  <c r="Z122" i="29"/>
  <c r="R122" i="29"/>
  <c r="S122" i="29" s="1"/>
  <c r="AA122" i="29"/>
  <c r="V122" i="29"/>
  <c r="W122" i="29" s="1"/>
  <c r="P103" i="29"/>
  <c r="Q103" i="29" s="1"/>
  <c r="Z103" i="29"/>
  <c r="R103" i="29"/>
  <c r="S103" i="29" s="1"/>
  <c r="AA103" i="29"/>
  <c r="T103" i="29"/>
  <c r="U103" i="29" s="1"/>
  <c r="AB103" i="29"/>
  <c r="AC103" i="29"/>
  <c r="V103" i="29"/>
  <c r="W103" i="29" s="1"/>
  <c r="N103" i="29"/>
  <c r="O103" i="29" s="1"/>
  <c r="X103" i="29"/>
  <c r="Y103" i="29" s="1"/>
  <c r="AC107" i="29"/>
  <c r="V107" i="29"/>
  <c r="W107" i="29" s="1"/>
  <c r="X107" i="29"/>
  <c r="Y107" i="29" s="1"/>
  <c r="P107" i="29"/>
  <c r="Q107" i="29" s="1"/>
  <c r="Z107" i="29"/>
  <c r="R107" i="29"/>
  <c r="S107" i="29" s="1"/>
  <c r="AA107" i="29"/>
  <c r="T107" i="29"/>
  <c r="U107" i="29" s="1"/>
  <c r="AB107" i="29"/>
  <c r="N107" i="29"/>
  <c r="O107" i="29" s="1"/>
  <c r="N125" i="29"/>
  <c r="O125" i="29" s="1"/>
  <c r="X125" i="29"/>
  <c r="Y125" i="29" s="1"/>
  <c r="Z125" i="29"/>
  <c r="R125" i="29"/>
  <c r="S125" i="29" s="1"/>
  <c r="AA125" i="29"/>
  <c r="T125" i="29"/>
  <c r="U125" i="29" s="1"/>
  <c r="AB125" i="29"/>
  <c r="AC125" i="29"/>
  <c r="V125" i="29"/>
  <c r="W125" i="29" s="1"/>
  <c r="P125" i="29"/>
  <c r="Q125" i="29" s="1"/>
  <c r="N100" i="29"/>
  <c r="O100" i="29" s="1"/>
  <c r="X100" i="29"/>
  <c r="Y100" i="29" s="1"/>
  <c r="P100" i="29"/>
  <c r="Q100" i="29" s="1"/>
  <c r="Z100" i="29"/>
  <c r="R100" i="29"/>
  <c r="S100" i="29" s="1"/>
  <c r="AA100" i="29"/>
  <c r="T100" i="29"/>
  <c r="U100" i="29" s="1"/>
  <c r="AB100" i="29"/>
  <c r="AC100" i="29"/>
  <c r="V100" i="29"/>
  <c r="W100" i="29" s="1"/>
  <c r="P101" i="29"/>
  <c r="Q101" i="29" s="1"/>
  <c r="X101" i="29"/>
  <c r="Y101" i="29" s="1"/>
  <c r="R101" i="29"/>
  <c r="S101" i="29" s="1"/>
  <c r="Z101" i="29"/>
  <c r="AA101" i="29"/>
  <c r="T101" i="29"/>
  <c r="U101" i="29" s="1"/>
  <c r="AB101" i="29"/>
  <c r="AC101" i="29"/>
  <c r="N101" i="29"/>
  <c r="O101" i="29" s="1"/>
  <c r="V101" i="29"/>
  <c r="W101" i="29" s="1"/>
  <c r="Z104" i="29"/>
  <c r="R104" i="29"/>
  <c r="S104" i="29" s="1"/>
  <c r="AA104" i="29"/>
  <c r="T104" i="29"/>
  <c r="U104" i="29" s="1"/>
  <c r="AB104" i="29"/>
  <c r="AC104" i="29"/>
  <c r="V104" i="29"/>
  <c r="W104" i="29" s="1"/>
  <c r="N104" i="29"/>
  <c r="O104" i="29" s="1"/>
  <c r="X104" i="29"/>
  <c r="Y104" i="29" s="1"/>
  <c r="P104" i="29"/>
  <c r="Q104" i="29" s="1"/>
  <c r="R105" i="29"/>
  <c r="S105" i="29" s="1"/>
  <c r="AA105" i="29"/>
  <c r="T105" i="29"/>
  <c r="U105" i="29" s="1"/>
  <c r="AB105" i="29"/>
  <c r="AC105" i="29"/>
  <c r="V105" i="29"/>
  <c r="W105" i="29" s="1"/>
  <c r="N105" i="29"/>
  <c r="O105" i="29" s="1"/>
  <c r="X105" i="29"/>
  <c r="Y105" i="29" s="1"/>
  <c r="P105" i="29"/>
  <c r="Q105" i="29" s="1"/>
  <c r="Z105" i="29"/>
  <c r="X110" i="29"/>
  <c r="Y110" i="29" s="1"/>
  <c r="P110" i="29"/>
  <c r="Q110" i="29" s="1"/>
  <c r="R110" i="29"/>
  <c r="S110" i="29" s="1"/>
  <c r="AA110" i="29"/>
  <c r="T110" i="29"/>
  <c r="U110" i="29" s="1"/>
  <c r="AB110" i="29"/>
  <c r="AC110" i="29"/>
  <c r="V110" i="29"/>
  <c r="W110" i="29" s="1"/>
  <c r="N110" i="29"/>
  <c r="O110" i="29" s="1"/>
  <c r="Z110" i="29"/>
  <c r="AC115" i="29"/>
  <c r="V115" i="29"/>
  <c r="W115" i="29" s="1"/>
  <c r="X115" i="29"/>
  <c r="Y115" i="29" s="1"/>
  <c r="P115" i="29"/>
  <c r="Q115" i="29" s="1"/>
  <c r="Z115" i="29"/>
  <c r="R115" i="29"/>
  <c r="S115" i="29" s="1"/>
  <c r="AA115" i="29"/>
  <c r="T115" i="29"/>
  <c r="U115" i="29" s="1"/>
  <c r="AB115" i="29"/>
  <c r="N115" i="29"/>
  <c r="O115" i="29" s="1"/>
  <c r="X102" i="29"/>
  <c r="Y102" i="29" s="1"/>
  <c r="P102" i="29"/>
  <c r="Q102" i="29" s="1"/>
  <c r="Z102" i="29"/>
  <c r="R102" i="29"/>
  <c r="S102" i="29" s="1"/>
  <c r="AA102" i="29"/>
  <c r="T102" i="29"/>
  <c r="U102" i="29" s="1"/>
  <c r="AB102" i="29"/>
  <c r="AC102" i="29"/>
  <c r="V102" i="29"/>
  <c r="W102" i="29" s="1"/>
  <c r="N102" i="29"/>
  <c r="O102" i="29" s="1"/>
  <c r="P119" i="29"/>
  <c r="Q119" i="29" s="1"/>
  <c r="Z119" i="29"/>
  <c r="T119" i="29"/>
  <c r="U119" i="29" s="1"/>
  <c r="AB119" i="29"/>
  <c r="AC119" i="29"/>
  <c r="V119" i="29"/>
  <c r="W119" i="29" s="1"/>
  <c r="N119" i="29"/>
  <c r="O119" i="29" s="1"/>
  <c r="X119" i="29"/>
  <c r="Y119" i="29" s="1"/>
  <c r="R119" i="29"/>
  <c r="S119" i="29" s="1"/>
  <c r="AA119" i="29"/>
  <c r="Z128" i="29"/>
  <c r="R128" i="29"/>
  <c r="S128" i="29" s="1"/>
  <c r="AA128" i="29"/>
  <c r="AC128" i="29"/>
  <c r="V128" i="29"/>
  <c r="W128" i="29" s="1"/>
  <c r="N128" i="29"/>
  <c r="O128" i="29" s="1"/>
  <c r="X128" i="29"/>
  <c r="Y128" i="29" s="1"/>
  <c r="P128" i="29"/>
  <c r="Q128" i="29" s="1"/>
  <c r="AB128" i="29"/>
  <c r="T128" i="29"/>
  <c r="U128" i="29" s="1"/>
  <c r="P111" i="29"/>
  <c r="Q111" i="29" s="1"/>
  <c r="Z111" i="29"/>
  <c r="T111" i="29"/>
  <c r="U111" i="29" s="1"/>
  <c r="AB111" i="29"/>
  <c r="AC111" i="29"/>
  <c r="V111" i="29"/>
  <c r="W111" i="29" s="1"/>
  <c r="N111" i="29"/>
  <c r="O111" i="29" s="1"/>
  <c r="X111" i="29"/>
  <c r="Y111" i="29" s="1"/>
  <c r="AA111" i="29"/>
  <c r="R111" i="29"/>
  <c r="S111" i="29" s="1"/>
  <c r="H114" i="29"/>
  <c r="T114" i="29"/>
  <c r="U114" i="29" s="1"/>
  <c r="AB114" i="29"/>
  <c r="AC114" i="29"/>
  <c r="N114" i="29"/>
  <c r="O114" i="29" s="1"/>
  <c r="X114" i="29"/>
  <c r="Y114" i="29" s="1"/>
  <c r="P114" i="29"/>
  <c r="Q114" i="29" s="1"/>
  <c r="Z114" i="29"/>
  <c r="R114" i="29"/>
  <c r="S114" i="29" s="1"/>
  <c r="AA114" i="29"/>
  <c r="V114" i="29"/>
  <c r="W114" i="29" s="1"/>
  <c r="Z112" i="29"/>
  <c r="R112" i="29"/>
  <c r="S112" i="29" s="1"/>
  <c r="AA112" i="29"/>
  <c r="AC112" i="29"/>
  <c r="V112" i="29"/>
  <c r="W112" i="29" s="1"/>
  <c r="N112" i="29"/>
  <c r="O112" i="29" s="1"/>
  <c r="X112" i="29"/>
  <c r="Y112" i="29" s="1"/>
  <c r="P112" i="29"/>
  <c r="Q112" i="29" s="1"/>
  <c r="T112" i="29"/>
  <c r="U112" i="29" s="1"/>
  <c r="AB112" i="29"/>
  <c r="V108" i="29"/>
  <c r="W108" i="29" s="1"/>
  <c r="N108" i="29"/>
  <c r="O108" i="29" s="1"/>
  <c r="X108" i="29"/>
  <c r="Y108" i="29" s="1"/>
  <c r="P108" i="29"/>
  <c r="Q108" i="29" s="1"/>
  <c r="Z108" i="29"/>
  <c r="R108" i="29"/>
  <c r="S108" i="29" s="1"/>
  <c r="AA108" i="29"/>
  <c r="T108" i="29"/>
  <c r="U108" i="29" s="1"/>
  <c r="AB108" i="29"/>
  <c r="AC108" i="29"/>
  <c r="AC123" i="29"/>
  <c r="V123" i="29"/>
  <c r="W123" i="29" s="1"/>
  <c r="X123" i="29"/>
  <c r="Y123" i="29" s="1"/>
  <c r="P123" i="29"/>
  <c r="Q123" i="29" s="1"/>
  <c r="Z123" i="29"/>
  <c r="R123" i="29"/>
  <c r="S123" i="29" s="1"/>
  <c r="AA123" i="29"/>
  <c r="T123" i="29"/>
  <c r="U123" i="29" s="1"/>
  <c r="AB123" i="29"/>
  <c r="N123" i="29"/>
  <c r="O123" i="29" s="1"/>
  <c r="E116" i="29"/>
  <c r="V116" i="29"/>
  <c r="W116" i="29" s="1"/>
  <c r="N116" i="29"/>
  <c r="O116" i="29" s="1"/>
  <c r="P116" i="29"/>
  <c r="Q116" i="29" s="1"/>
  <c r="Z116" i="29"/>
  <c r="R116" i="29"/>
  <c r="S116" i="29" s="1"/>
  <c r="AA116" i="29"/>
  <c r="T116" i="29"/>
  <c r="U116" i="29" s="1"/>
  <c r="AB116" i="29"/>
  <c r="AC116" i="29"/>
  <c r="X116" i="29"/>
  <c r="Y116" i="29" s="1"/>
  <c r="R113" i="29"/>
  <c r="S113" i="29" s="1"/>
  <c r="AA113" i="29"/>
  <c r="T113" i="29"/>
  <c r="U113" i="29" s="1"/>
  <c r="AB113" i="29"/>
  <c r="V113" i="29"/>
  <c r="W113" i="29" s="1"/>
  <c r="N113" i="29"/>
  <c r="O113" i="29" s="1"/>
  <c r="X113" i="29"/>
  <c r="Y113" i="29" s="1"/>
  <c r="P113" i="29"/>
  <c r="Q113" i="29" s="1"/>
  <c r="Z113" i="29"/>
  <c r="AC113" i="29"/>
  <c r="X126" i="29"/>
  <c r="Y126" i="29" s="1"/>
  <c r="P126" i="29"/>
  <c r="Q126" i="29" s="1"/>
  <c r="R126" i="29"/>
  <c r="S126" i="29" s="1"/>
  <c r="AA126" i="29"/>
  <c r="T126" i="29"/>
  <c r="U126" i="29" s="1"/>
  <c r="AB126" i="29"/>
  <c r="AC126" i="29"/>
  <c r="V126" i="29"/>
  <c r="W126" i="29" s="1"/>
  <c r="N126" i="29"/>
  <c r="O126" i="29" s="1"/>
  <c r="Z126" i="29"/>
  <c r="P127" i="29"/>
  <c r="Q127" i="29" s="1"/>
  <c r="Z127" i="29"/>
  <c r="T127" i="29"/>
  <c r="U127" i="29" s="1"/>
  <c r="AB127" i="29"/>
  <c r="AC127" i="29"/>
  <c r="V127" i="29"/>
  <c r="W127" i="29" s="1"/>
  <c r="N127" i="29"/>
  <c r="O127" i="29" s="1"/>
  <c r="X127" i="29"/>
  <c r="Y127" i="29" s="1"/>
  <c r="AA127" i="29"/>
  <c r="R127" i="29"/>
  <c r="S127" i="29" s="1"/>
  <c r="Z120" i="29"/>
  <c r="R120" i="29"/>
  <c r="S120" i="29" s="1"/>
  <c r="AA120" i="29"/>
  <c r="AC120" i="29"/>
  <c r="V120" i="29"/>
  <c r="W120" i="29" s="1"/>
  <c r="N120" i="29"/>
  <c r="O120" i="29" s="1"/>
  <c r="X120" i="29"/>
  <c r="Y120" i="29" s="1"/>
  <c r="P120" i="29"/>
  <c r="Q120" i="29" s="1"/>
  <c r="T120" i="29"/>
  <c r="U120" i="29" s="1"/>
  <c r="AB120" i="29"/>
  <c r="N109" i="29"/>
  <c r="O109" i="29" s="1"/>
  <c r="X109" i="29"/>
  <c r="Y109" i="29" s="1"/>
  <c r="Z109" i="29"/>
  <c r="R109" i="29"/>
  <c r="S109" i="29" s="1"/>
  <c r="AA109" i="29"/>
  <c r="T109" i="29"/>
  <c r="U109" i="29" s="1"/>
  <c r="AB109" i="29"/>
  <c r="AC109" i="29"/>
  <c r="V109" i="29"/>
  <c r="W109" i="29" s="1"/>
  <c r="P109" i="29"/>
  <c r="Q109" i="29" s="1"/>
  <c r="V124" i="29"/>
  <c r="W124" i="29" s="1"/>
  <c r="N124" i="29"/>
  <c r="O124" i="29" s="1"/>
  <c r="P124" i="29"/>
  <c r="Q124" i="29" s="1"/>
  <c r="Z124" i="29"/>
  <c r="R124" i="29"/>
  <c r="S124" i="29" s="1"/>
  <c r="AA124" i="29"/>
  <c r="T124" i="29"/>
  <c r="U124" i="29" s="1"/>
  <c r="AB124" i="29"/>
  <c r="AC124" i="29"/>
  <c r="X124" i="29"/>
  <c r="Y124" i="29" s="1"/>
  <c r="T106" i="29"/>
  <c r="U106" i="29" s="1"/>
  <c r="AB106" i="29"/>
  <c r="AC106" i="29"/>
  <c r="V106" i="29"/>
  <c r="W106" i="29" s="1"/>
  <c r="N106" i="29"/>
  <c r="O106" i="29" s="1"/>
  <c r="X106" i="29"/>
  <c r="Y106" i="29" s="1"/>
  <c r="P106" i="29"/>
  <c r="Q106" i="29" s="1"/>
  <c r="Z106" i="29"/>
  <c r="R106" i="29"/>
  <c r="S106" i="29" s="1"/>
  <c r="AA106" i="29"/>
  <c r="L114" i="29"/>
  <c r="D114" i="29"/>
  <c r="G114" i="29"/>
  <c r="G116" i="29"/>
  <c r="AE114" i="29"/>
  <c r="AF114" i="29"/>
  <c r="M114" i="29"/>
  <c r="J114" i="29"/>
  <c r="E114" i="29"/>
  <c r="I114" i="29"/>
  <c r="AD114" i="29"/>
  <c r="F114" i="29"/>
  <c r="K114" i="29"/>
  <c r="L116" i="29"/>
  <c r="AE116" i="29"/>
  <c r="H116" i="29"/>
  <c r="I116" i="29"/>
  <c r="M116" i="29"/>
  <c r="J116" i="29"/>
  <c r="K116" i="29"/>
  <c r="D116" i="29"/>
  <c r="F116" i="29"/>
  <c r="AF116" i="29"/>
  <c r="AD116" i="29"/>
  <c r="E101" i="29"/>
  <c r="G101" i="29"/>
  <c r="I101" i="29"/>
  <c r="L101" i="29"/>
  <c r="M101" i="29"/>
  <c r="AF101" i="29"/>
  <c r="F101" i="29"/>
  <c r="AD101" i="29"/>
  <c r="J101" i="29"/>
  <c r="H101" i="29"/>
  <c r="AE101" i="29"/>
  <c r="D101" i="29"/>
  <c r="K101" i="29"/>
  <c r="F112" i="29"/>
  <c r="D112" i="29"/>
  <c r="E112" i="29"/>
  <c r="M112" i="29"/>
  <c r="L112" i="29"/>
  <c r="J112" i="29"/>
  <c r="I112" i="29"/>
  <c r="K112" i="29"/>
  <c r="AE112" i="29"/>
  <c r="AD112" i="29"/>
  <c r="G112" i="29"/>
  <c r="AF112" i="29"/>
  <c r="H112" i="29"/>
  <c r="AF105" i="29"/>
  <c r="E105" i="29"/>
  <c r="G105" i="29"/>
  <c r="AE105" i="29"/>
  <c r="K105" i="29"/>
  <c r="I105" i="29"/>
  <c r="L105" i="29"/>
  <c r="M105" i="29"/>
  <c r="H105" i="29"/>
  <c r="F105" i="29"/>
  <c r="D105" i="29"/>
  <c r="J105" i="29"/>
  <c r="AD105" i="29"/>
  <c r="AD118" i="29"/>
  <c r="K118" i="29"/>
  <c r="AE118" i="29"/>
  <c r="F118" i="29"/>
  <c r="H118" i="29"/>
  <c r="I118" i="29"/>
  <c r="E118" i="29"/>
  <c r="M118" i="29"/>
  <c r="J118" i="29"/>
  <c r="L118" i="29"/>
  <c r="G118" i="29"/>
  <c r="D118" i="29"/>
  <c r="AF118" i="29"/>
  <c r="L108" i="29"/>
  <c r="AD108" i="29"/>
  <c r="J108" i="29"/>
  <c r="D108" i="29"/>
  <c r="K108" i="29"/>
  <c r="H108" i="29"/>
  <c r="F108" i="29"/>
  <c r="AE108" i="29"/>
  <c r="G108" i="29"/>
  <c r="AF108" i="29"/>
  <c r="E108" i="29"/>
  <c r="I108" i="29"/>
  <c r="M108" i="29"/>
  <c r="K102" i="29"/>
  <c r="H102" i="29"/>
  <c r="G102" i="29"/>
  <c r="AE102" i="29"/>
  <c r="AF102" i="29"/>
  <c r="AD102" i="29"/>
  <c r="L102" i="29"/>
  <c r="D102" i="29"/>
  <c r="J102" i="29"/>
  <c r="I102" i="29"/>
  <c r="E102" i="29"/>
  <c r="M102" i="29"/>
  <c r="F102" i="29"/>
  <c r="F119" i="29"/>
  <c r="E119" i="29"/>
  <c r="G119" i="29"/>
  <c r="I119" i="29"/>
  <c r="AF119" i="29"/>
  <c r="D119" i="29"/>
  <c r="H119" i="29"/>
  <c r="M119" i="29"/>
  <c r="AE119" i="29"/>
  <c r="L119" i="29"/>
  <c r="K119" i="29"/>
  <c r="AD119" i="29"/>
  <c r="J119" i="29"/>
  <c r="E117" i="29"/>
  <c r="AD117" i="29"/>
  <c r="M117" i="29"/>
  <c r="J117" i="29"/>
  <c r="K117" i="29"/>
  <c r="I117" i="29"/>
  <c r="H117" i="29"/>
  <c r="D117" i="29"/>
  <c r="G117" i="29"/>
  <c r="AF117" i="29"/>
  <c r="F117" i="29"/>
  <c r="L117" i="29"/>
  <c r="AE117" i="29"/>
  <c r="F122" i="29"/>
  <c r="H122" i="29"/>
  <c r="M122" i="29"/>
  <c r="G122" i="29"/>
  <c r="E122" i="29"/>
  <c r="K122" i="29"/>
  <c r="AE122" i="29"/>
  <c r="J122" i="29"/>
  <c r="AD122" i="29"/>
  <c r="AF122" i="29"/>
  <c r="D122" i="29"/>
  <c r="I122" i="29"/>
  <c r="L122" i="29"/>
  <c r="D126" i="29"/>
  <c r="AD126" i="29"/>
  <c r="E126" i="29"/>
  <c r="I126" i="29"/>
  <c r="M126" i="29"/>
  <c r="J126" i="29"/>
  <c r="K126" i="29"/>
  <c r="H126" i="29"/>
  <c r="AF126" i="29"/>
  <c r="L126" i="29"/>
  <c r="F126" i="29"/>
  <c r="AE126" i="29"/>
  <c r="G126" i="29"/>
  <c r="M127" i="29"/>
  <c r="K127" i="29"/>
  <c r="L127" i="29"/>
  <c r="AD127" i="29"/>
  <c r="G127" i="29"/>
  <c r="E127" i="29"/>
  <c r="D127" i="29"/>
  <c r="AE127" i="29"/>
  <c r="AF127" i="29"/>
  <c r="F127" i="29"/>
  <c r="H127" i="29"/>
  <c r="I127" i="29"/>
  <c r="J127" i="29"/>
  <c r="G110" i="29"/>
  <c r="M110" i="29"/>
  <c r="J110" i="29"/>
  <c r="K110" i="29"/>
  <c r="I110" i="29"/>
  <c r="H110" i="29"/>
  <c r="F110" i="29"/>
  <c r="AD110" i="29"/>
  <c r="L110" i="29"/>
  <c r="D110" i="29"/>
  <c r="AF110" i="29"/>
  <c r="AE110" i="29"/>
  <c r="E110" i="29"/>
  <c r="AE115" i="29"/>
  <c r="J115" i="29"/>
  <c r="H115" i="29"/>
  <c r="K115" i="29"/>
  <c r="F115" i="29"/>
  <c r="E115" i="29"/>
  <c r="L115" i="29"/>
  <c r="G115" i="29"/>
  <c r="I115" i="29"/>
  <c r="AF115" i="29"/>
  <c r="D115" i="29"/>
  <c r="AD115" i="29"/>
  <c r="M115" i="29"/>
  <c r="I124" i="29"/>
  <c r="L124" i="29"/>
  <c r="K124" i="29"/>
  <c r="H124" i="29"/>
  <c r="G124" i="29"/>
  <c r="J124" i="29"/>
  <c r="M124" i="29"/>
  <c r="F124" i="29"/>
  <c r="AE124" i="29"/>
  <c r="E124" i="29"/>
  <c r="D124" i="29"/>
  <c r="AF124" i="29"/>
  <c r="AD124" i="29"/>
  <c r="FJ56" i="13"/>
  <c r="FJ64" i="13"/>
  <c r="FJ60" i="13"/>
  <c r="FJ52" i="13"/>
  <c r="K106" i="29"/>
  <c r="L106" i="29"/>
  <c r="E106" i="29"/>
  <c r="AD106" i="29"/>
  <c r="H106" i="29"/>
  <c r="J106" i="29"/>
  <c r="G106" i="29"/>
  <c r="F106" i="29"/>
  <c r="D106" i="29"/>
  <c r="M106" i="29"/>
  <c r="I106" i="29"/>
  <c r="AE106" i="29"/>
  <c r="AF106" i="29"/>
  <c r="K123" i="29"/>
  <c r="M123" i="29"/>
  <c r="AF123" i="29"/>
  <c r="AE123" i="29"/>
  <c r="L123" i="29"/>
  <c r="J123" i="29"/>
  <c r="AD123" i="29"/>
  <c r="H123" i="29"/>
  <c r="D123" i="29"/>
  <c r="E123" i="29"/>
  <c r="G123" i="29"/>
  <c r="F123" i="29"/>
  <c r="I123" i="29"/>
  <c r="AF103" i="29"/>
  <c r="H103" i="29"/>
  <c r="L103" i="29"/>
  <c r="J103" i="29"/>
  <c r="M103" i="29"/>
  <c r="F103" i="29"/>
  <c r="D103" i="29"/>
  <c r="AE103" i="29"/>
  <c r="G103" i="29"/>
  <c r="E103" i="29"/>
  <c r="AD103" i="29"/>
  <c r="I103" i="29"/>
  <c r="K103" i="29"/>
  <c r="AE120" i="29"/>
  <c r="K120" i="29"/>
  <c r="AF120" i="29"/>
  <c r="D120" i="29"/>
  <c r="E120" i="29"/>
  <c r="J120" i="29"/>
  <c r="AD120" i="29"/>
  <c r="L120" i="29"/>
  <c r="I120" i="29"/>
  <c r="H120" i="29"/>
  <c r="M120" i="29"/>
  <c r="F120" i="29"/>
  <c r="G120" i="29"/>
  <c r="E107" i="29"/>
  <c r="F107" i="29"/>
  <c r="AF107" i="29"/>
  <c r="J107" i="29"/>
  <c r="AE107" i="29"/>
  <c r="M107" i="29"/>
  <c r="D107" i="29"/>
  <c r="L107" i="29"/>
  <c r="H107" i="29"/>
  <c r="G107" i="29"/>
  <c r="K107" i="29"/>
  <c r="I107" i="29"/>
  <c r="AD107" i="29"/>
  <c r="L109" i="29"/>
  <c r="AF109" i="29"/>
  <c r="D109" i="29"/>
  <c r="J109" i="29"/>
  <c r="AE109" i="29"/>
  <c r="F109" i="29"/>
  <c r="AD109" i="29"/>
  <c r="H109" i="29"/>
  <c r="E109" i="29"/>
  <c r="I109" i="29"/>
  <c r="K109" i="29"/>
  <c r="G109" i="29"/>
  <c r="M109" i="29"/>
  <c r="F125" i="29"/>
  <c r="AD125" i="29"/>
  <c r="I125" i="29"/>
  <c r="J125" i="29"/>
  <c r="G125" i="29"/>
  <c r="K125" i="29"/>
  <c r="D125" i="29"/>
  <c r="AF125" i="29"/>
  <c r="M125" i="29"/>
  <c r="E125" i="29"/>
  <c r="L125" i="29"/>
  <c r="AE125" i="29"/>
  <c r="H125" i="29"/>
  <c r="D100" i="29"/>
  <c r="H100" i="29"/>
  <c r="L100" i="29"/>
  <c r="AF100" i="29"/>
  <c r="G100" i="29"/>
  <c r="K100" i="29"/>
  <c r="AD100" i="29"/>
  <c r="AE100" i="29"/>
  <c r="E100" i="29"/>
  <c r="M100" i="29"/>
  <c r="F100" i="29"/>
  <c r="I100" i="29"/>
  <c r="J100" i="29"/>
  <c r="AD113" i="29"/>
  <c r="I113" i="29"/>
  <c r="K113" i="29"/>
  <c r="AF113" i="29"/>
  <c r="J113" i="29"/>
  <c r="H113" i="29"/>
  <c r="F113" i="29"/>
  <c r="L113" i="29"/>
  <c r="D113" i="29"/>
  <c r="G113" i="29"/>
  <c r="AE113" i="29"/>
  <c r="E113" i="29"/>
  <c r="M113" i="29"/>
  <c r="M99" i="29"/>
  <c r="Z99" i="29"/>
  <c r="AC99" i="29"/>
  <c r="J99" i="29"/>
  <c r="V99" i="29"/>
  <c r="W99" i="29" s="1"/>
  <c r="P99" i="29"/>
  <c r="Q99" i="29" s="1"/>
  <c r="AF99" i="29"/>
  <c r="AE99" i="29"/>
  <c r="AD99" i="29"/>
  <c r="E99" i="29"/>
  <c r="L99" i="29"/>
  <c r="H99" i="29"/>
  <c r="R99" i="29"/>
  <c r="S99" i="29" s="1"/>
  <c r="G99" i="29"/>
  <c r="K99" i="29"/>
  <c r="D99" i="29"/>
  <c r="AB99" i="29"/>
  <c r="I99" i="29"/>
  <c r="X99" i="29"/>
  <c r="Y99" i="29" s="1"/>
  <c r="AA99" i="29"/>
  <c r="N99" i="29"/>
  <c r="O99" i="29" s="1"/>
  <c r="F99" i="29"/>
  <c r="T99" i="29"/>
  <c r="U99" i="29" s="1"/>
  <c r="J104" i="29"/>
  <c r="F104" i="29"/>
  <c r="D104" i="29"/>
  <c r="H104" i="29"/>
  <c r="AD104" i="29"/>
  <c r="E104" i="29"/>
  <c r="AF104" i="29"/>
  <c r="G104" i="29"/>
  <c r="K104" i="29"/>
  <c r="AE104" i="29"/>
  <c r="L104" i="29"/>
  <c r="M104" i="29"/>
  <c r="I104" i="29"/>
  <c r="E128" i="29"/>
  <c r="M128" i="29"/>
  <c r="D128" i="29"/>
  <c r="AE128" i="29"/>
  <c r="K128" i="29"/>
  <c r="L128" i="29"/>
  <c r="AD128" i="29"/>
  <c r="AF128" i="29"/>
  <c r="F128" i="29"/>
  <c r="J128" i="29"/>
  <c r="H128" i="29"/>
  <c r="G128" i="29"/>
  <c r="I128" i="29"/>
  <c r="E121" i="29"/>
  <c r="I121" i="29"/>
  <c r="K121" i="29"/>
  <c r="D121" i="29"/>
  <c r="J121" i="29"/>
  <c r="H121" i="29"/>
  <c r="AF121" i="29"/>
  <c r="AE121" i="29"/>
  <c r="L121" i="29"/>
  <c r="M121" i="29"/>
  <c r="F121" i="29"/>
  <c r="G121" i="29"/>
  <c r="AD121" i="29"/>
  <c r="G111" i="29"/>
  <c r="AE111" i="29"/>
  <c r="L111" i="29"/>
  <c r="AD111" i="29"/>
  <c r="I111" i="29"/>
  <c r="D111" i="29"/>
  <c r="H111" i="29"/>
  <c r="F111" i="29"/>
  <c r="AF111" i="29"/>
  <c r="K111" i="29"/>
  <c r="M111" i="29"/>
  <c r="E111" i="29"/>
  <c r="J111" i="29"/>
</calcChain>
</file>

<file path=xl/sharedStrings.xml><?xml version="1.0" encoding="utf-8"?>
<sst xmlns="http://schemas.openxmlformats.org/spreadsheetml/2006/main" count="1305" uniqueCount="313">
  <si>
    <t>ENGLISH</t>
  </si>
  <si>
    <t>HINDI</t>
  </si>
  <si>
    <t>ATTENDANCE</t>
  </si>
  <si>
    <t>SOCIAL SCIENCE</t>
  </si>
  <si>
    <t>S.NO.</t>
  </si>
  <si>
    <t>ROLL NO.</t>
  </si>
  <si>
    <t>S.R.NO.</t>
  </si>
  <si>
    <t xml:space="preserve">NAME </t>
  </si>
  <si>
    <t>F'NAME</t>
  </si>
  <si>
    <t>M'NAME</t>
  </si>
  <si>
    <t>DOB</t>
  </si>
  <si>
    <t>BOY/GIRL</t>
  </si>
  <si>
    <t>CATEGORY</t>
  </si>
  <si>
    <t>ADDRESS</t>
  </si>
  <si>
    <t xml:space="preserve">MOBILE </t>
  </si>
  <si>
    <t>AADHAR</t>
  </si>
  <si>
    <t>BHAMASAH</t>
  </si>
  <si>
    <t>AC NO</t>
  </si>
  <si>
    <t xml:space="preserve">BANK NAME </t>
  </si>
  <si>
    <t xml:space="preserve">IFSC </t>
  </si>
  <si>
    <t xml:space="preserve">BRANCH </t>
  </si>
  <si>
    <t xml:space="preserve">ROLL NO. </t>
  </si>
  <si>
    <t>SESSION ENDING</t>
  </si>
  <si>
    <t xml:space="preserve">MAXIMUM MARKS </t>
  </si>
  <si>
    <t>D</t>
  </si>
  <si>
    <t>MONTH</t>
  </si>
  <si>
    <t>TOTAL ATT.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</si>
  <si>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</si>
  <si>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</si>
  <si>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</si>
  <si>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</si>
  <si>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</si>
  <si>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</si>
  <si>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</si>
  <si>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</si>
  <si>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</si>
  <si>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</si>
  <si>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</si>
  <si>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</si>
  <si>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MAXIMUM ATT.</t>
  </si>
  <si>
    <t xml:space="preserve">REPORT CARD </t>
  </si>
  <si>
    <t>Subjects</t>
  </si>
  <si>
    <t>Art Education</t>
  </si>
  <si>
    <t>Instructions</t>
  </si>
  <si>
    <t>91-100</t>
  </si>
  <si>
    <t>A1</t>
  </si>
  <si>
    <t>81-90</t>
  </si>
  <si>
    <t>A2</t>
  </si>
  <si>
    <t>71-80</t>
  </si>
  <si>
    <t>B1</t>
  </si>
  <si>
    <t>61-70</t>
  </si>
  <si>
    <t>B2</t>
  </si>
  <si>
    <t>51-60</t>
  </si>
  <si>
    <t>C1</t>
  </si>
  <si>
    <t>41-50</t>
  </si>
  <si>
    <t>C2</t>
  </si>
  <si>
    <t>33-40</t>
  </si>
  <si>
    <t>TOTAL</t>
  </si>
  <si>
    <t xml:space="preserve">TOTAL APPEARED </t>
  </si>
  <si>
    <t xml:space="preserve">PASSED </t>
  </si>
  <si>
    <t xml:space="preserve">FAIL </t>
  </si>
  <si>
    <t xml:space="preserve">RESULT </t>
  </si>
  <si>
    <t>MATHS</t>
  </si>
  <si>
    <t>SCIENCE</t>
  </si>
  <si>
    <t>&lt;33 %</t>
  </si>
  <si>
    <t>33 - 40</t>
  </si>
  <si>
    <t>51 - 60</t>
  </si>
  <si>
    <t>61 -70</t>
  </si>
  <si>
    <t>71 -80</t>
  </si>
  <si>
    <t>81 - 91</t>
  </si>
  <si>
    <t>I DIV</t>
  </si>
  <si>
    <t>2 DIV</t>
  </si>
  <si>
    <t xml:space="preserve">3 DIV </t>
  </si>
  <si>
    <t>FAIL</t>
  </si>
  <si>
    <t xml:space="preserve">RESULT ANALYSIS OVERALL </t>
  </si>
  <si>
    <t>TEACHERS</t>
  </si>
  <si>
    <t>CLASS</t>
  </si>
  <si>
    <t>PRINCIPAL NAME -</t>
  </si>
  <si>
    <t>SUBJECT</t>
  </si>
  <si>
    <t xml:space="preserve">SUBJECT TEACHER </t>
  </si>
  <si>
    <t>MATHEMATICS</t>
  </si>
  <si>
    <t xml:space="preserve">SCIENCE </t>
  </si>
  <si>
    <t>LINKS</t>
  </si>
  <si>
    <t xml:space="preserve">CLASS TEACHER'S NAME </t>
  </si>
  <si>
    <t xml:space="preserve"> SUBJECT  -  SCIENCE</t>
  </si>
  <si>
    <t xml:space="preserve"> SUBJECT  -  ENGLISH</t>
  </si>
  <si>
    <t>ATTENDANCE SHEET</t>
  </si>
  <si>
    <t xml:space="preserve">CLASS - </t>
  </si>
  <si>
    <t>REPOET CARD</t>
  </si>
  <si>
    <t>GREEN SHEET</t>
  </si>
  <si>
    <t xml:space="preserve">RESULT SHEET </t>
  </si>
  <si>
    <t>CO-SCHOLOSTIC</t>
  </si>
  <si>
    <t>STUDENT DETAILS</t>
  </si>
  <si>
    <t>PRE MID TERM</t>
  </si>
  <si>
    <t xml:space="preserve">MID TERM </t>
  </si>
  <si>
    <t xml:space="preserve">POST MID TERM </t>
  </si>
  <si>
    <t xml:space="preserve">NAME OF STUDENT </t>
  </si>
  <si>
    <t xml:space="preserve">S. NO. </t>
  </si>
  <si>
    <t xml:space="preserve"> SUBJECT  -  MATHS</t>
  </si>
  <si>
    <t xml:space="preserve"> SUBJECT  -  SOCIAL SCIENCE </t>
  </si>
  <si>
    <t xml:space="preserve"> SUBJECT  -  CO-SCHOLOSTIC </t>
  </si>
  <si>
    <t>BEST 1</t>
  </si>
  <si>
    <t>BEST 2</t>
  </si>
  <si>
    <t xml:space="preserve">AVERAGE BEST TWO </t>
  </si>
  <si>
    <t xml:space="preserve">TOTAL </t>
  </si>
  <si>
    <t xml:space="preserve">GRADE </t>
  </si>
  <si>
    <t xml:space="preserve">WORK EDUCATION </t>
  </si>
  <si>
    <t xml:space="preserve">ART EDUCATION </t>
  </si>
  <si>
    <t>DISCIPLINE</t>
  </si>
  <si>
    <t xml:space="preserve">% OF MARKS </t>
  </si>
  <si>
    <t xml:space="preserve">POSITION IN CLASS </t>
  </si>
  <si>
    <t>IT</t>
  </si>
  <si>
    <t>Roll No :</t>
  </si>
  <si>
    <t>Student's Name :</t>
  </si>
  <si>
    <t>Class/Section:</t>
  </si>
  <si>
    <t>Scholastic Areas:</t>
  </si>
  <si>
    <t>Marks Obtained (100)</t>
  </si>
  <si>
    <t>Grade</t>
  </si>
  <si>
    <t>Co-Scholastic Areas (on a 5-point grading scale, A-E)</t>
  </si>
  <si>
    <t>Work Education (or Pre-Vocational Education)</t>
  </si>
  <si>
    <t>Health &amp; Physical Education</t>
  </si>
  <si>
    <t>Discipline (on a 5-point grading scale, A-E)</t>
  </si>
  <si>
    <t>Class Teacher's Remarks :</t>
  </si>
  <si>
    <t xml:space="preserve">Result : </t>
  </si>
  <si>
    <t>Grading scales for scholastic areas : Grades are awarded on a 8-point grading scale as follows :-</t>
  </si>
  <si>
    <t>Marks Range</t>
  </si>
  <si>
    <t>32 &amp; Below</t>
  </si>
  <si>
    <t>E (Failed)</t>
  </si>
  <si>
    <t>Father's/ Guardian's Name :</t>
  </si>
  <si>
    <t xml:space="preserve">SOCIAL SCIENCE </t>
  </si>
  <si>
    <t>SST</t>
  </si>
  <si>
    <t xml:space="preserve">ALL SUBJECTS </t>
  </si>
  <si>
    <t>RESULT</t>
  </si>
  <si>
    <t>RO SE</t>
  </si>
  <si>
    <t>RO MT</t>
  </si>
  <si>
    <t xml:space="preserve">ATTENDANCE </t>
  </si>
  <si>
    <t xml:space="preserve">% OF ATTANDANCE </t>
  </si>
  <si>
    <t>Date Of Birth :</t>
  </si>
  <si>
    <t>PORTFOLIO</t>
  </si>
  <si>
    <t>INTERNAL MARKS</t>
  </si>
  <si>
    <t>ASSESSMENT USING MULTIPLE STRATEGIES</t>
  </si>
  <si>
    <t>SUBJECT ENRICHMENT ACTIVITY</t>
  </si>
  <si>
    <t>ASSESSMENT USING MULTIPLE STRATEGIES (5)</t>
  </si>
  <si>
    <t>PORTFOLIO (5)</t>
  </si>
  <si>
    <t xml:space="preserve">SUBJECT ENRICHMENT ACTIVITY       (5) </t>
  </si>
  <si>
    <t>A</t>
  </si>
  <si>
    <t>GRADE</t>
  </si>
  <si>
    <t>RO PRE MT</t>
  </si>
  <si>
    <t xml:space="preserve">RO POST MT </t>
  </si>
  <si>
    <t xml:space="preserve"> SUBJECT  -  HINDI/SKT</t>
  </si>
  <si>
    <t xml:space="preserve"> EXAM INCHARGE</t>
  </si>
  <si>
    <t xml:space="preserve">Signature of Class Teacher </t>
  </si>
  <si>
    <t>SUPPLYMENTRY</t>
  </si>
  <si>
    <t>ROSE</t>
  </si>
  <si>
    <t>SUPPLEMENTARY</t>
  </si>
  <si>
    <t>SUPP. MARKS</t>
  </si>
  <si>
    <t>MAIN</t>
  </si>
  <si>
    <t>COMPARTMENT</t>
  </si>
  <si>
    <t>RESULT (AFTER COMPARTMENT)</t>
  </si>
  <si>
    <t>GRAND TOTAL(MAIN)</t>
  </si>
  <si>
    <t>GRAND TOTAL (SUPP.)</t>
  </si>
  <si>
    <t>ROUNDING OF MARKS (SUPP.)</t>
  </si>
  <si>
    <t>ROUNDING OF MARKS (MAIN)</t>
  </si>
  <si>
    <t xml:space="preserve">PEN PAPER TEST (5/10) </t>
  </si>
  <si>
    <t>COMPARTMENT/FAIL IN SUBJECTS</t>
  </si>
  <si>
    <t>OBC</t>
  </si>
  <si>
    <t>GEN</t>
  </si>
  <si>
    <t>SC</t>
  </si>
  <si>
    <t>PLACE</t>
  </si>
  <si>
    <t>AFFILIATION NO. -</t>
  </si>
  <si>
    <t>E-MAIL ID</t>
  </si>
  <si>
    <t xml:space="preserve">SCHOOL CODE- </t>
  </si>
  <si>
    <t>U-DISE CODE</t>
  </si>
  <si>
    <t>Website</t>
  </si>
  <si>
    <t>EXAM INCHARGE NAME</t>
  </si>
  <si>
    <t>PLACE :-</t>
  </si>
  <si>
    <t>DATE :-</t>
  </si>
  <si>
    <t>PRINCIPAL</t>
  </si>
  <si>
    <t>HEALTH AND PHYSICAL EDU.</t>
  </si>
  <si>
    <t>U-DISE CODE :-</t>
  </si>
  <si>
    <t xml:space="preserve">SCHOOL CODE :- </t>
  </si>
  <si>
    <t xml:space="preserve">SWAMI VIVEKANAND GOVT. MODEL SCHOOL, </t>
  </si>
  <si>
    <t>CLASS :-</t>
  </si>
  <si>
    <t>BOYS</t>
  </si>
  <si>
    <t>GIRLS</t>
  </si>
  <si>
    <t>ST</t>
  </si>
  <si>
    <t>GT</t>
  </si>
  <si>
    <t>PASS</t>
  </si>
  <si>
    <t xml:space="preserve">DIVISION </t>
  </si>
  <si>
    <t>II DIV</t>
  </si>
  <si>
    <t xml:space="preserve">III DIV </t>
  </si>
  <si>
    <t>OVER ALL GRADE</t>
  </si>
  <si>
    <t>41 - 50</t>
  </si>
  <si>
    <t>81 - 90</t>
  </si>
  <si>
    <t>I</t>
  </si>
  <si>
    <t>II</t>
  </si>
  <si>
    <t>III</t>
  </si>
  <si>
    <t>SUBJECT ENRICHMENT abTIVITY</t>
  </si>
  <si>
    <t>BOY</t>
  </si>
  <si>
    <t>GIRL</t>
  </si>
  <si>
    <t>TC</t>
  </si>
  <si>
    <t>GRADE AFTER SUP.</t>
  </si>
  <si>
    <t xml:space="preserve">         A CBSE AFFILIATED SCHOOL (ENGLISH MEDIUM)</t>
  </si>
  <si>
    <t>STUDENT'S REPORT</t>
  </si>
  <si>
    <t>TOTAL APPEARED</t>
  </si>
  <si>
    <t>NSO</t>
  </si>
  <si>
    <t>TOTAL STUDENT</t>
  </si>
  <si>
    <t xml:space="preserve">DATE OF COMPARTMENT RESULT  </t>
  </si>
  <si>
    <t>ANNUAL EXAMINATION (80/40)</t>
  </si>
  <si>
    <t>GRADE WISE RESULT</t>
  </si>
  <si>
    <t>OVERALL</t>
  </si>
  <si>
    <t xml:space="preserve">GRAND TOTAL MARKS </t>
  </si>
  <si>
    <t>PERCENT</t>
  </si>
  <si>
    <t xml:space="preserve">OVERALL GRADE </t>
  </si>
  <si>
    <t>RANK</t>
  </si>
  <si>
    <t>H1</t>
  </si>
  <si>
    <t>H2</t>
  </si>
  <si>
    <t>H3</t>
  </si>
  <si>
    <t>MASTER DATA SHEET</t>
  </si>
  <si>
    <t xml:space="preserve">LIST OF THE </t>
  </si>
  <si>
    <t xml:space="preserve">GRADE STUDENTS </t>
  </si>
  <si>
    <t>RANK WISE RESULT</t>
  </si>
  <si>
    <t>ALL MARKS HAVE BEEN TALLIED IN WHICH THERE IS NO ERROR OF ANY KIND, IF ANY ERROR IS FOUND THEN WE WILL BE RESPONSIBLE FOR THEM.</t>
  </si>
  <si>
    <t>B</t>
  </si>
  <si>
    <t>SIGN. OF SUBJECT TEACHER</t>
  </si>
  <si>
    <t>TOTAL ATTENDANCE</t>
  </si>
  <si>
    <t>AFTER COMP.</t>
  </si>
  <si>
    <t>AFTER COMPARTMENT/FAIL IN SUBJECTS</t>
  </si>
  <si>
    <t>CLASS TEACHER REMARK</t>
  </si>
  <si>
    <t>Well Done ! You can do better.</t>
  </si>
  <si>
    <t xml:space="preserve">Good. Keep improving </t>
  </si>
  <si>
    <t>Fair. Aim High and Challenge yourself.</t>
  </si>
  <si>
    <t xml:space="preserve">Congrates ! Outstanding Performance. </t>
  </si>
  <si>
    <t/>
  </si>
  <si>
    <t xml:space="preserve">INTERNAL ASSESSMENT (20) </t>
  </si>
  <si>
    <t>COMPARTMENT/ FAIL IN SUBJECTS</t>
  </si>
  <si>
    <t>CLASS TEACHER</t>
  </si>
  <si>
    <t>EXAM INCHARGE</t>
  </si>
  <si>
    <t xml:space="preserve">          SWAMI VIVEKANAND GOVT. MODEL SCHOOL,                                                                 </t>
  </si>
  <si>
    <t>C</t>
  </si>
  <si>
    <t>DESIGNED BY:- SHALA SANGAM TEAM</t>
  </si>
  <si>
    <t>PREPARED BY:- EXAM CELL, SVGMS AMET</t>
  </si>
  <si>
    <t>#01##04#7689##</t>
  </si>
  <si>
    <t>इस रिजल्ट सॉफ्टवेयर को बनाने में पूर्ण सावधानी रखी गई है फिर भी किसी तरह की त्रुटी के लिए निर्माणकर्ता जिम्मेदार नहीं होगा |</t>
  </si>
  <si>
    <t>अपनी स्कूल में परीक्षा बैठक व्यवस्था (SEATING ARRANGEMENT) बनाने के लिए हमारी वेबसाइट पर जाकर EXAM SEATING PLAN GENERATER का इस्तेमाल अवश्य करें | आपके समय और संसाधन दोनों की बचत होगी |</t>
  </si>
  <si>
    <t>http://www.shalasangam.com</t>
  </si>
  <si>
    <t>TEAM SHALASANGAM</t>
  </si>
  <si>
    <t>Arti Prajapat</t>
  </si>
  <si>
    <t>Mr Prabhu Lal</t>
  </si>
  <si>
    <t>Mrs Prem Devi</t>
  </si>
  <si>
    <t>ARVIND SINGH BALLA</t>
  </si>
  <si>
    <t>INDRA SINGH BALLA</t>
  </si>
  <si>
    <t>MEENA KANWAR BALLA</t>
  </si>
  <si>
    <t>Bhavesh Singh Rao</t>
  </si>
  <si>
    <t>Fateh Singh Rao</t>
  </si>
  <si>
    <t>Ganga Kunwar</t>
  </si>
  <si>
    <t>AFTER COMPARTMENT /FAIL IN SUBJECTS</t>
  </si>
  <si>
    <t>MARKSHEET DISTRIBUTION</t>
  </si>
  <si>
    <t>SR. NO.</t>
  </si>
  <si>
    <t>NAME</t>
  </si>
  <si>
    <t>FATHER'S NAME</t>
  </si>
  <si>
    <t>DATE</t>
  </si>
  <si>
    <t>SIGNATURE</t>
  </si>
  <si>
    <t>SIGN. OF CLASS TEACHER</t>
  </si>
  <si>
    <t>SESSION  -  2025-26</t>
  </si>
  <si>
    <t>30.03.2026</t>
  </si>
  <si>
    <t>10.04.2026</t>
  </si>
  <si>
    <t xml:space="preserve">DATE OF MAIN RESULT </t>
  </si>
  <si>
    <t>THEORY</t>
  </si>
  <si>
    <t>PRACTICAL</t>
  </si>
  <si>
    <t xml:space="preserve"> SUBJECT  - </t>
  </si>
  <si>
    <t>VOCATIONAL SUBJECT (IF ANY)</t>
  </si>
  <si>
    <t>BEAUTY &amp; WELLNESS</t>
  </si>
  <si>
    <t>MAIN EXAM</t>
  </si>
  <si>
    <t>COMPARTMENT EXAM</t>
  </si>
  <si>
    <t>% OF MARKS AFTER SUP.</t>
  </si>
  <si>
    <t>RESULT (Main Exam)</t>
  </si>
  <si>
    <t>FINAL RESULT</t>
  </si>
  <si>
    <t>AFTER COMPARTMENT EXAM</t>
  </si>
  <si>
    <t>% of MARKS</t>
  </si>
  <si>
    <t>OVERALL GRADE</t>
  </si>
  <si>
    <r>
      <t>RESULT AFTER SUPP. EXAM</t>
    </r>
    <r>
      <rPr>
        <b/>
        <sz val="11"/>
        <color theme="1"/>
        <rFont val="Times New Roman"/>
        <family val="1"/>
      </rPr>
      <t xml:space="preserve">           (IF APPLICABLE)</t>
    </r>
  </si>
  <si>
    <t>Sign. (Subject Teachar)</t>
  </si>
  <si>
    <t>% Result</t>
  </si>
  <si>
    <t>SCHOOL STAMP</t>
  </si>
  <si>
    <t>ADDITIONAL SUBJECT (IF ANY)</t>
  </si>
  <si>
    <t>Subject</t>
  </si>
  <si>
    <t>TOTAL MARKS OBTAINED</t>
  </si>
  <si>
    <t>OVERALL MARKS (%)</t>
  </si>
  <si>
    <t>xxxxxsvgms@gmail.com</t>
  </si>
  <si>
    <t>https://www.svgmsxxxxx.com</t>
  </si>
  <si>
    <t>12xxx</t>
  </si>
  <si>
    <t>172xxxx</t>
  </si>
  <si>
    <t>08250xxxxxx</t>
  </si>
  <si>
    <t>XXXX,  BLOCK-XXXX (RAJSAMAND)</t>
  </si>
  <si>
    <t>SVGMS, XXXX</t>
  </si>
  <si>
    <t>XXXXX</t>
  </si>
  <si>
    <t>SANSKRIT</t>
  </si>
  <si>
    <t>APPAREL MADE-UPS HOME FURNISHING</t>
  </si>
  <si>
    <t>CHOOSE ANY ONE FOR EACH STUDENT IN SHEET</t>
  </si>
  <si>
    <t>VOCATIONAL SUBJECT (IF ANY) (Change Subject Name) (CHOOSE ANY ONE FOR EACH STUDENTS IN SHEET)</t>
  </si>
  <si>
    <t>HINDI/SKT</t>
  </si>
  <si>
    <t>VOCATIONAL</t>
  </si>
  <si>
    <t>MAXIMUM MARKS  &gt;&gt;</t>
  </si>
  <si>
    <r>
      <t>CHOOSE A SUBJECT BELOW FROM</t>
    </r>
    <r>
      <rPr>
        <b/>
        <i/>
        <sz val="9"/>
        <color theme="1"/>
        <rFont val="Times New Roman"/>
        <family val="1"/>
      </rPr>
      <t xml:space="preserve">                                            (HINDI / SANSKRIT)</t>
    </r>
  </si>
  <si>
    <t xml:space="preserve">CHOOSE A SUBJECT BELOW </t>
  </si>
  <si>
    <t>SIGN. OF SUBJECT TEACHER(s)</t>
  </si>
  <si>
    <t>MAXIMUM MARKS &gt;&gt;</t>
  </si>
  <si>
    <t>PEN NO</t>
  </si>
  <si>
    <t>APAAR ID</t>
  </si>
  <si>
    <t>E</t>
  </si>
  <si>
    <t>COMP. EXAM</t>
  </si>
  <si>
    <t>CREATED ON : 10.03.2026                   UPDATED ON :- 15.03.2026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</si>
</sst>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4009]dd\-mm\-yyyy;@"/>
    <numFmt numFmtId="165" formatCode="0.0"/>
    <numFmt numFmtId="166" formatCode="dd\.mm\.yyyy"/>
    <numFmt numFmtId="167" formatCode="dd\/mm\/yyyy"/>
  </numFmts>
  <fonts count="10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0" tint="-4.9989318521683403E-2"/>
      <name val="Calibri"/>
      <family val="2"/>
      <scheme val="minor"/>
    </font>
    <font>
      <sz val="16"/>
      <color theme="9" tint="-0.249977111117893"/>
      <name val="Calibri"/>
      <family val="2"/>
    </font>
    <font>
      <b/>
      <sz val="20"/>
      <color theme="9" tint="-0.249977111117893"/>
      <name val="Calibri"/>
      <family val="2"/>
    </font>
    <font>
      <b/>
      <sz val="26"/>
      <color theme="9" tint="-0.249977111117893"/>
      <name val="Calibri"/>
      <family val="2"/>
    </font>
    <font>
      <sz val="18"/>
      <color theme="1"/>
      <name val="Calibri"/>
      <family val="2"/>
      <scheme val="minor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sz val="10.5"/>
      <color theme="1"/>
      <name val="Times New Roman"/>
      <family val="1"/>
    </font>
    <font>
      <b/>
      <sz val="22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u/>
      <sz val="8"/>
      <color theme="1"/>
      <name val="Times New Roman"/>
      <family val="1"/>
    </font>
    <font>
      <b/>
      <i/>
      <u/>
      <sz val="11"/>
      <color theme="1"/>
      <name val="Times New Roman"/>
      <family val="1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24"/>
      <color theme="0" tint="-4.9989318521683403E-2"/>
      <name val="Times New Roman"/>
      <family val="1"/>
    </font>
    <font>
      <b/>
      <sz val="28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FFFF00"/>
      <name val="Times New Roman"/>
      <family val="1"/>
    </font>
    <font>
      <b/>
      <sz val="26"/>
      <color theme="0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  <font>
      <b/>
      <sz val="18"/>
      <name val="Times New Roman"/>
      <family val="1"/>
    </font>
    <font>
      <b/>
      <sz val="26"/>
      <color theme="9" tint="0.79998168889431442"/>
      <name val="Times New Roman"/>
      <family val="1"/>
    </font>
    <font>
      <b/>
      <sz val="24"/>
      <color theme="9" tint="0.79998168889431442"/>
      <name val="Times New Roman"/>
      <family val="1"/>
    </font>
    <font>
      <b/>
      <sz val="14"/>
      <color theme="9" tint="0.79998168889431442"/>
      <name val="Times New Roman"/>
      <family val="1"/>
    </font>
    <font>
      <b/>
      <sz val="16"/>
      <color theme="9" tint="0.79998168889431442"/>
      <name val="Times New Roman"/>
      <family val="1"/>
    </font>
    <font>
      <b/>
      <i/>
      <sz val="18"/>
      <name val="Times New Roman"/>
      <family val="1"/>
    </font>
    <font>
      <b/>
      <sz val="14"/>
      <name val="Times New Roman"/>
      <family val="1"/>
    </font>
    <font>
      <b/>
      <sz val="14"/>
      <color theme="10"/>
      <name val="Times New Roman"/>
      <family val="1"/>
    </font>
    <font>
      <b/>
      <sz val="12"/>
      <color theme="10"/>
      <name val="Times New Roman"/>
      <family val="1"/>
    </font>
    <font>
      <b/>
      <sz val="15"/>
      <name val="Times New Roman"/>
      <family val="1"/>
    </font>
    <font>
      <sz val="18"/>
      <color theme="9" tint="-0.249977111117893"/>
      <name val="Times New Roman"/>
      <family val="1"/>
    </font>
    <font>
      <b/>
      <sz val="20"/>
      <color theme="0"/>
      <name val="Times New Roman"/>
      <family val="1"/>
    </font>
    <font>
      <b/>
      <sz val="9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20"/>
      <color theme="0" tint="-4.9989318521683403E-2"/>
      <name val="Times New Roman"/>
      <family val="1"/>
    </font>
    <font>
      <b/>
      <sz val="18"/>
      <color theme="0" tint="-4.9989318521683403E-2"/>
      <name val="Times New Roman"/>
      <family val="1"/>
    </font>
    <font>
      <b/>
      <sz val="16"/>
      <color theme="0" tint="-4.9989318521683403E-2"/>
      <name val="Times New Roman"/>
      <family val="1"/>
    </font>
    <font>
      <b/>
      <sz val="20"/>
      <color theme="1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b/>
      <i/>
      <sz val="22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8"/>
      <color theme="1"/>
      <name val="Times New Roman"/>
      <family val="1"/>
    </font>
    <font>
      <sz val="9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20"/>
      <color theme="9" tint="-0.249977111117893"/>
      <name val="Times New Roman"/>
      <family val="1"/>
    </font>
    <font>
      <b/>
      <sz val="13"/>
      <color rgb="FFFF0000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22"/>
      <color theme="0" tint="-4.9989318521683403E-2"/>
      <name val="Times New Roman"/>
      <family val="1"/>
    </font>
    <font>
      <i/>
      <sz val="14"/>
      <color rgb="FFFF0000"/>
      <name val="Times New Roman"/>
      <family val="1"/>
    </font>
    <font>
      <b/>
      <sz val="28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20"/>
      <color rgb="FFFF0000"/>
      <name val="Times New Roman"/>
      <family val="1"/>
    </font>
    <font>
      <sz val="11"/>
      <color theme="9" tint="-0.249977111117893"/>
      <name val="Times New Roman"/>
      <family val="1"/>
    </font>
    <font>
      <b/>
      <sz val="11"/>
      <color theme="9" tint="-0.249977111117893"/>
      <name val="Times New Roman"/>
      <family val="1"/>
    </font>
    <font>
      <b/>
      <sz val="48"/>
      <color theme="1"/>
      <name val="Times New Roman"/>
      <family val="1"/>
    </font>
    <font>
      <b/>
      <sz val="24"/>
      <name val="Times New Roman"/>
      <family val="1"/>
    </font>
    <font>
      <b/>
      <sz val="36"/>
      <color theme="1"/>
      <name val="Times New Roman"/>
      <family val="1"/>
    </font>
    <font>
      <b/>
      <u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0"/>
      <name val="Times New Roman"/>
      <family val="1"/>
    </font>
    <font>
      <b/>
      <sz val="16"/>
      <color theme="0"/>
      <name val="Times New Roman"/>
      <family val="1"/>
    </font>
    <font>
      <b/>
      <i/>
      <sz val="18"/>
      <color theme="0"/>
      <name val="Times New Roman"/>
      <family val="1"/>
    </font>
    <font>
      <b/>
      <sz val="14"/>
      <color theme="1" tint="4.9989318521683403E-2"/>
      <name val="Times New Roman"/>
      <family val="1"/>
    </font>
    <font>
      <sz val="10"/>
      <color rgb="FF00B0F0"/>
      <name val="Times New Roman"/>
      <family val="1"/>
    </font>
    <font>
      <b/>
      <i/>
      <sz val="12"/>
      <color theme="0"/>
      <name val="Times New Roman"/>
      <family val="1"/>
    </font>
    <font>
      <b/>
      <sz val="18"/>
      <color theme="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u/>
      <sz val="18"/>
      <color theme="10"/>
      <name val="Calibri"/>
      <family val="2"/>
    </font>
    <font>
      <b/>
      <sz val="14"/>
      <color theme="0" tint="-4.9989318521683403E-2"/>
      <name val="Times New Roman"/>
      <family val="1"/>
    </font>
    <font>
      <b/>
      <sz val="12"/>
      <color theme="0" tint="-4.9989318521683403E-2"/>
      <name val="Times New Roman"/>
      <family val="1"/>
    </font>
    <font>
      <b/>
      <sz val="12"/>
      <color theme="1"/>
      <name val="Segoe UI Black"/>
      <family val="2"/>
    </font>
    <font>
      <sz val="11"/>
      <color theme="1"/>
      <name val="Sylfaen"/>
      <family val="1"/>
    </font>
    <font>
      <b/>
      <sz val="11"/>
      <color theme="1"/>
      <name val="Sylfaen"/>
      <family val="1"/>
    </font>
    <font>
      <sz val="16"/>
      <color theme="9" tint="-0.249977111117893"/>
      <name val="Times New Roman"/>
      <family val="1"/>
    </font>
    <font>
      <sz val="16"/>
      <color theme="1"/>
      <name val="Times New Roman"/>
      <family val="1"/>
    </font>
    <font>
      <b/>
      <sz val="18"/>
      <color rgb="FFFF0000"/>
      <name val="Times New Roman"/>
      <family val="1"/>
    </font>
    <font>
      <sz val="18"/>
      <color theme="1"/>
      <name val="Times New Roman"/>
      <family val="1"/>
    </font>
    <font>
      <b/>
      <i/>
      <sz val="10"/>
      <color rgb="FFFFC000"/>
      <name val="Times New Roman"/>
      <family val="1"/>
    </font>
    <font>
      <b/>
      <u/>
      <sz val="12"/>
      <color theme="10"/>
      <name val="Calibri"/>
      <family val="2"/>
    </font>
    <font>
      <b/>
      <i/>
      <sz val="9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0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78" fillId="0" borderId="0" applyFont="0" applyFill="0" applyBorder="0" applyAlignment="0" applyProtection="0"/>
  </cellStyleXfs>
  <cellXfs count="1185">
    <xf numFmtId="0" fontId="0" fillId="0" borderId="0" xfId="0"/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3" borderId="0" xfId="0" applyFill="1" applyBorder="1" applyProtection="1">
      <protection locked="0"/>
    </xf>
    <xf numFmtId="0" fontId="4" fillId="6" borderId="0" xfId="0" applyFont="1" applyFill="1" applyAlignment="1" applyProtection="1">
      <alignment vertical="center" wrapText="1"/>
      <protection locked="0"/>
    </xf>
    <xf numFmtId="0" fontId="0" fillId="4" borderId="0" xfId="0" applyFill="1" applyProtection="1">
      <protection locked="0"/>
    </xf>
    <xf numFmtId="0" fontId="0" fillId="0" borderId="0" xfId="0" applyProtection="1"/>
    <xf numFmtId="0" fontId="0" fillId="4" borderId="0" xfId="0" applyFill="1" applyProtection="1">
      <protection hidden="1"/>
    </xf>
    <xf numFmtId="0" fontId="0" fillId="0" borderId="0" xfId="0" applyProtection="1">
      <protection hidden="1"/>
    </xf>
    <xf numFmtId="0" fontId="5" fillId="4" borderId="0" xfId="1" applyFont="1" applyFill="1" applyAlignment="1" applyProtection="1">
      <alignment horizontal="center" vertical="center"/>
      <protection hidden="1"/>
    </xf>
    <xf numFmtId="0" fontId="0" fillId="4" borderId="0" xfId="0" applyFill="1" applyBorder="1" applyProtection="1">
      <protection hidden="1"/>
    </xf>
    <xf numFmtId="0" fontId="0" fillId="0" borderId="0" xfId="0" applyFill="1" applyBorder="1" applyProtection="1">
      <protection locked="0"/>
    </xf>
    <xf numFmtId="0" fontId="6" fillId="4" borderId="0" xfId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7" fillId="4" borderId="0" xfId="1" applyFont="1" applyFill="1" applyAlignment="1" applyProtection="1">
      <alignment horizontal="center" vertical="center"/>
      <protection hidden="1"/>
    </xf>
    <xf numFmtId="0" fontId="4" fillId="4" borderId="0" xfId="0" applyFont="1" applyFill="1" applyAlignment="1" applyProtection="1">
      <alignment vertical="center" wrapText="1"/>
      <protection hidden="1"/>
    </xf>
    <xf numFmtId="0" fontId="8" fillId="4" borderId="0" xfId="0" applyFont="1" applyFill="1" applyBorder="1" applyProtection="1">
      <protection hidden="1"/>
    </xf>
    <xf numFmtId="0" fontId="8" fillId="0" borderId="0" xfId="0" applyFont="1" applyProtection="1"/>
    <xf numFmtId="0" fontId="8" fillId="0" borderId="0" xfId="0" applyFont="1" applyProtection="1">
      <protection hidden="1"/>
    </xf>
    <xf numFmtId="0" fontId="13" fillId="0" borderId="12" xfId="0" applyFont="1" applyBorder="1" applyProtection="1">
      <protection hidden="1"/>
    </xf>
    <xf numFmtId="0" fontId="13" fillId="0" borderId="13" xfId="0" applyFont="1" applyBorder="1" applyProtection="1">
      <protection hidden="1"/>
    </xf>
    <xf numFmtId="0" fontId="13" fillId="0" borderId="14" xfId="0" applyFont="1" applyBorder="1" applyProtection="1">
      <protection hidden="1"/>
    </xf>
    <xf numFmtId="0" fontId="13" fillId="0" borderId="0" xfId="0" applyFont="1" applyProtection="1">
      <protection locked="0"/>
    </xf>
    <xf numFmtId="0" fontId="13" fillId="0" borderId="15" xfId="0" applyFont="1" applyBorder="1" applyProtection="1">
      <protection hidden="1"/>
    </xf>
    <xf numFmtId="0" fontId="13" fillId="0" borderId="0" xfId="0" applyFont="1" applyBorder="1" applyProtection="1">
      <protection hidden="1"/>
    </xf>
    <xf numFmtId="0" fontId="13" fillId="0" borderId="16" xfId="0" applyFont="1" applyBorder="1" applyProtection="1">
      <protection hidden="1"/>
    </xf>
    <xf numFmtId="0" fontId="13" fillId="0" borderId="16" xfId="0" applyFont="1" applyBorder="1" applyAlignment="1" applyProtection="1">
      <alignment vertical="center"/>
      <protection hidden="1"/>
    </xf>
    <xf numFmtId="0" fontId="15" fillId="0" borderId="16" xfId="0" applyFont="1" applyBorder="1" applyAlignment="1" applyProtection="1">
      <protection hidden="1"/>
    </xf>
    <xf numFmtId="0" fontId="13" fillId="0" borderId="0" xfId="0" applyFont="1" applyBorder="1" applyProtection="1">
      <protection locked="0"/>
    </xf>
    <xf numFmtId="0" fontId="20" fillId="0" borderId="0" xfId="0" applyFont="1" applyBorder="1" applyAlignment="1" applyProtection="1">
      <protection hidden="1"/>
    </xf>
    <xf numFmtId="0" fontId="20" fillId="0" borderId="16" xfId="0" applyFont="1" applyBorder="1" applyAlignment="1" applyProtection="1">
      <protection hidden="1"/>
    </xf>
    <xf numFmtId="0" fontId="16" fillId="0" borderId="0" xfId="0" applyFont="1" applyBorder="1" applyAlignment="1" applyProtection="1">
      <alignment horizontal="left"/>
      <protection hidden="1"/>
    </xf>
    <xf numFmtId="0" fontId="16" fillId="0" borderId="16" xfId="0" applyFont="1" applyBorder="1" applyAlignment="1" applyProtection="1">
      <alignment horizontal="center"/>
      <protection hidden="1"/>
    </xf>
    <xf numFmtId="0" fontId="23" fillId="0" borderId="0" xfId="0" applyFont="1" applyBorder="1" applyAlignment="1" applyProtection="1">
      <alignment vertical="center"/>
      <protection hidden="1"/>
    </xf>
    <xf numFmtId="0" fontId="23" fillId="0" borderId="16" xfId="0" applyFont="1" applyBorder="1" applyAlignment="1" applyProtection="1">
      <alignment vertical="center"/>
      <protection hidden="1"/>
    </xf>
    <xf numFmtId="0" fontId="17" fillId="0" borderId="0" xfId="0" applyFont="1" applyBorder="1" applyAlignment="1" applyProtection="1">
      <alignment vertical="center" wrapText="1"/>
      <protection hidden="1"/>
    </xf>
    <xf numFmtId="0" fontId="30" fillId="4" borderId="12" xfId="0" applyFont="1" applyFill="1" applyBorder="1" applyAlignment="1" applyProtection="1">
      <alignment wrapText="1"/>
      <protection hidden="1"/>
    </xf>
    <xf numFmtId="0" fontId="30" fillId="4" borderId="14" xfId="0" applyFont="1" applyFill="1" applyBorder="1" applyAlignment="1" applyProtection="1">
      <alignment wrapText="1"/>
      <protection hidden="1"/>
    </xf>
    <xf numFmtId="0" fontId="44" fillId="4" borderId="0" xfId="1" applyFont="1" applyFill="1" applyAlignment="1" applyProtection="1">
      <alignment horizontal="center" vertical="center"/>
      <protection hidden="1"/>
    </xf>
    <xf numFmtId="0" fontId="17" fillId="4" borderId="2" xfId="0" applyFont="1" applyFill="1" applyBorder="1" applyAlignment="1" applyProtection="1">
      <alignment horizontal="center" vertical="center"/>
      <protection hidden="1"/>
    </xf>
    <xf numFmtId="0" fontId="15" fillId="4" borderId="2" xfId="0" applyFont="1" applyFill="1" applyBorder="1" applyAlignment="1" applyProtection="1">
      <alignment horizontal="center" vertical="center"/>
      <protection hidden="1"/>
    </xf>
    <xf numFmtId="0" fontId="16" fillId="8" borderId="2" xfId="0" applyFont="1" applyFill="1" applyBorder="1" applyAlignment="1" applyProtection="1">
      <alignment horizontal="center" vertical="center" wrapText="1"/>
      <protection locked="0"/>
    </xf>
    <xf numFmtId="164" fontId="16" fillId="8" borderId="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Protection="1">
      <protection hidden="1"/>
    </xf>
    <xf numFmtId="0" fontId="13" fillId="4" borderId="0" xfId="0" applyFont="1" applyFill="1" applyProtection="1">
      <protection hidden="1"/>
    </xf>
    <xf numFmtId="0" fontId="27" fillId="4" borderId="0" xfId="0" applyFont="1" applyFill="1" applyBorder="1" applyAlignment="1" applyProtection="1">
      <protection hidden="1"/>
    </xf>
    <xf numFmtId="0" fontId="27" fillId="4" borderId="0" xfId="0" applyFont="1" applyFill="1" applyBorder="1" applyAlignment="1" applyProtection="1">
      <alignment horizontal="right"/>
      <protection hidden="1"/>
    </xf>
    <xf numFmtId="0" fontId="27" fillId="4" borderId="0" xfId="0" applyFont="1" applyFill="1" applyBorder="1" applyAlignment="1" applyProtection="1">
      <alignment horizontal="center"/>
      <protection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7" fillId="8" borderId="2" xfId="0" applyFont="1" applyFill="1" applyBorder="1" applyAlignment="1" applyProtection="1">
      <alignment horizontal="center" vertical="center" wrapText="1"/>
      <protection hidden="1"/>
    </xf>
    <xf numFmtId="0" fontId="47" fillId="8" borderId="2" xfId="0" applyFont="1" applyFill="1" applyBorder="1" applyAlignment="1" applyProtection="1">
      <alignment horizontal="center" vertical="center" wrapText="1"/>
      <protection locked="0"/>
    </xf>
    <xf numFmtId="0" fontId="47" fillId="8" borderId="2" xfId="0" applyFont="1" applyFill="1" applyBorder="1" applyAlignment="1" applyProtection="1">
      <alignment horizontal="center" vertical="center" wrapText="1"/>
      <protection hidden="1"/>
    </xf>
    <xf numFmtId="0" fontId="17" fillId="8" borderId="5" xfId="0" applyFont="1" applyFill="1" applyBorder="1" applyAlignment="1" applyProtection="1">
      <alignment horizontal="center" vertical="center"/>
      <protection hidden="1"/>
    </xf>
    <xf numFmtId="0" fontId="17" fillId="8" borderId="2" xfId="0" applyFont="1" applyFill="1" applyBorder="1" applyAlignment="1" applyProtection="1">
      <alignment horizontal="center" vertical="center"/>
      <protection hidden="1"/>
    </xf>
    <xf numFmtId="0" fontId="17" fillId="8" borderId="2" xfId="0" applyFont="1" applyFill="1" applyBorder="1" applyAlignment="1" applyProtection="1">
      <alignment horizontal="center" vertical="center"/>
      <protection locked="0"/>
    </xf>
    <xf numFmtId="0" fontId="17" fillId="8" borderId="9" xfId="0" applyFont="1" applyFill="1" applyBorder="1" applyAlignment="1" applyProtection="1">
      <alignment horizontal="center" vertical="center"/>
      <protection hidden="1"/>
    </xf>
    <xf numFmtId="0" fontId="17" fillId="8" borderId="10" xfId="0" applyFont="1" applyFill="1" applyBorder="1" applyAlignment="1" applyProtection="1">
      <alignment horizontal="center" vertical="center"/>
      <protection locked="0"/>
    </xf>
    <xf numFmtId="0" fontId="15" fillId="8" borderId="2" xfId="0" applyFont="1" applyFill="1" applyBorder="1" applyAlignment="1" applyProtection="1">
      <alignment horizontal="center" vertical="center" wrapText="1"/>
      <protection hidden="1"/>
    </xf>
    <xf numFmtId="0" fontId="14" fillId="8" borderId="2" xfId="0" applyFont="1" applyFill="1" applyBorder="1" applyAlignment="1" applyProtection="1">
      <alignment horizontal="center" vertical="center"/>
      <protection hidden="1"/>
    </xf>
    <xf numFmtId="0" fontId="13" fillId="0" borderId="0" xfId="0" applyFont="1" applyProtection="1"/>
    <xf numFmtId="0" fontId="13" fillId="4" borderId="0" xfId="0" applyFont="1" applyFill="1" applyBorder="1" applyProtection="1">
      <protection hidden="1"/>
    </xf>
    <xf numFmtId="0" fontId="51" fillId="4" borderId="22" xfId="0" applyFont="1" applyFill="1" applyBorder="1" applyAlignment="1" applyProtection="1">
      <protection hidden="1"/>
    </xf>
    <xf numFmtId="0" fontId="51" fillId="4" borderId="0" xfId="0" applyFont="1" applyFill="1" applyBorder="1" applyAlignment="1" applyProtection="1">
      <alignment horizontal="right"/>
      <protection hidden="1"/>
    </xf>
    <xf numFmtId="0" fontId="51" fillId="4" borderId="0" xfId="0" applyFont="1" applyFill="1" applyBorder="1" applyAlignment="1" applyProtection="1">
      <protection hidden="1"/>
    </xf>
    <xf numFmtId="0" fontId="14" fillId="4" borderId="0" xfId="0" applyFont="1" applyFill="1" applyBorder="1" applyAlignment="1" applyProtection="1">
      <protection hidden="1"/>
    </xf>
    <xf numFmtId="0" fontId="53" fillId="8" borderId="2" xfId="0" applyFont="1" applyFill="1" applyBorder="1" applyAlignment="1" applyProtection="1">
      <alignment horizontal="center" vertical="center" wrapText="1"/>
      <protection hidden="1"/>
    </xf>
    <xf numFmtId="0" fontId="52" fillId="8" borderId="5" xfId="0" applyFont="1" applyFill="1" applyBorder="1" applyAlignment="1" applyProtection="1">
      <alignment horizontal="center" vertical="center"/>
      <protection hidden="1"/>
    </xf>
    <xf numFmtId="0" fontId="40" fillId="8" borderId="2" xfId="0" applyFont="1" applyFill="1" applyBorder="1" applyAlignment="1" applyProtection="1">
      <alignment horizontal="center"/>
      <protection locked="0"/>
    </xf>
    <xf numFmtId="0" fontId="52" fillId="8" borderId="9" xfId="0" applyFont="1" applyFill="1" applyBorder="1" applyAlignment="1" applyProtection="1">
      <alignment horizontal="center" vertical="center"/>
      <protection hidden="1"/>
    </xf>
    <xf numFmtId="0" fontId="40" fillId="8" borderId="10" xfId="0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locked="0"/>
    </xf>
    <xf numFmtId="0" fontId="16" fillId="8" borderId="4" xfId="0" applyFont="1" applyFill="1" applyBorder="1" applyAlignment="1" applyProtection="1">
      <alignment horizontal="center" vertical="center" wrapText="1"/>
      <protection hidden="1"/>
    </xf>
    <xf numFmtId="0" fontId="22" fillId="8" borderId="5" xfId="0" applyFont="1" applyFill="1" applyBorder="1" applyAlignment="1" applyProtection="1">
      <alignment horizontal="center" vertical="center"/>
      <protection hidden="1"/>
    </xf>
    <xf numFmtId="0" fontId="55" fillId="8" borderId="5" xfId="0" applyFont="1" applyFill="1" applyBorder="1" applyAlignment="1" applyProtection="1">
      <alignment horizontal="center" vertical="center"/>
      <protection hidden="1"/>
    </xf>
    <xf numFmtId="0" fontId="55" fillId="8" borderId="9" xfId="0" applyFont="1" applyFill="1" applyBorder="1" applyAlignment="1" applyProtection="1">
      <alignment horizontal="center" vertical="center"/>
      <protection hidden="1"/>
    </xf>
    <xf numFmtId="0" fontId="55" fillId="8" borderId="3" xfId="0" applyFont="1" applyFill="1" applyBorder="1" applyAlignment="1" applyProtection="1">
      <alignment horizontal="center" vertical="center"/>
      <protection hidden="1"/>
    </xf>
    <xf numFmtId="0" fontId="14" fillId="8" borderId="4" xfId="0" applyFont="1" applyFill="1" applyBorder="1" applyAlignment="1" applyProtection="1">
      <alignment horizontal="center" vertical="center"/>
      <protection hidden="1"/>
    </xf>
    <xf numFmtId="0" fontId="14" fillId="8" borderId="10" xfId="0" applyFont="1" applyFill="1" applyBorder="1" applyAlignment="1" applyProtection="1">
      <alignment horizontal="center" vertical="center"/>
      <protection hidden="1"/>
    </xf>
    <xf numFmtId="0" fontId="13" fillId="4" borderId="0" xfId="0" applyFont="1" applyFill="1" applyBorder="1" applyAlignment="1" applyProtection="1">
      <protection hidden="1"/>
    </xf>
    <xf numFmtId="0" fontId="19" fillId="15" borderId="24" xfId="0" applyFont="1" applyFill="1" applyBorder="1" applyAlignment="1" applyProtection="1">
      <alignment horizontal="center" vertical="center" textRotation="90"/>
      <protection hidden="1"/>
    </xf>
    <xf numFmtId="0" fontId="19" fillId="15" borderId="2" xfId="0" applyFont="1" applyFill="1" applyBorder="1" applyAlignment="1" applyProtection="1">
      <alignment horizontal="center" vertical="center" textRotation="90"/>
      <protection hidden="1"/>
    </xf>
    <xf numFmtId="0" fontId="19" fillId="2" borderId="2" xfId="0" applyFont="1" applyFill="1" applyBorder="1" applyAlignment="1" applyProtection="1">
      <alignment horizontal="center" vertical="center" textRotation="90"/>
      <protection hidden="1"/>
    </xf>
    <xf numFmtId="0" fontId="58" fillId="9" borderId="2" xfId="0" applyFont="1" applyFill="1" applyBorder="1" applyAlignment="1" applyProtection="1">
      <alignment horizontal="center" textRotation="90" wrapText="1"/>
      <protection hidden="1"/>
    </xf>
    <xf numFmtId="0" fontId="19" fillId="11" borderId="2" xfId="0" applyFont="1" applyFill="1" applyBorder="1" applyAlignment="1" applyProtection="1">
      <alignment horizontal="center" vertical="center" textRotation="90" wrapText="1"/>
      <protection hidden="1"/>
    </xf>
    <xf numFmtId="0" fontId="14" fillId="5" borderId="2" xfId="0" applyFont="1" applyFill="1" applyBorder="1" applyAlignment="1" applyProtection="1">
      <alignment horizontal="center" vertical="center" wrapText="1"/>
      <protection hidden="1"/>
    </xf>
    <xf numFmtId="0" fontId="19" fillId="5" borderId="2" xfId="0" applyFont="1" applyFill="1" applyBorder="1" applyAlignment="1" applyProtection="1">
      <alignment horizontal="center" textRotation="90" wrapText="1"/>
      <protection hidden="1"/>
    </xf>
    <xf numFmtId="0" fontId="19" fillId="5" borderId="2" xfId="0" applyFont="1" applyFill="1" applyBorder="1" applyAlignment="1" applyProtection="1">
      <alignment horizontal="center" vertical="center" textRotation="90" wrapText="1"/>
      <protection hidden="1"/>
    </xf>
    <xf numFmtId="0" fontId="46" fillId="8" borderId="29" xfId="0" applyFont="1" applyFill="1" applyBorder="1" applyAlignment="1" applyProtection="1">
      <alignment horizontal="center" vertical="center"/>
      <protection hidden="1"/>
    </xf>
    <xf numFmtId="0" fontId="56" fillId="8" borderId="29" xfId="0" applyFont="1" applyFill="1" applyBorder="1" applyAlignment="1" applyProtection="1">
      <alignment horizontal="center" vertical="center"/>
      <protection hidden="1"/>
    </xf>
    <xf numFmtId="0" fontId="60" fillId="9" borderId="2" xfId="0" applyFont="1" applyFill="1" applyBorder="1" applyAlignment="1" applyProtection="1">
      <alignment horizontal="center" vertical="center"/>
      <protection hidden="1"/>
    </xf>
    <xf numFmtId="0" fontId="61" fillId="9" borderId="2" xfId="0" applyFont="1" applyFill="1" applyBorder="1" applyAlignment="1" applyProtection="1">
      <alignment horizontal="center" vertical="center" wrapText="1"/>
      <protection hidden="1"/>
    </xf>
    <xf numFmtId="0" fontId="63" fillId="13" borderId="2" xfId="0" applyFont="1" applyFill="1" applyBorder="1" applyAlignment="1" applyProtection="1">
      <alignment horizontal="center" vertical="center" wrapText="1"/>
      <protection hidden="1"/>
    </xf>
    <xf numFmtId="0" fontId="63" fillId="3" borderId="2" xfId="0" applyFont="1" applyFill="1" applyBorder="1" applyAlignment="1" applyProtection="1">
      <alignment horizontal="center" vertical="center" wrapText="1"/>
      <protection hidden="1"/>
    </xf>
    <xf numFmtId="0" fontId="61" fillId="9" borderId="2" xfId="0" applyFont="1" applyFill="1" applyBorder="1" applyAlignment="1" applyProtection="1">
      <alignment horizontal="center" vertical="center"/>
      <protection hidden="1"/>
    </xf>
    <xf numFmtId="9" fontId="60" fillId="9" borderId="2" xfId="0" applyNumberFormat="1" applyFont="1" applyFill="1" applyBorder="1" applyAlignment="1" applyProtection="1">
      <alignment horizontal="center" vertical="center"/>
      <protection hidden="1"/>
    </xf>
    <xf numFmtId="0" fontId="16" fillId="8" borderId="2" xfId="0" applyFont="1" applyFill="1" applyBorder="1" applyAlignment="1" applyProtection="1">
      <alignment horizontal="center" vertical="center" wrapText="1"/>
      <protection hidden="1"/>
    </xf>
    <xf numFmtId="0" fontId="16" fillId="8" borderId="2" xfId="0" applyFont="1" applyFill="1" applyBorder="1" applyAlignment="1" applyProtection="1">
      <alignment horizontal="center" vertical="center"/>
      <protection hidden="1"/>
    </xf>
    <xf numFmtId="14" fontId="16" fillId="8" borderId="2" xfId="0" applyNumberFormat="1" applyFont="1" applyFill="1" applyBorder="1" applyAlignment="1" applyProtection="1">
      <alignment horizontal="center" vertical="center"/>
      <protection hidden="1"/>
    </xf>
    <xf numFmtId="0" fontId="61" fillId="15" borderId="2" xfId="0" applyFont="1" applyFill="1" applyBorder="1" applyAlignment="1" applyProtection="1">
      <alignment horizontal="center" vertical="center" wrapText="1"/>
      <protection hidden="1"/>
    </xf>
    <xf numFmtId="0" fontId="61" fillId="15" borderId="2" xfId="0" applyFont="1" applyFill="1" applyBorder="1" applyAlignment="1" applyProtection="1">
      <alignment horizontal="center" vertical="center"/>
      <protection hidden="1"/>
    </xf>
    <xf numFmtId="0" fontId="60" fillId="15" borderId="2" xfId="0" applyFont="1" applyFill="1" applyBorder="1" applyAlignment="1" applyProtection="1">
      <alignment horizontal="center" vertical="center" wrapText="1"/>
      <protection hidden="1"/>
    </xf>
    <xf numFmtId="0" fontId="61" fillId="2" borderId="2" xfId="0" applyFont="1" applyFill="1" applyBorder="1" applyAlignment="1" applyProtection="1">
      <alignment horizontal="center" vertical="center" wrapText="1"/>
      <protection hidden="1"/>
    </xf>
    <xf numFmtId="0" fontId="61" fillId="2" borderId="2" xfId="0" applyFont="1" applyFill="1" applyBorder="1" applyAlignment="1" applyProtection="1">
      <alignment horizontal="center" vertical="center"/>
      <protection hidden="1"/>
    </xf>
    <xf numFmtId="0" fontId="62" fillId="3" borderId="2" xfId="0" applyFont="1" applyFill="1" applyBorder="1" applyAlignment="1" applyProtection="1">
      <alignment horizontal="center" vertical="center" wrapText="1"/>
      <protection hidden="1"/>
    </xf>
    <xf numFmtId="0" fontId="63" fillId="16" borderId="2" xfId="0" applyFont="1" applyFill="1" applyBorder="1" applyAlignment="1" applyProtection="1">
      <alignment horizontal="center" vertical="center" wrapText="1"/>
      <protection hidden="1"/>
    </xf>
    <xf numFmtId="0" fontId="63" fillId="12" borderId="2" xfId="0" applyFont="1" applyFill="1" applyBorder="1" applyAlignment="1" applyProtection="1">
      <alignment horizontal="center" vertical="center" wrapText="1"/>
      <protection hidden="1"/>
    </xf>
    <xf numFmtId="0" fontId="61" fillId="11" borderId="2" xfId="0" applyFont="1" applyFill="1" applyBorder="1" applyAlignment="1" applyProtection="1">
      <alignment horizontal="center" vertical="center"/>
      <protection hidden="1"/>
    </xf>
    <xf numFmtId="0" fontId="61" fillId="5" borderId="2" xfId="0" applyFont="1" applyFill="1" applyBorder="1" applyAlignment="1" applyProtection="1">
      <alignment horizontal="center" vertical="center" wrapText="1"/>
      <protection hidden="1"/>
    </xf>
    <xf numFmtId="0" fontId="18" fillId="5" borderId="2" xfId="0" applyFont="1" applyFill="1" applyBorder="1" applyAlignment="1" applyProtection="1">
      <alignment horizontal="center" vertical="center"/>
      <protection hidden="1"/>
    </xf>
    <xf numFmtId="0" fontId="60" fillId="5" borderId="2" xfId="0" applyFont="1" applyFill="1" applyBorder="1" applyAlignment="1" applyProtection="1">
      <alignment horizontal="center" vertical="center"/>
      <protection hidden="1"/>
    </xf>
    <xf numFmtId="0" fontId="46" fillId="8" borderId="2" xfId="0" applyFont="1" applyFill="1" applyBorder="1" applyAlignment="1" applyProtection="1">
      <alignment horizontal="center" vertical="center"/>
      <protection hidden="1"/>
    </xf>
    <xf numFmtId="0" fontId="61" fillId="10" borderId="2" xfId="0" applyFont="1" applyFill="1" applyBorder="1" applyAlignment="1" applyProtection="1">
      <alignment horizontal="center" vertical="center" wrapText="1"/>
      <protection hidden="1"/>
    </xf>
    <xf numFmtId="0" fontId="61" fillId="10" borderId="2" xfId="0" applyFont="1" applyFill="1" applyBorder="1" applyAlignment="1" applyProtection="1">
      <alignment horizontal="center" vertical="center"/>
      <protection hidden="1"/>
    </xf>
    <xf numFmtId="0" fontId="60" fillId="10" borderId="2" xfId="0" applyFont="1" applyFill="1" applyBorder="1" applyAlignment="1" applyProtection="1">
      <alignment horizontal="center" vertical="center" wrapText="1"/>
      <protection hidden="1"/>
    </xf>
    <xf numFmtId="0" fontId="60" fillId="10" borderId="2" xfId="0" applyFont="1" applyFill="1" applyBorder="1" applyAlignment="1" applyProtection="1">
      <alignment horizontal="center" vertical="center"/>
      <protection hidden="1"/>
    </xf>
    <xf numFmtId="0" fontId="60" fillId="14" borderId="2" xfId="0" applyFont="1" applyFill="1" applyBorder="1" applyAlignment="1" applyProtection="1">
      <alignment horizontal="center" vertical="center" wrapText="1"/>
      <protection hidden="1"/>
    </xf>
    <xf numFmtId="0" fontId="60" fillId="14" borderId="2" xfId="0" applyFont="1" applyFill="1" applyBorder="1" applyAlignment="1" applyProtection="1">
      <alignment horizontal="center" vertical="center"/>
      <protection hidden="1"/>
    </xf>
    <xf numFmtId="0" fontId="61" fillId="19" borderId="2" xfId="0" applyFont="1" applyFill="1" applyBorder="1" applyAlignment="1" applyProtection="1">
      <alignment horizontal="center" vertical="center" wrapText="1"/>
      <protection hidden="1"/>
    </xf>
    <xf numFmtId="0" fontId="61" fillId="22" borderId="2" xfId="0" applyFont="1" applyFill="1" applyBorder="1" applyAlignment="1" applyProtection="1">
      <alignment horizontal="center" vertical="center" wrapText="1"/>
      <protection hidden="1"/>
    </xf>
    <xf numFmtId="0" fontId="61" fillId="5" borderId="28" xfId="0" applyFont="1" applyFill="1" applyBorder="1" applyAlignment="1" applyProtection="1">
      <alignment horizontal="center" vertical="center"/>
      <protection hidden="1"/>
    </xf>
    <xf numFmtId="0" fontId="61" fillId="5" borderId="28" xfId="0" applyFont="1" applyFill="1" applyBorder="1" applyAlignment="1" applyProtection="1">
      <alignment horizontal="center" vertical="center" wrapText="1"/>
      <protection hidden="1"/>
    </xf>
    <xf numFmtId="0" fontId="61" fillId="3" borderId="2" xfId="0" applyFont="1" applyFill="1" applyBorder="1" applyAlignment="1" applyProtection="1">
      <alignment horizontal="center" vertical="center" wrapText="1"/>
      <protection hidden="1"/>
    </xf>
    <xf numFmtId="0" fontId="22" fillId="0" borderId="16" xfId="0" applyFont="1" applyBorder="1" applyAlignment="1" applyProtection="1">
      <alignment horizontal="left" vertical="center" wrapText="1"/>
      <protection hidden="1"/>
    </xf>
    <xf numFmtId="0" fontId="15" fillId="8" borderId="2" xfId="0" applyFont="1" applyFill="1" applyBorder="1" applyAlignment="1" applyProtection="1">
      <alignment horizontal="center" vertical="center"/>
      <protection hidden="1"/>
    </xf>
    <xf numFmtId="0" fontId="15" fillId="19" borderId="2" xfId="0" applyFont="1" applyFill="1" applyBorder="1" applyAlignment="1" applyProtection="1">
      <alignment horizontal="center" vertical="center" wrapText="1"/>
      <protection hidden="1"/>
    </xf>
    <xf numFmtId="0" fontId="15" fillId="22" borderId="2" xfId="0" applyFont="1" applyFill="1" applyBorder="1" applyAlignment="1" applyProtection="1">
      <alignment horizontal="center" vertical="center" wrapText="1"/>
      <protection hidden="1"/>
    </xf>
    <xf numFmtId="0" fontId="15" fillId="3" borderId="2" xfId="0" applyFont="1" applyFill="1" applyBorder="1" applyAlignment="1" applyProtection="1">
      <alignment horizontal="center" vertical="center" wrapText="1"/>
      <protection hidden="1"/>
    </xf>
    <xf numFmtId="0" fontId="15" fillId="16" borderId="2" xfId="0" applyFont="1" applyFill="1" applyBorder="1" applyAlignment="1" applyProtection="1">
      <alignment horizontal="center" vertical="center" wrapText="1"/>
      <protection hidden="1"/>
    </xf>
    <xf numFmtId="0" fontId="15" fillId="12" borderId="2" xfId="0" applyFont="1" applyFill="1" applyBorder="1" applyAlignment="1" applyProtection="1">
      <alignment horizontal="center" vertical="center" wrapText="1"/>
      <protection hidden="1"/>
    </xf>
    <xf numFmtId="0" fontId="15" fillId="13" borderId="2" xfId="0" applyFont="1" applyFill="1" applyBorder="1" applyAlignment="1" applyProtection="1">
      <alignment horizontal="center" vertical="center" wrapText="1"/>
      <protection hidden="1"/>
    </xf>
    <xf numFmtId="0" fontId="15" fillId="11" borderId="2" xfId="0" applyFont="1" applyFill="1" applyBorder="1" applyAlignment="1" applyProtection="1">
      <alignment horizontal="center" vertical="center"/>
      <protection hidden="1"/>
    </xf>
    <xf numFmtId="0" fontId="15" fillId="3" borderId="2" xfId="0" applyFont="1" applyFill="1" applyBorder="1" applyAlignment="1" applyProtection="1">
      <alignment horizontal="center" vertical="center"/>
      <protection hidden="1"/>
    </xf>
    <xf numFmtId="0" fontId="15" fillId="5" borderId="2" xfId="0" applyFont="1" applyFill="1" applyBorder="1" applyAlignment="1" applyProtection="1">
      <alignment horizontal="center" vertical="center"/>
      <protection hidden="1"/>
    </xf>
    <xf numFmtId="0" fontId="15" fillId="5" borderId="2" xfId="0" applyFont="1" applyFill="1" applyBorder="1" applyAlignment="1" applyProtection="1">
      <alignment horizontal="center" vertical="center" wrapText="1"/>
      <protection hidden="1"/>
    </xf>
    <xf numFmtId="0" fontId="15" fillId="5" borderId="28" xfId="0" applyFont="1" applyFill="1" applyBorder="1" applyAlignment="1" applyProtection="1">
      <alignment horizontal="center" vertical="center" wrapText="1"/>
      <protection hidden="1"/>
    </xf>
    <xf numFmtId="0" fontId="16" fillId="18" borderId="2" xfId="0" applyFont="1" applyFill="1" applyBorder="1" applyAlignment="1" applyProtection="1">
      <alignment horizontal="center" vertical="center"/>
      <protection hidden="1"/>
    </xf>
    <xf numFmtId="0" fontId="16" fillId="17" borderId="2" xfId="0" applyFont="1" applyFill="1" applyBorder="1" applyAlignment="1" applyProtection="1">
      <alignment horizontal="center" vertical="center"/>
      <protection hidden="1"/>
    </xf>
    <xf numFmtId="0" fontId="16" fillId="3" borderId="2" xfId="0" applyFont="1" applyFill="1" applyBorder="1" applyAlignment="1" applyProtection="1">
      <alignment horizontal="center" vertical="center"/>
      <protection hidden="1"/>
    </xf>
    <xf numFmtId="0" fontId="16" fillId="23" borderId="2" xfId="0" applyFont="1" applyFill="1" applyBorder="1" applyAlignment="1" applyProtection="1">
      <alignment horizontal="center" vertical="center"/>
      <protection hidden="1"/>
    </xf>
    <xf numFmtId="0" fontId="15" fillId="24" borderId="2" xfId="0" applyFont="1" applyFill="1" applyBorder="1" applyAlignment="1" applyProtection="1">
      <alignment horizontal="center" vertical="center"/>
      <protection hidden="1"/>
    </xf>
    <xf numFmtId="0" fontId="16" fillId="24" borderId="2" xfId="0" applyFont="1" applyFill="1" applyBorder="1" applyAlignment="1" applyProtection="1">
      <alignment horizontal="center" vertical="center"/>
      <protection hidden="1"/>
    </xf>
    <xf numFmtId="0" fontId="16" fillId="2" borderId="2" xfId="0" applyFont="1" applyFill="1" applyBorder="1" applyAlignment="1" applyProtection="1">
      <alignment horizontal="center" vertical="center"/>
      <protection hidden="1"/>
    </xf>
    <xf numFmtId="0" fontId="59" fillId="4" borderId="0" xfId="1" applyFont="1" applyFill="1" applyBorder="1" applyAlignment="1" applyProtection="1">
      <alignment horizontal="center" vertical="center"/>
      <protection hidden="1"/>
    </xf>
    <xf numFmtId="0" fontId="13" fillId="4" borderId="0" xfId="0" applyFont="1" applyFill="1" applyBorder="1" applyAlignment="1" applyProtection="1">
      <alignment wrapText="1"/>
      <protection hidden="1"/>
    </xf>
    <xf numFmtId="0" fontId="13" fillId="4" borderId="0" xfId="0" applyFont="1" applyFill="1" applyBorder="1" applyAlignment="1" applyProtection="1">
      <alignment horizontal="center"/>
      <protection hidden="1"/>
    </xf>
    <xf numFmtId="0" fontId="46" fillId="5" borderId="2" xfId="0" applyFont="1" applyFill="1" applyBorder="1" applyAlignment="1" applyProtection="1">
      <alignment horizontal="center" vertical="center" textRotation="90" wrapText="1"/>
      <protection hidden="1"/>
    </xf>
    <xf numFmtId="0" fontId="46" fillId="8" borderId="2" xfId="0" applyFont="1" applyFill="1" applyBorder="1" applyAlignment="1" applyProtection="1">
      <alignment horizontal="center" vertical="center" textRotation="90" wrapText="1"/>
      <protection hidden="1"/>
    </xf>
    <xf numFmtId="0" fontId="67" fillId="8" borderId="2" xfId="0" applyFont="1" applyFill="1" applyBorder="1" applyAlignment="1" applyProtection="1">
      <alignment horizontal="center" vertical="center"/>
      <protection hidden="1"/>
    </xf>
    <xf numFmtId="0" fontId="68" fillId="5" borderId="2" xfId="0" applyFont="1" applyFill="1" applyBorder="1" applyAlignment="1" applyProtection="1">
      <alignment horizontal="center" vertical="center"/>
      <protection hidden="1"/>
    </xf>
    <xf numFmtId="0" fontId="68" fillId="24" borderId="2" xfId="0" applyFont="1" applyFill="1" applyBorder="1" applyAlignment="1" applyProtection="1">
      <alignment horizontal="center" vertical="center"/>
      <protection hidden="1"/>
    </xf>
    <xf numFmtId="0" fontId="60" fillId="24" borderId="2" xfId="0" applyFont="1" applyFill="1" applyBorder="1" applyAlignment="1" applyProtection="1">
      <alignment horizontal="center" vertical="center"/>
      <protection hidden="1"/>
    </xf>
    <xf numFmtId="0" fontId="68" fillId="5" borderId="2" xfId="0" applyFont="1" applyFill="1" applyBorder="1" applyAlignment="1" applyProtection="1">
      <alignment horizontal="center" vertical="center" wrapText="1"/>
      <protection hidden="1"/>
    </xf>
    <xf numFmtId="0" fontId="68" fillId="26" borderId="2" xfId="0" applyFont="1" applyFill="1" applyBorder="1" applyAlignment="1" applyProtection="1">
      <alignment horizontal="center" vertical="center"/>
      <protection hidden="1"/>
    </xf>
    <xf numFmtId="2" fontId="68" fillId="26" borderId="2" xfId="0" applyNumberFormat="1" applyFont="1" applyFill="1" applyBorder="1" applyAlignment="1" applyProtection="1">
      <alignment horizontal="center" vertical="center"/>
      <protection hidden="1"/>
    </xf>
    <xf numFmtId="0" fontId="62" fillId="8" borderId="2" xfId="0" applyFont="1" applyFill="1" applyBorder="1" applyAlignment="1" applyProtection="1">
      <alignment horizontal="center"/>
      <protection hidden="1"/>
    </xf>
    <xf numFmtId="1" fontId="16" fillId="8" borderId="2" xfId="0" applyNumberFormat="1" applyFont="1" applyFill="1" applyBorder="1" applyAlignment="1" applyProtection="1">
      <alignment horizontal="center" vertical="center" wrapText="1"/>
      <protection hidden="1"/>
    </xf>
    <xf numFmtId="164" fontId="16" fillId="8" borderId="2" xfId="0" applyNumberFormat="1" applyFont="1" applyFill="1" applyBorder="1" applyAlignment="1" applyProtection="1">
      <alignment horizontal="center" vertical="center"/>
      <protection hidden="1"/>
    </xf>
    <xf numFmtId="0" fontId="16" fillId="8" borderId="2" xfId="0" applyFont="1" applyFill="1" applyBorder="1" applyAlignment="1" applyProtection="1">
      <alignment horizontal="center"/>
      <protection hidden="1"/>
    </xf>
    <xf numFmtId="0" fontId="16" fillId="19" borderId="2" xfId="0" applyFont="1" applyFill="1" applyBorder="1" applyAlignment="1" applyProtection="1">
      <alignment horizontal="center" vertical="center"/>
      <protection hidden="1"/>
    </xf>
    <xf numFmtId="0" fontId="16" fillId="19" borderId="2" xfId="0" applyFont="1" applyFill="1" applyBorder="1" applyAlignment="1" applyProtection="1">
      <alignment horizontal="center"/>
      <protection hidden="1"/>
    </xf>
    <xf numFmtId="0" fontId="68" fillId="26" borderId="29" xfId="0" applyFont="1" applyFill="1" applyBorder="1" applyAlignment="1" applyProtection="1">
      <alignment horizontal="center" vertical="center" textRotation="90" wrapText="1"/>
      <protection hidden="1"/>
    </xf>
    <xf numFmtId="2" fontId="13" fillId="4" borderId="0" xfId="0" applyNumberFormat="1" applyFont="1" applyFill="1" applyBorder="1" applyAlignment="1" applyProtection="1">
      <protection hidden="1"/>
    </xf>
    <xf numFmtId="0" fontId="13" fillId="0" borderId="0" xfId="0" applyFont="1" applyFill="1" applyBorder="1" applyAlignment="1" applyProtection="1">
      <protection hidden="1"/>
    </xf>
    <xf numFmtId="0" fontId="13" fillId="0" borderId="0" xfId="0" applyFont="1" applyFill="1" applyBorder="1" applyAlignment="1" applyProtection="1">
      <alignment wrapText="1"/>
      <protection hidden="1"/>
    </xf>
    <xf numFmtId="2" fontId="13" fillId="0" borderId="0" xfId="0" applyNumberFormat="1" applyFont="1" applyFill="1" applyBorder="1" applyProtection="1">
      <protection hidden="1"/>
    </xf>
    <xf numFmtId="0" fontId="13" fillId="0" borderId="0" xfId="0" applyFont="1" applyFill="1" applyBorder="1" applyAlignment="1" applyProtection="1">
      <alignment horizontal="center"/>
      <protection hidden="1"/>
    </xf>
    <xf numFmtId="0" fontId="68" fillId="26" borderId="29" xfId="0" applyFont="1" applyFill="1" applyBorder="1" applyAlignment="1" applyProtection="1">
      <alignment horizontal="center" vertical="center"/>
      <protection hidden="1"/>
    </xf>
    <xf numFmtId="0" fontId="16" fillId="8" borderId="29" xfId="0" applyFont="1" applyFill="1" applyBorder="1" applyAlignment="1" applyProtection="1">
      <alignment horizontal="center" vertical="center" wrapText="1"/>
      <protection hidden="1"/>
    </xf>
    <xf numFmtId="0" fontId="16" fillId="8" borderId="29" xfId="0" applyFont="1" applyFill="1" applyBorder="1" applyAlignment="1" applyProtection="1">
      <alignment horizontal="center" vertical="center"/>
      <protection hidden="1"/>
    </xf>
    <xf numFmtId="164" fontId="16" fillId="8" borderId="29" xfId="0" applyNumberFormat="1" applyFont="1" applyFill="1" applyBorder="1" applyAlignment="1" applyProtection="1">
      <alignment horizontal="center" vertical="center"/>
      <protection hidden="1"/>
    </xf>
    <xf numFmtId="0" fontId="60" fillId="26" borderId="2" xfId="0" applyFont="1" applyFill="1" applyBorder="1" applyAlignment="1" applyProtection="1">
      <alignment horizontal="center" vertical="center" wrapText="1"/>
      <protection hidden="1"/>
    </xf>
    <xf numFmtId="0" fontId="16" fillId="27" borderId="2" xfId="0" applyFont="1" applyFill="1" applyBorder="1" applyAlignment="1" applyProtection="1">
      <alignment horizontal="center"/>
      <protection hidden="1"/>
    </xf>
    <xf numFmtId="0" fontId="13" fillId="27" borderId="0" xfId="0" applyFont="1" applyFill="1" applyBorder="1" applyProtection="1">
      <protection hidden="1"/>
    </xf>
    <xf numFmtId="0" fontId="13" fillId="27" borderId="0" xfId="0" applyFont="1" applyFill="1" applyProtection="1">
      <protection hidden="1"/>
    </xf>
    <xf numFmtId="0" fontId="62" fillId="27" borderId="2" xfId="0" applyFont="1" applyFill="1" applyBorder="1" applyAlignment="1" applyProtection="1">
      <alignment horizontal="center"/>
      <protection hidden="1"/>
    </xf>
    <xf numFmtId="0" fontId="70" fillId="28" borderId="0" xfId="0" applyFont="1" applyFill="1" applyBorder="1" applyProtection="1">
      <protection hidden="1"/>
    </xf>
    <xf numFmtId="0" fontId="70" fillId="4" borderId="0" xfId="0" applyFont="1" applyFill="1" applyBorder="1" applyProtection="1">
      <protection hidden="1"/>
    </xf>
    <xf numFmtId="0" fontId="70" fillId="4" borderId="0" xfId="0" applyFont="1" applyFill="1" applyBorder="1" applyAlignment="1" applyProtection="1">
      <alignment wrapText="1"/>
      <protection hidden="1"/>
    </xf>
    <xf numFmtId="2" fontId="70" fillId="4" borderId="0" xfId="0" applyNumberFormat="1" applyFont="1" applyFill="1" applyBorder="1" applyProtection="1">
      <protection hidden="1"/>
    </xf>
    <xf numFmtId="0" fontId="70" fillId="4" borderId="0" xfId="0" applyFont="1" applyFill="1" applyBorder="1" applyAlignment="1" applyProtection="1">
      <alignment horizontal="center"/>
      <protection hidden="1"/>
    </xf>
    <xf numFmtId="0" fontId="70" fillId="4" borderId="0" xfId="0" applyFont="1" applyFill="1" applyBorder="1" applyAlignment="1" applyProtection="1">
      <protection hidden="1"/>
    </xf>
    <xf numFmtId="2" fontId="70" fillId="4" borderId="0" xfId="0" applyNumberFormat="1" applyFont="1" applyFill="1" applyBorder="1" applyAlignment="1" applyProtection="1">
      <protection hidden="1"/>
    </xf>
    <xf numFmtId="0" fontId="66" fillId="8" borderId="0" xfId="0" applyFont="1" applyFill="1" applyBorder="1" applyAlignment="1" applyProtection="1">
      <alignment vertical="center" wrapText="1"/>
      <protection hidden="1"/>
    </xf>
    <xf numFmtId="0" fontId="66" fillId="8" borderId="1" xfId="0" applyFont="1" applyFill="1" applyBorder="1" applyAlignment="1" applyProtection="1">
      <alignment vertical="center" wrapText="1"/>
      <protection hidden="1"/>
    </xf>
    <xf numFmtId="0" fontId="19" fillId="26" borderId="29" xfId="0" applyFont="1" applyFill="1" applyBorder="1" applyAlignment="1" applyProtection="1">
      <alignment vertical="center" textRotation="90" wrapText="1"/>
      <protection hidden="1"/>
    </xf>
    <xf numFmtId="2" fontId="19" fillId="26" borderId="29" xfId="0" applyNumberFormat="1" applyFont="1" applyFill="1" applyBorder="1" applyAlignment="1" applyProtection="1">
      <alignment vertical="center" textRotation="90" wrapText="1"/>
      <protection hidden="1"/>
    </xf>
    <xf numFmtId="0" fontId="66" fillId="8" borderId="0" xfId="0" applyFont="1" applyFill="1" applyBorder="1" applyAlignment="1" applyProtection="1">
      <alignment vertical="center"/>
      <protection hidden="1"/>
    </xf>
    <xf numFmtId="0" fontId="66" fillId="8" borderId="27" xfId="0" applyFont="1" applyFill="1" applyBorder="1" applyAlignment="1" applyProtection="1">
      <alignment vertical="center"/>
      <protection hidden="1"/>
    </xf>
    <xf numFmtId="0" fontId="66" fillId="8" borderId="1" xfId="0" applyFont="1" applyFill="1" applyBorder="1" applyAlignment="1" applyProtection="1">
      <alignment vertical="center"/>
      <protection hidden="1"/>
    </xf>
    <xf numFmtId="0" fontId="66" fillId="8" borderId="11" xfId="0" applyFont="1" applyFill="1" applyBorder="1" applyAlignment="1" applyProtection="1">
      <alignment vertical="center"/>
      <protection hidden="1"/>
    </xf>
    <xf numFmtId="0" fontId="14" fillId="8" borderId="28" xfId="0" applyFont="1" applyFill="1" applyBorder="1" applyAlignment="1" applyProtection="1">
      <alignment vertical="center" textRotation="90"/>
      <protection hidden="1"/>
    </xf>
    <xf numFmtId="0" fontId="14" fillId="8" borderId="29" xfId="0" applyFont="1" applyFill="1" applyBorder="1" applyAlignment="1" applyProtection="1">
      <alignment vertical="center" textRotation="90"/>
      <protection hidden="1"/>
    </xf>
    <xf numFmtId="0" fontId="14" fillId="8" borderId="31" xfId="0" applyFont="1" applyFill="1" applyBorder="1" applyAlignment="1" applyProtection="1">
      <alignment vertical="center" textRotation="90"/>
      <protection hidden="1"/>
    </xf>
    <xf numFmtId="0" fontId="13" fillId="29" borderId="0" xfId="0" applyFont="1" applyFill="1" applyBorder="1" applyProtection="1">
      <protection locked="0"/>
    </xf>
    <xf numFmtId="0" fontId="16" fillId="8" borderId="2" xfId="0" applyFont="1" applyFill="1" applyBorder="1" applyAlignment="1" applyProtection="1">
      <alignment vertical="center" wrapText="1"/>
      <protection hidden="1"/>
    </xf>
    <xf numFmtId="0" fontId="16" fillId="8" borderId="2" xfId="0" applyFont="1" applyFill="1" applyBorder="1" applyAlignment="1" applyProtection="1">
      <alignment vertical="center"/>
      <protection hidden="1"/>
    </xf>
    <xf numFmtId="0" fontId="18" fillId="19" borderId="2" xfId="0" applyFont="1" applyFill="1" applyBorder="1" applyAlignment="1" applyProtection="1">
      <alignment vertical="center" wrapText="1"/>
      <protection hidden="1"/>
    </xf>
    <xf numFmtId="0" fontId="18" fillId="22" borderId="2" xfId="0" applyFont="1" applyFill="1" applyBorder="1" applyAlignment="1" applyProtection="1">
      <alignment vertical="center" wrapText="1"/>
      <protection hidden="1"/>
    </xf>
    <xf numFmtId="0" fontId="15" fillId="4" borderId="0" xfId="0" applyFont="1" applyFill="1" applyBorder="1" applyAlignment="1" applyProtection="1">
      <alignment horizontal="center" vertical="center"/>
      <protection hidden="1"/>
    </xf>
    <xf numFmtId="0" fontId="15" fillId="29" borderId="0" xfId="0" applyFont="1" applyFill="1" applyBorder="1" applyAlignment="1" applyProtection="1">
      <alignment horizontal="center" vertical="center"/>
      <protection hidden="1"/>
    </xf>
    <xf numFmtId="0" fontId="57" fillId="20" borderId="2" xfId="0" applyFont="1" applyFill="1" applyBorder="1" applyAlignment="1" applyProtection="1">
      <alignment horizontal="center" vertical="center"/>
      <protection hidden="1"/>
    </xf>
    <xf numFmtId="0" fontId="57" fillId="21" borderId="2" xfId="0" applyFont="1" applyFill="1" applyBorder="1" applyAlignment="1" applyProtection="1">
      <alignment horizontal="center" vertical="center"/>
      <protection hidden="1"/>
    </xf>
    <xf numFmtId="0" fontId="57" fillId="19" borderId="0" xfId="0" applyFont="1" applyFill="1" applyBorder="1" applyAlignment="1" applyProtection="1">
      <alignment horizontal="center" vertical="center"/>
      <protection hidden="1"/>
    </xf>
    <xf numFmtId="0" fontId="15" fillId="3" borderId="2" xfId="0" applyFont="1" applyFill="1" applyBorder="1" applyAlignment="1" applyProtection="1">
      <protection hidden="1"/>
    </xf>
    <xf numFmtId="0" fontId="13" fillId="29" borderId="0" xfId="0" applyFont="1" applyFill="1" applyBorder="1" applyProtection="1">
      <protection hidden="1"/>
    </xf>
    <xf numFmtId="0" fontId="16" fillId="19" borderId="6" xfId="0" applyFont="1" applyFill="1" applyBorder="1" applyAlignment="1" applyProtection="1">
      <alignment horizontal="center" vertical="center"/>
      <protection hidden="1"/>
    </xf>
    <xf numFmtId="0" fontId="57" fillId="19" borderId="2" xfId="0" applyFont="1" applyFill="1" applyBorder="1" applyAlignment="1" applyProtection="1">
      <alignment horizontal="center" vertical="center"/>
      <protection hidden="1"/>
    </xf>
    <xf numFmtId="0" fontId="13" fillId="19" borderId="2" xfId="0" applyFont="1" applyFill="1" applyBorder="1" applyAlignment="1" applyProtection="1">
      <protection hidden="1"/>
    </xf>
    <xf numFmtId="0" fontId="13" fillId="3" borderId="2" xfId="0" applyFont="1" applyFill="1" applyBorder="1" applyAlignment="1" applyProtection="1">
      <protection hidden="1"/>
    </xf>
    <xf numFmtId="0" fontId="13" fillId="19" borderId="2" xfId="0" applyFont="1" applyFill="1" applyBorder="1" applyProtection="1">
      <protection hidden="1"/>
    </xf>
    <xf numFmtId="0" fontId="13" fillId="20" borderId="2" xfId="0" applyFont="1" applyFill="1" applyBorder="1" applyAlignment="1" applyProtection="1">
      <alignment horizontal="center" vertical="center"/>
      <protection hidden="1"/>
    </xf>
    <xf numFmtId="0" fontId="13" fillId="21" borderId="2" xfId="0" applyFont="1" applyFill="1" applyBorder="1" applyAlignment="1" applyProtection="1">
      <alignment horizontal="center"/>
      <protection hidden="1"/>
    </xf>
    <xf numFmtId="0" fontId="13" fillId="19" borderId="2" xfId="0" applyFont="1" applyFill="1" applyBorder="1" applyAlignment="1" applyProtection="1">
      <alignment horizontal="center"/>
      <protection hidden="1"/>
    </xf>
    <xf numFmtId="0" fontId="13" fillId="4" borderId="0" xfId="0" applyFont="1" applyFill="1" applyBorder="1" applyAlignment="1" applyProtection="1">
      <alignment vertical="center"/>
      <protection hidden="1"/>
    </xf>
    <xf numFmtId="0" fontId="13" fillId="29" borderId="0" xfId="0" applyFont="1" applyFill="1" applyBorder="1" applyAlignment="1" applyProtection="1">
      <alignment vertical="center"/>
      <protection hidden="1"/>
    </xf>
    <xf numFmtId="0" fontId="9" fillId="0" borderId="16" xfId="0" applyFont="1" applyBorder="1" applyAlignment="1" applyProtection="1">
      <alignment horizontal="left" vertical="top" wrapText="1"/>
      <protection hidden="1"/>
    </xf>
    <xf numFmtId="0" fontId="13" fillId="0" borderId="16" xfId="0" applyFont="1" applyBorder="1" applyAlignment="1" applyProtection="1">
      <alignment horizontal="center"/>
      <protection hidden="1"/>
    </xf>
    <xf numFmtId="0" fontId="0" fillId="30" borderId="0" xfId="0" applyFill="1" applyBorder="1" applyProtection="1"/>
    <xf numFmtId="0" fontId="0" fillId="30" borderId="0" xfId="0" applyFill="1" applyBorder="1" applyProtection="1">
      <protection hidden="1"/>
    </xf>
    <xf numFmtId="0" fontId="0" fillId="30" borderId="0" xfId="0" applyFill="1" applyBorder="1" applyProtection="1">
      <protection locked="0"/>
    </xf>
    <xf numFmtId="0" fontId="27" fillId="30" borderId="0" xfId="0" applyFont="1" applyFill="1" applyBorder="1" applyAlignment="1" applyProtection="1">
      <alignment horizontal="center" vertical="center"/>
      <protection hidden="1"/>
    </xf>
    <xf numFmtId="0" fontId="47" fillId="8" borderId="19" xfId="0" applyFont="1" applyFill="1" applyBorder="1" applyAlignment="1" applyProtection="1">
      <alignment horizontal="center" vertical="center" wrapText="1"/>
      <protection locked="0"/>
    </xf>
    <xf numFmtId="0" fontId="17" fillId="8" borderId="19" xfId="0" applyFont="1" applyFill="1" applyBorder="1" applyAlignment="1" applyProtection="1">
      <alignment horizontal="center" vertical="center"/>
      <protection locked="0"/>
    </xf>
    <xf numFmtId="0" fontId="17" fillId="8" borderId="10" xfId="0" applyFont="1" applyFill="1" applyBorder="1" applyAlignment="1" applyProtection="1">
      <alignment horizontal="center" vertical="center"/>
      <protection hidden="1"/>
    </xf>
    <xf numFmtId="0" fontId="17" fillId="8" borderId="43" xfId="0" applyFont="1" applyFill="1" applyBorder="1" applyAlignment="1" applyProtection="1">
      <alignment horizontal="center" vertical="center"/>
      <protection locked="0"/>
    </xf>
    <xf numFmtId="0" fontId="5" fillId="4" borderId="12" xfId="1" applyFont="1" applyFill="1" applyBorder="1" applyAlignment="1" applyProtection="1">
      <alignment horizontal="center" vertical="center"/>
      <protection hidden="1"/>
    </xf>
    <xf numFmtId="0" fontId="13" fillId="4" borderId="13" xfId="0" applyFont="1" applyFill="1" applyBorder="1" applyProtection="1">
      <protection hidden="1"/>
    </xf>
    <xf numFmtId="0" fontId="0" fillId="4" borderId="15" xfId="0" applyFill="1" applyBorder="1" applyProtection="1">
      <protection hidden="1"/>
    </xf>
    <xf numFmtId="0" fontId="8" fillId="4" borderId="15" xfId="0" applyFont="1" applyFill="1" applyBorder="1" applyProtection="1">
      <protection hidden="1"/>
    </xf>
    <xf numFmtId="0" fontId="0" fillId="4" borderId="15" xfId="0" applyFill="1" applyBorder="1" applyProtection="1">
      <protection locked="0"/>
    </xf>
    <xf numFmtId="0" fontId="0" fillId="0" borderId="15" xfId="0" applyBorder="1" applyProtection="1">
      <protection hidden="1"/>
    </xf>
    <xf numFmtId="0" fontId="27" fillId="4" borderId="35" xfId="0" applyFont="1" applyFill="1" applyBorder="1" applyAlignment="1" applyProtection="1">
      <protection hidden="1"/>
    </xf>
    <xf numFmtId="0" fontId="27" fillId="4" borderId="36" xfId="0" applyFont="1" applyFill="1" applyBorder="1" applyAlignment="1" applyProtection="1">
      <alignment horizontal="right"/>
      <protection hidden="1"/>
    </xf>
    <xf numFmtId="0" fontId="27" fillId="4" borderId="36" xfId="0" applyFont="1" applyFill="1" applyBorder="1" applyAlignment="1" applyProtection="1">
      <protection hidden="1"/>
    </xf>
    <xf numFmtId="0" fontId="13" fillId="4" borderId="16" xfId="0" applyFont="1" applyFill="1" applyBorder="1" applyAlignment="1" applyProtection="1">
      <protection hidden="1"/>
    </xf>
    <xf numFmtId="0" fontId="27" fillId="4" borderId="15" xfId="0" applyFont="1" applyFill="1" applyBorder="1" applyAlignment="1" applyProtection="1">
      <alignment horizontal="center"/>
      <protection hidden="1"/>
    </xf>
    <xf numFmtId="0" fontId="27" fillId="4" borderId="16" xfId="0" applyFont="1" applyFill="1" applyBorder="1" applyAlignment="1" applyProtection="1">
      <alignment horizontal="center"/>
      <protection hidden="1"/>
    </xf>
    <xf numFmtId="0" fontId="47" fillId="8" borderId="5" xfId="0" applyFont="1" applyFill="1" applyBorder="1" applyAlignment="1" applyProtection="1">
      <alignment horizontal="center" vertical="center" wrapText="1"/>
      <protection hidden="1"/>
    </xf>
    <xf numFmtId="0" fontId="47" fillId="8" borderId="19" xfId="0" applyFont="1" applyFill="1" applyBorder="1" applyAlignment="1" applyProtection="1">
      <alignment horizontal="center" vertical="center" wrapText="1"/>
      <protection hidden="1"/>
    </xf>
    <xf numFmtId="0" fontId="17" fillId="0" borderId="0" xfId="0" applyFont="1" applyBorder="1" applyAlignment="1" applyProtection="1">
      <alignment vertical="center"/>
      <protection hidden="1"/>
    </xf>
    <xf numFmtId="0" fontId="13" fillId="29" borderId="15" xfId="0" applyFont="1" applyFill="1" applyBorder="1" applyProtection="1">
      <protection hidden="1"/>
    </xf>
    <xf numFmtId="0" fontId="23" fillId="29" borderId="15" xfId="0" applyFont="1" applyFill="1" applyBorder="1" applyAlignment="1" applyProtection="1">
      <alignment vertical="center"/>
      <protection hidden="1"/>
    </xf>
    <xf numFmtId="0" fontId="13" fillId="29" borderId="15" xfId="0" applyFont="1" applyFill="1" applyBorder="1" applyAlignment="1" applyProtection="1">
      <alignment horizontal="center" vertical="center"/>
      <protection hidden="1"/>
    </xf>
    <xf numFmtId="0" fontId="23" fillId="4" borderId="0" xfId="0" applyFont="1" applyFill="1" applyBorder="1" applyAlignment="1" applyProtection="1">
      <alignment vertical="center"/>
      <protection hidden="1"/>
    </xf>
    <xf numFmtId="0" fontId="13" fillId="4" borderId="0" xfId="0" applyFont="1" applyFill="1" applyBorder="1" applyAlignment="1" applyProtection="1">
      <alignment horizontal="center" vertical="center"/>
      <protection hidden="1"/>
    </xf>
    <xf numFmtId="0" fontId="15" fillId="29" borderId="15" xfId="0" applyFont="1" applyFill="1" applyBorder="1" applyAlignment="1" applyProtection="1">
      <alignment horizontal="center" vertical="center"/>
      <protection hidden="1"/>
    </xf>
    <xf numFmtId="0" fontId="16" fillId="0" borderId="16" xfId="0" applyFont="1" applyBorder="1" applyAlignment="1" applyProtection="1">
      <alignment horizontal="center" vertical="center"/>
      <protection hidden="1"/>
    </xf>
    <xf numFmtId="0" fontId="16" fillId="0" borderId="16" xfId="0" applyFont="1" applyBorder="1" applyAlignment="1" applyProtection="1">
      <alignment horizontal="left"/>
      <protection hidden="1"/>
    </xf>
    <xf numFmtId="0" fontId="15" fillId="0" borderId="16" xfId="0" applyFont="1" applyBorder="1" applyAlignment="1" applyProtection="1">
      <alignment horizontal="center"/>
      <protection hidden="1"/>
    </xf>
    <xf numFmtId="0" fontId="17" fillId="0" borderId="16" xfId="0" applyFont="1" applyBorder="1" applyAlignment="1" applyProtection="1">
      <alignment horizontal="center"/>
      <protection hidden="1"/>
    </xf>
    <xf numFmtId="0" fontId="16" fillId="0" borderId="0" xfId="0" applyFont="1" applyBorder="1" applyAlignment="1" applyProtection="1">
      <alignment horizontal="center" vertical="center"/>
      <protection hidden="1"/>
    </xf>
    <xf numFmtId="165" fontId="23" fillId="0" borderId="2" xfId="0" applyNumberFormat="1" applyFont="1" applyBorder="1" applyAlignment="1" applyProtection="1">
      <alignment horizontal="center"/>
      <protection hidden="1"/>
    </xf>
    <xf numFmtId="0" fontId="65" fillId="0" borderId="16" xfId="0" applyFont="1" applyBorder="1" applyAlignment="1" applyProtection="1">
      <alignment horizontal="left" vertical="center" wrapText="1"/>
      <protection hidden="1"/>
    </xf>
    <xf numFmtId="0" fontId="10" fillId="0" borderId="16" xfId="0" applyFont="1" applyBorder="1" applyAlignment="1" applyProtection="1">
      <alignment horizontal="center" vertical="center"/>
      <protection hidden="1"/>
    </xf>
    <xf numFmtId="0" fontId="11" fillId="0" borderId="16" xfId="0" applyFont="1" applyBorder="1" applyAlignment="1" applyProtection="1">
      <alignment horizontal="center"/>
      <protection hidden="1"/>
    </xf>
    <xf numFmtId="0" fontId="61" fillId="5" borderId="2" xfId="0" applyFont="1" applyFill="1" applyBorder="1" applyAlignment="1" applyProtection="1">
      <alignment horizontal="center" vertical="center"/>
      <protection hidden="1"/>
    </xf>
    <xf numFmtId="0" fontId="0" fillId="29" borderId="12" xfId="0" applyFill="1" applyBorder="1" applyProtection="1">
      <protection hidden="1"/>
    </xf>
    <xf numFmtId="0" fontId="0" fillId="29" borderId="13" xfId="0" applyFill="1" applyBorder="1" applyProtection="1">
      <protection hidden="1"/>
    </xf>
    <xf numFmtId="0" fontId="0" fillId="29" borderId="14" xfId="0" applyFill="1" applyBorder="1" applyProtection="1">
      <protection hidden="1"/>
    </xf>
    <xf numFmtId="0" fontId="15" fillId="0" borderId="16" xfId="0" applyFont="1" applyBorder="1" applyAlignment="1" applyProtection="1">
      <alignment horizontal="left" vertical="center"/>
      <protection hidden="1"/>
    </xf>
    <xf numFmtId="0" fontId="15" fillId="4" borderId="0" xfId="0" applyFont="1" applyFill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center" vertical="center"/>
      <protection hidden="1"/>
    </xf>
    <xf numFmtId="0" fontId="17" fillId="0" borderId="16" xfId="0" applyFont="1" applyBorder="1" applyAlignment="1" applyProtection="1">
      <alignment horizontal="center" vertical="center"/>
      <protection hidden="1"/>
    </xf>
    <xf numFmtId="0" fontId="23" fillId="4" borderId="0" xfId="0" applyFont="1" applyFill="1" applyAlignment="1" applyProtection="1">
      <alignment vertical="center"/>
      <protection hidden="1"/>
    </xf>
    <xf numFmtId="0" fontId="23" fillId="0" borderId="0" xfId="0" applyFont="1" applyAlignment="1" applyProtection="1">
      <alignment vertical="center"/>
      <protection hidden="1"/>
    </xf>
    <xf numFmtId="0" fontId="13" fillId="4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22" xfId="0" applyFont="1" applyBorder="1" applyProtection="1">
      <protection hidden="1"/>
    </xf>
    <xf numFmtId="0" fontId="13" fillId="0" borderId="26" xfId="0" applyFont="1" applyBorder="1" applyProtection="1">
      <protection hidden="1"/>
    </xf>
    <xf numFmtId="0" fontId="13" fillId="29" borderId="25" xfId="0" applyFont="1" applyFill="1" applyBorder="1" applyProtection="1">
      <protection hidden="1"/>
    </xf>
    <xf numFmtId="0" fontId="0" fillId="4" borderId="0" xfId="0" applyFill="1" applyBorder="1" applyAlignment="1" applyProtection="1">
      <alignment horizontal="right" vertical="center"/>
      <protection hidden="1"/>
    </xf>
    <xf numFmtId="0" fontId="0" fillId="4" borderId="0" xfId="0" applyFill="1" applyAlignment="1" applyProtection="1">
      <alignment horizontal="right" vertical="center"/>
      <protection hidden="1"/>
    </xf>
    <xf numFmtId="0" fontId="16" fillId="4" borderId="0" xfId="0" applyFont="1" applyFill="1" applyBorder="1" applyAlignment="1" applyProtection="1">
      <alignment horizontal="right" vertical="center"/>
      <protection hidden="1"/>
    </xf>
    <xf numFmtId="0" fontId="18" fillId="5" borderId="8" xfId="0" applyFont="1" applyFill="1" applyBorder="1" applyAlignment="1" applyProtection="1">
      <alignment horizontal="center" vertical="center"/>
      <protection hidden="1"/>
    </xf>
    <xf numFmtId="9" fontId="14" fillId="8" borderId="10" xfId="2" applyFont="1" applyFill="1" applyBorder="1" applyAlignment="1" applyProtection="1">
      <alignment horizontal="center" vertical="center"/>
      <protection hidden="1"/>
    </xf>
    <xf numFmtId="0" fontId="15" fillId="8" borderId="2" xfId="0" applyFont="1" applyFill="1" applyBorder="1" applyAlignment="1" applyProtection="1">
      <alignment horizontal="center" vertical="center" wrapText="1"/>
      <protection hidden="1"/>
    </xf>
    <xf numFmtId="14" fontId="16" fillId="8" borderId="2" xfId="0" applyNumberFormat="1" applyFont="1" applyFill="1" applyBorder="1" applyAlignment="1" applyProtection="1">
      <alignment horizontal="center" vertical="center" wrapText="1"/>
      <protection hidden="1"/>
    </xf>
    <xf numFmtId="0" fontId="16" fillId="8" borderId="2" xfId="0" applyFont="1" applyFill="1" applyBorder="1" applyAlignment="1" applyProtection="1">
      <alignment horizontal="left" vertical="center"/>
      <protection locked="0"/>
    </xf>
    <xf numFmtId="164" fontId="16" fillId="8" borderId="2" xfId="0" applyNumberFormat="1" applyFont="1" applyFill="1" applyBorder="1" applyAlignment="1" applyProtection="1">
      <alignment horizontal="center" vertical="center"/>
      <protection locked="0"/>
    </xf>
    <xf numFmtId="0" fontId="16" fillId="8" borderId="2" xfId="0" applyFont="1" applyFill="1" applyBorder="1" applyAlignment="1" applyProtection="1">
      <alignment horizontal="left" vertical="center" wrapText="1"/>
      <protection locked="0"/>
    </xf>
    <xf numFmtId="0" fontId="47" fillId="8" borderId="19" xfId="0" applyFont="1" applyFill="1" applyBorder="1" applyAlignment="1" applyProtection="1">
      <alignment horizontal="center" vertical="center"/>
      <protection hidden="1"/>
    </xf>
    <xf numFmtId="0" fontId="47" fillId="8" borderId="2" xfId="0" applyFont="1" applyFill="1" applyBorder="1" applyAlignment="1" applyProtection="1">
      <alignment horizontal="center" vertical="center"/>
      <protection locked="0"/>
    </xf>
    <xf numFmtId="0" fontId="13" fillId="30" borderId="13" xfId="0" applyFont="1" applyFill="1" applyBorder="1" applyProtection="1"/>
    <xf numFmtId="0" fontId="0" fillId="30" borderId="14" xfId="0" applyFill="1" applyBorder="1" applyProtection="1"/>
    <xf numFmtId="0" fontId="4" fillId="30" borderId="16" xfId="0" applyFont="1" applyFill="1" applyBorder="1" applyAlignment="1" applyProtection="1">
      <alignment vertical="center" wrapText="1"/>
    </xf>
    <xf numFmtId="0" fontId="0" fillId="30" borderId="16" xfId="0" applyFill="1" applyBorder="1" applyProtection="1"/>
    <xf numFmtId="0" fontId="0" fillId="30" borderId="16" xfId="0" applyFill="1" applyBorder="1" applyProtection="1">
      <protection hidden="1"/>
    </xf>
    <xf numFmtId="14" fontId="27" fillId="30" borderId="22" xfId="0" applyNumberFormat="1" applyFont="1" applyFill="1" applyBorder="1" applyAlignment="1" applyProtection="1">
      <alignment horizontal="center" vertical="center"/>
      <protection locked="0"/>
    </xf>
    <xf numFmtId="0" fontId="83" fillId="30" borderId="13" xfId="0" applyFont="1" applyFill="1" applyBorder="1" applyAlignment="1" applyProtection="1">
      <alignment horizontal="center" vertical="center"/>
    </xf>
    <xf numFmtId="0" fontId="13" fillId="30" borderId="22" xfId="0" applyFont="1" applyFill="1" applyBorder="1" applyProtection="1">
      <protection hidden="1"/>
    </xf>
    <xf numFmtId="0" fontId="13" fillId="15" borderId="0" xfId="0" applyFont="1" applyFill="1" applyBorder="1" applyProtection="1">
      <protection hidden="1"/>
    </xf>
    <xf numFmtId="0" fontId="13" fillId="0" borderId="29" xfId="0" applyFont="1" applyFill="1" applyBorder="1" applyProtection="1">
      <protection hidden="1"/>
    </xf>
    <xf numFmtId="0" fontId="13" fillId="4" borderId="29" xfId="0" applyFont="1" applyFill="1" applyBorder="1" applyProtection="1">
      <protection hidden="1"/>
    </xf>
    <xf numFmtId="0" fontId="13" fillId="4" borderId="29" xfId="0" applyFont="1" applyFill="1" applyBorder="1" applyAlignment="1" applyProtection="1">
      <protection hidden="1"/>
    </xf>
    <xf numFmtId="0" fontId="13" fillId="0" borderId="2" xfId="0" applyFont="1" applyFill="1" applyBorder="1" applyProtection="1">
      <protection hidden="1"/>
    </xf>
    <xf numFmtId="0" fontId="13" fillId="4" borderId="2" xfId="0" applyFont="1" applyFill="1" applyBorder="1" applyProtection="1">
      <protection hidden="1"/>
    </xf>
    <xf numFmtId="0" fontId="13" fillId="4" borderId="2" xfId="0" applyFont="1" applyFill="1" applyBorder="1" applyAlignment="1" applyProtection="1">
      <protection hidden="1"/>
    </xf>
    <xf numFmtId="0" fontId="0" fillId="0" borderId="12" xfId="0" applyBorder="1" applyProtection="1"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0" xfId="0" applyBorder="1" applyProtection="1">
      <protection hidden="1"/>
    </xf>
    <xf numFmtId="0" fontId="0" fillId="0" borderId="16" xfId="0" applyBorder="1" applyProtection="1">
      <protection hidden="1"/>
    </xf>
    <xf numFmtId="0" fontId="16" fillId="8" borderId="2" xfId="0" applyFont="1" applyFill="1" applyBorder="1" applyAlignment="1" applyProtection="1">
      <alignment horizontal="left" vertical="center"/>
      <protection hidden="1"/>
    </xf>
    <xf numFmtId="0" fontId="19" fillId="8" borderId="3" xfId="0" applyFont="1" applyFill="1" applyBorder="1" applyAlignment="1" applyProtection="1">
      <alignment horizontal="center" vertical="center" wrapText="1"/>
      <protection hidden="1"/>
    </xf>
    <xf numFmtId="0" fontId="19" fillId="8" borderId="4" xfId="0" applyFont="1" applyFill="1" applyBorder="1" applyAlignment="1" applyProtection="1">
      <alignment horizontal="center" vertical="center" wrapText="1"/>
      <protection hidden="1"/>
    </xf>
    <xf numFmtId="0" fontId="19" fillId="8" borderId="4" xfId="0" applyFont="1" applyFill="1" applyBorder="1" applyAlignment="1" applyProtection="1">
      <alignment horizontal="center" vertical="center" textRotation="90" wrapText="1"/>
      <protection hidden="1"/>
    </xf>
    <xf numFmtId="0" fontId="19" fillId="8" borderId="17" xfId="0" applyFont="1" applyFill="1" applyBorder="1" applyAlignment="1" applyProtection="1">
      <alignment horizontal="center" vertical="center" wrapText="1"/>
      <protection hidden="1"/>
    </xf>
    <xf numFmtId="0" fontId="19" fillId="4" borderId="16" xfId="0" applyFont="1" applyFill="1" applyBorder="1" applyAlignment="1" applyProtection="1">
      <alignment horizontal="center" vertical="center"/>
      <protection hidden="1"/>
    </xf>
    <xf numFmtId="0" fontId="19" fillId="8" borderId="5" xfId="0" applyFont="1" applyFill="1" applyBorder="1" applyAlignment="1" applyProtection="1">
      <alignment horizontal="center" vertical="center" wrapText="1"/>
      <protection hidden="1"/>
    </xf>
    <xf numFmtId="0" fontId="19" fillId="8" borderId="2" xfId="0" applyFont="1" applyFill="1" applyBorder="1" applyAlignment="1" applyProtection="1">
      <alignment horizontal="center" vertical="center" wrapText="1"/>
      <protection hidden="1"/>
    </xf>
    <xf numFmtId="0" fontId="19" fillId="8" borderId="19" xfId="0" applyFont="1" applyFill="1" applyBorder="1" applyAlignment="1" applyProtection="1">
      <alignment horizontal="center" vertical="center" wrapText="1"/>
      <protection hidden="1"/>
    </xf>
    <xf numFmtId="0" fontId="17" fillId="8" borderId="2" xfId="0" applyFont="1" applyFill="1" applyBorder="1" applyAlignment="1" applyProtection="1">
      <alignment horizontal="left" vertical="center"/>
      <protection hidden="1"/>
    </xf>
    <xf numFmtId="0" fontId="17" fillId="8" borderId="10" xfId="0" applyFont="1" applyFill="1" applyBorder="1" applyAlignment="1" applyProtection="1">
      <alignment horizontal="left" vertical="center"/>
      <protection hidden="1"/>
    </xf>
    <xf numFmtId="0" fontId="46" fillId="8" borderId="2" xfId="0" applyFont="1" applyFill="1" applyBorder="1" applyAlignment="1" applyProtection="1">
      <alignment horizontal="left" vertical="center"/>
      <protection hidden="1"/>
    </xf>
    <xf numFmtId="0" fontId="49" fillId="4" borderId="0" xfId="0" applyFont="1" applyFill="1" applyAlignment="1" applyProtection="1">
      <alignment vertical="center" wrapText="1"/>
      <protection hidden="1"/>
    </xf>
    <xf numFmtId="0" fontId="16" fillId="34" borderId="3" xfId="0" applyFont="1" applyFill="1" applyBorder="1" applyAlignment="1" applyProtection="1">
      <alignment horizontal="center" vertical="center" wrapText="1"/>
      <protection hidden="1"/>
    </xf>
    <xf numFmtId="0" fontId="16" fillId="34" borderId="4" xfId="0" applyFont="1" applyFill="1" applyBorder="1" applyAlignment="1" applyProtection="1">
      <alignment horizontal="center" vertical="center" wrapText="1"/>
      <protection hidden="1"/>
    </xf>
    <xf numFmtId="0" fontId="16" fillId="34" borderId="60" xfId="0" applyFont="1" applyFill="1" applyBorder="1" applyAlignment="1" applyProtection="1">
      <alignment horizontal="center" vertical="center" wrapText="1"/>
      <protection hidden="1"/>
    </xf>
    <xf numFmtId="0" fontId="16" fillId="34" borderId="17" xfId="0" applyFont="1" applyFill="1" applyBorder="1" applyAlignment="1" applyProtection="1">
      <alignment horizontal="center" vertical="center" wrapText="1"/>
      <protection hidden="1"/>
    </xf>
    <xf numFmtId="0" fontId="15" fillId="4" borderId="0" xfId="0" applyFont="1" applyFill="1" applyBorder="1" applyAlignment="1" applyProtection="1">
      <alignment horizontal="center" vertical="center" wrapText="1"/>
      <protection hidden="1"/>
    </xf>
    <xf numFmtId="0" fontId="16" fillId="8" borderId="5" xfId="0" applyFont="1" applyFill="1" applyBorder="1" applyAlignment="1" applyProtection="1">
      <alignment horizontal="center" vertical="center"/>
      <protection hidden="1"/>
    </xf>
    <xf numFmtId="0" fontId="17" fillId="4" borderId="0" xfId="0" applyFont="1" applyFill="1" applyBorder="1" applyAlignment="1" applyProtection="1">
      <alignment horizontal="center" vertical="center"/>
      <protection hidden="1"/>
    </xf>
    <xf numFmtId="0" fontId="1" fillId="4" borderId="0" xfId="0" applyFont="1" applyFill="1" applyBorder="1" applyAlignment="1" applyProtection="1">
      <alignment horizontal="center" vertical="center"/>
      <protection hidden="1"/>
    </xf>
    <xf numFmtId="0" fontId="16" fillId="8" borderId="32" xfId="0" applyFont="1" applyFill="1" applyBorder="1" applyAlignment="1" applyProtection="1">
      <alignment horizontal="center" vertical="center"/>
      <protection hidden="1"/>
    </xf>
    <xf numFmtId="0" fontId="16" fillId="8" borderId="19" xfId="0" applyFont="1" applyFill="1" applyBorder="1" applyAlignment="1" applyProtection="1">
      <alignment horizontal="center" vertical="center"/>
      <protection hidden="1"/>
    </xf>
    <xf numFmtId="0" fontId="16" fillId="8" borderId="28" xfId="0" applyFont="1" applyFill="1" applyBorder="1" applyAlignment="1" applyProtection="1">
      <alignment horizontal="center" vertical="center"/>
      <protection hidden="1"/>
    </xf>
    <xf numFmtId="0" fontId="16" fillId="8" borderId="46" xfId="0" applyFont="1" applyFill="1" applyBorder="1" applyAlignment="1" applyProtection="1">
      <alignment horizontal="center" vertical="center"/>
      <protection hidden="1"/>
    </xf>
    <xf numFmtId="0" fontId="16" fillId="30" borderId="15" xfId="0" applyFont="1" applyFill="1" applyBorder="1" applyAlignment="1" applyProtection="1">
      <alignment horizontal="center" vertical="center"/>
      <protection hidden="1"/>
    </xf>
    <xf numFmtId="0" fontId="16" fillId="30" borderId="25" xfId="0" applyFont="1" applyFill="1" applyBorder="1" applyAlignment="1" applyProtection="1">
      <alignment horizontal="center" vertical="center" wrapText="1"/>
      <protection hidden="1"/>
    </xf>
    <xf numFmtId="0" fontId="49" fillId="35" borderId="15" xfId="0" applyFont="1" applyFill="1" applyBorder="1" applyAlignment="1" applyProtection="1">
      <alignment vertical="center" wrapText="1"/>
      <protection hidden="1"/>
    </xf>
    <xf numFmtId="0" fontId="49" fillId="35" borderId="0" xfId="0" applyFont="1" applyFill="1" applyBorder="1" applyAlignment="1" applyProtection="1">
      <alignment vertical="center" wrapText="1"/>
      <protection hidden="1"/>
    </xf>
    <xf numFmtId="0" fontId="49" fillId="35" borderId="16" xfId="0" applyFont="1" applyFill="1" applyBorder="1" applyAlignment="1" applyProtection="1">
      <alignment vertical="center" wrapText="1"/>
      <protection hidden="1"/>
    </xf>
    <xf numFmtId="0" fontId="25" fillId="35" borderId="0" xfId="0" applyFont="1" applyFill="1" applyBorder="1" applyAlignment="1" applyProtection="1">
      <alignment vertical="center" wrapText="1"/>
      <protection hidden="1"/>
    </xf>
    <xf numFmtId="0" fontId="27" fillId="30" borderId="0" xfId="0" applyFont="1" applyFill="1" applyBorder="1" applyAlignment="1" applyProtection="1">
      <alignment horizontal="center" vertical="center"/>
      <protection locked="0"/>
    </xf>
    <xf numFmtId="0" fontId="60" fillId="9" borderId="2" xfId="0" applyFont="1" applyFill="1" applyBorder="1" applyAlignment="1" applyProtection="1">
      <alignment horizontal="center" vertical="center" wrapText="1"/>
      <protection hidden="1"/>
    </xf>
    <xf numFmtId="0" fontId="62" fillId="9" borderId="2" xfId="0" applyFont="1" applyFill="1" applyBorder="1" applyAlignment="1" applyProtection="1">
      <alignment horizontal="center" vertical="center" wrapText="1"/>
      <protection hidden="1"/>
    </xf>
    <xf numFmtId="0" fontId="16" fillId="8" borderId="7" xfId="0" applyFont="1" applyFill="1" applyBorder="1" applyAlignment="1" applyProtection="1">
      <alignment horizontal="center"/>
      <protection hidden="1"/>
    </xf>
    <xf numFmtId="0" fontId="16" fillId="8" borderId="24" xfId="0" applyFont="1" applyFill="1" applyBorder="1" applyAlignment="1" applyProtection="1">
      <alignment horizontal="center"/>
      <protection hidden="1"/>
    </xf>
    <xf numFmtId="0" fontId="40" fillId="5" borderId="56" xfId="0" applyFont="1" applyFill="1" applyBorder="1" applyAlignment="1" applyProtection="1">
      <alignment horizontal="center" vertical="center" wrapText="1"/>
      <protection hidden="1"/>
    </xf>
    <xf numFmtId="0" fontId="13" fillId="4" borderId="2" xfId="0" applyFont="1" applyFill="1" applyBorder="1" applyProtection="1">
      <protection hidden="1"/>
    </xf>
    <xf numFmtId="0" fontId="17" fillId="5" borderId="2" xfId="0" applyFont="1" applyFill="1" applyBorder="1" applyAlignment="1" applyProtection="1">
      <alignment horizontal="center" vertical="center" wrapText="1"/>
      <protection hidden="1"/>
    </xf>
    <xf numFmtId="0" fontId="41" fillId="4" borderId="24" xfId="1" applyFont="1" applyFill="1" applyBorder="1" applyAlignment="1" applyProtection="1">
      <alignment horizontal="center" vertical="center"/>
      <protection hidden="1"/>
    </xf>
    <xf numFmtId="0" fontId="42" fillId="4" borderId="24" xfId="1" applyFont="1" applyFill="1" applyBorder="1" applyAlignment="1" applyProtection="1">
      <alignment horizontal="center" vertical="center"/>
      <protection hidden="1"/>
    </xf>
    <xf numFmtId="0" fontId="42" fillId="4" borderId="31" xfId="1" applyFont="1" applyFill="1" applyBorder="1" applyAlignment="1" applyProtection="1">
      <alignment horizontal="center" vertical="center"/>
      <protection hidden="1"/>
    </xf>
    <xf numFmtId="0" fontId="27" fillId="8" borderId="36" xfId="0" applyFont="1" applyFill="1" applyBorder="1" applyAlignment="1" applyProtection="1">
      <alignment horizontal="center" vertical="center"/>
      <protection hidden="1"/>
    </xf>
    <xf numFmtId="0" fontId="15" fillId="19" borderId="29" xfId="0" applyFont="1" applyFill="1" applyBorder="1" applyAlignment="1" applyProtection="1">
      <alignment horizontal="center" vertical="center"/>
      <protection hidden="1"/>
    </xf>
    <xf numFmtId="0" fontId="61" fillId="5" borderId="0" xfId="0" applyFont="1" applyFill="1" applyBorder="1" applyAlignment="1" applyProtection="1">
      <alignment horizontal="center" vertical="center"/>
      <protection hidden="1"/>
    </xf>
    <xf numFmtId="0" fontId="18" fillId="5" borderId="7" xfId="0" applyFont="1" applyFill="1" applyBorder="1" applyAlignment="1" applyProtection="1">
      <alignment vertical="center"/>
      <protection hidden="1"/>
    </xf>
    <xf numFmtId="0" fontId="15" fillId="19" borderId="11" xfId="0" applyFont="1" applyFill="1" applyBorder="1" applyAlignment="1" applyProtection="1">
      <alignment horizontal="center" vertical="center"/>
      <protection hidden="1"/>
    </xf>
    <xf numFmtId="0" fontId="17" fillId="15" borderId="24" xfId="0" applyFont="1" applyFill="1" applyBorder="1" applyAlignment="1" applyProtection="1">
      <alignment horizontal="center" vertical="center"/>
      <protection hidden="1"/>
    </xf>
    <xf numFmtId="0" fontId="27" fillId="15" borderId="24" xfId="0" applyFont="1" applyFill="1" applyBorder="1" applyAlignment="1" applyProtection="1">
      <alignment horizontal="center" vertical="center"/>
      <protection hidden="1"/>
    </xf>
    <xf numFmtId="0" fontId="15" fillId="4" borderId="29" xfId="0" applyFont="1" applyFill="1" applyBorder="1" applyAlignment="1" applyProtection="1">
      <alignment horizontal="center"/>
      <protection hidden="1"/>
    </xf>
    <xf numFmtId="0" fontId="58" fillId="4" borderId="2" xfId="0" applyFont="1" applyFill="1" applyBorder="1" applyAlignment="1" applyProtection="1">
      <alignment horizontal="center"/>
      <protection hidden="1"/>
    </xf>
    <xf numFmtId="0" fontId="16" fillId="4" borderId="2" xfId="0" applyFont="1" applyFill="1" applyBorder="1" applyAlignment="1" applyProtection="1">
      <alignment horizontal="center"/>
      <protection hidden="1"/>
    </xf>
    <xf numFmtId="0" fontId="15" fillId="4" borderId="2" xfId="0" applyFont="1" applyFill="1" applyBorder="1" applyAlignment="1" applyProtection="1">
      <alignment horizontal="center"/>
      <protection hidden="1"/>
    </xf>
    <xf numFmtId="0" fontId="13" fillId="4" borderId="2" xfId="0" applyFont="1" applyFill="1" applyBorder="1" applyProtection="1">
      <protection hidden="1"/>
    </xf>
    <xf numFmtId="0" fontId="19" fillId="8" borderId="47" xfId="0" applyFont="1" applyFill="1" applyBorder="1" applyAlignment="1" applyProtection="1">
      <alignment horizontal="center" vertical="center" wrapText="1"/>
      <protection hidden="1"/>
    </xf>
    <xf numFmtId="0" fontId="19" fillId="8" borderId="30" xfId="0" applyFont="1" applyFill="1" applyBorder="1" applyAlignment="1" applyProtection="1">
      <alignment horizontal="center" vertical="center" wrapText="1"/>
      <protection hidden="1"/>
    </xf>
    <xf numFmtId="0" fontId="19" fillId="8" borderId="29" xfId="0" applyFont="1" applyFill="1" applyBorder="1" applyAlignment="1" applyProtection="1">
      <alignment horizontal="center" vertical="center" wrapText="1"/>
      <protection hidden="1"/>
    </xf>
    <xf numFmtId="0" fontId="16" fillId="4" borderId="35" xfId="0" applyFont="1" applyFill="1" applyBorder="1" applyAlignment="1" applyProtection="1">
      <alignment horizontal="center" vertical="center"/>
      <protection hidden="1"/>
    </xf>
    <xf numFmtId="0" fontId="62" fillId="9" borderId="2" xfId="0" applyFont="1" applyFill="1" applyBorder="1" applyAlignment="1" applyProtection="1">
      <alignment horizontal="left" vertical="center" textRotation="90" wrapText="1"/>
      <protection hidden="1"/>
    </xf>
    <xf numFmtId="0" fontId="62" fillId="9" borderId="2" xfId="0" applyFont="1" applyFill="1" applyBorder="1" applyAlignment="1" applyProtection="1">
      <alignment horizontal="center" textRotation="90" wrapText="1"/>
      <protection hidden="1"/>
    </xf>
    <xf numFmtId="0" fontId="63" fillId="16" borderId="2" xfId="0" applyFont="1" applyFill="1" applyBorder="1" applyAlignment="1" applyProtection="1">
      <alignment horizontal="left" vertical="center"/>
      <protection hidden="1"/>
    </xf>
    <xf numFmtId="0" fontId="63" fillId="3" borderId="6" xfId="0" applyFont="1" applyFill="1" applyBorder="1" applyAlignment="1" applyProtection="1">
      <alignment horizontal="center" vertical="center" wrapText="1"/>
      <protection hidden="1"/>
    </xf>
    <xf numFmtId="2" fontId="61" fillId="5" borderId="2" xfId="0" applyNumberFormat="1" applyFont="1" applyFill="1" applyBorder="1" applyAlignment="1" applyProtection="1">
      <alignment horizontal="center" vertical="center"/>
      <protection hidden="1"/>
    </xf>
    <xf numFmtId="0" fontId="17" fillId="5" borderId="49" xfId="0" applyFont="1" applyFill="1" applyBorder="1" applyAlignment="1" applyProtection="1">
      <alignment horizontal="center" vertical="center" wrapText="1"/>
      <protection hidden="1"/>
    </xf>
    <xf numFmtId="0" fontId="19" fillId="5" borderId="49" xfId="0" applyFont="1" applyFill="1" applyBorder="1" applyAlignment="1" applyProtection="1">
      <alignment horizontal="center" vertical="center" wrapText="1"/>
      <protection hidden="1"/>
    </xf>
    <xf numFmtId="0" fontId="19" fillId="5" borderId="50" xfId="0" applyFont="1" applyFill="1" applyBorder="1" applyAlignment="1" applyProtection="1">
      <alignment horizontal="center" vertical="center" wrapText="1"/>
      <protection hidden="1"/>
    </xf>
    <xf numFmtId="0" fontId="16" fillId="8" borderId="29" xfId="0" applyFont="1" applyFill="1" applyBorder="1" applyAlignment="1" applyProtection="1">
      <alignment horizontal="left" vertical="center"/>
      <protection hidden="1"/>
    </xf>
    <xf numFmtId="0" fontId="61" fillId="5" borderId="29" xfId="0" applyFont="1" applyFill="1" applyBorder="1" applyAlignment="1" applyProtection="1">
      <alignment horizontal="center" vertical="center"/>
      <protection hidden="1"/>
    </xf>
    <xf numFmtId="0" fontId="61" fillId="5" borderId="29" xfId="0" applyFont="1" applyFill="1" applyBorder="1" applyAlignment="1" applyProtection="1">
      <alignment horizontal="center" vertical="center" wrapText="1"/>
      <protection hidden="1"/>
    </xf>
    <xf numFmtId="0" fontId="16" fillId="36" borderId="48" xfId="0" applyFont="1" applyFill="1" applyBorder="1" applyAlignment="1" applyProtection="1">
      <alignment horizontal="center" vertical="center"/>
      <protection hidden="1"/>
    </xf>
    <xf numFmtId="0" fontId="16" fillId="36" borderId="49" xfId="0" applyFont="1" applyFill="1" applyBorder="1" applyAlignment="1" applyProtection="1">
      <alignment horizontal="center" vertical="center"/>
      <protection hidden="1"/>
    </xf>
    <xf numFmtId="0" fontId="16" fillId="8" borderId="30" xfId="0" applyFont="1" applyFill="1" applyBorder="1" applyAlignment="1" applyProtection="1">
      <alignment horizontal="center" vertical="center" wrapText="1"/>
      <protection hidden="1"/>
    </xf>
    <xf numFmtId="0" fontId="61" fillId="5" borderId="47" xfId="0" applyFont="1" applyFill="1" applyBorder="1" applyAlignment="1" applyProtection="1">
      <alignment horizontal="center" vertical="center" wrapText="1"/>
      <protection hidden="1"/>
    </xf>
    <xf numFmtId="0" fontId="16" fillId="8" borderId="5" xfId="0" applyFont="1" applyFill="1" applyBorder="1" applyAlignment="1" applyProtection="1">
      <alignment horizontal="center" vertical="center" wrapText="1"/>
      <protection hidden="1"/>
    </xf>
    <xf numFmtId="0" fontId="61" fillId="5" borderId="19" xfId="0" applyFont="1" applyFill="1" applyBorder="1" applyAlignment="1" applyProtection="1">
      <alignment horizontal="center" vertical="center" wrapText="1"/>
      <protection hidden="1"/>
    </xf>
    <xf numFmtId="0" fontId="16" fillId="8" borderId="9" xfId="0" applyFont="1" applyFill="1" applyBorder="1" applyAlignment="1" applyProtection="1">
      <alignment horizontal="center" vertical="center" wrapText="1"/>
      <protection hidden="1"/>
    </xf>
    <xf numFmtId="0" fontId="16" fillId="8" borderId="10" xfId="0" applyFont="1" applyFill="1" applyBorder="1" applyAlignment="1" applyProtection="1">
      <alignment horizontal="center" vertical="center" wrapText="1"/>
      <protection hidden="1"/>
    </xf>
    <xf numFmtId="0" fontId="16" fillId="8" borderId="10" xfId="0" applyFont="1" applyFill="1" applyBorder="1" applyAlignment="1" applyProtection="1">
      <alignment horizontal="left" vertical="center"/>
      <protection hidden="1"/>
    </xf>
    <xf numFmtId="0" fontId="61" fillId="5" borderId="43" xfId="0" applyFont="1" applyFill="1" applyBorder="1" applyAlignment="1" applyProtection="1">
      <alignment horizontal="center" vertical="center" wrapText="1"/>
      <protection hidden="1"/>
    </xf>
    <xf numFmtId="0" fontId="91" fillId="8" borderId="37" xfId="0" applyFont="1" applyFill="1" applyBorder="1" applyAlignment="1" applyProtection="1">
      <protection hidden="1"/>
    </xf>
    <xf numFmtId="0" fontId="93" fillId="8" borderId="37" xfId="0" applyFont="1" applyFill="1" applyBorder="1" applyAlignment="1" applyProtection="1">
      <alignment vertical="center"/>
      <protection hidden="1"/>
    </xf>
    <xf numFmtId="0" fontId="16" fillId="8" borderId="3" xfId="0" applyFont="1" applyFill="1" applyBorder="1" applyAlignment="1" applyProtection="1">
      <alignment horizontal="center" vertical="center" wrapText="1"/>
      <protection hidden="1"/>
    </xf>
    <xf numFmtId="0" fontId="16" fillId="8" borderId="4" xfId="0" applyFont="1" applyFill="1" applyBorder="1" applyAlignment="1" applyProtection="1">
      <alignment horizontal="left" vertical="center"/>
      <protection hidden="1"/>
    </xf>
    <xf numFmtId="0" fontId="61" fillId="5" borderId="17" xfId="0" applyFont="1" applyFill="1" applyBorder="1" applyAlignment="1" applyProtection="1">
      <alignment horizontal="center" vertical="center" wrapText="1"/>
      <protection hidden="1"/>
    </xf>
    <xf numFmtId="0" fontId="16" fillId="36" borderId="33" xfId="0" applyFont="1" applyFill="1" applyBorder="1" applyAlignment="1" applyProtection="1">
      <alignment horizontal="center" vertical="center"/>
      <protection hidden="1"/>
    </xf>
    <xf numFmtId="0" fontId="16" fillId="36" borderId="34" xfId="0" applyFont="1" applyFill="1" applyBorder="1" applyAlignment="1" applyProtection="1">
      <alignment horizontal="center" vertical="center"/>
      <protection hidden="1"/>
    </xf>
    <xf numFmtId="0" fontId="19" fillId="5" borderId="50" xfId="0" applyFont="1" applyFill="1" applyBorder="1" applyAlignment="1" applyProtection="1">
      <alignment horizontal="center" wrapText="1"/>
      <protection hidden="1"/>
    </xf>
    <xf numFmtId="0" fontId="91" fillId="4" borderId="0" xfId="0" applyFont="1" applyFill="1" applyBorder="1" applyAlignment="1" applyProtection="1">
      <alignment horizontal="center"/>
      <protection hidden="1"/>
    </xf>
    <xf numFmtId="0" fontId="91" fillId="29" borderId="0" xfId="0" applyFont="1" applyFill="1" applyBorder="1" applyAlignment="1" applyProtection="1">
      <alignment horizontal="center"/>
      <protection hidden="1"/>
    </xf>
    <xf numFmtId="0" fontId="92" fillId="4" borderId="0" xfId="0" applyFont="1" applyFill="1" applyBorder="1" applyAlignment="1" applyProtection="1">
      <alignment horizontal="center" vertical="center"/>
      <protection hidden="1"/>
    </xf>
    <xf numFmtId="0" fontId="92" fillId="29" borderId="0" xfId="0" applyFont="1" applyFill="1" applyBorder="1" applyAlignment="1" applyProtection="1">
      <alignment horizontal="center" vertical="center"/>
      <protection hidden="1"/>
    </xf>
    <xf numFmtId="0" fontId="13" fillId="19" borderId="2" xfId="0" applyFont="1" applyFill="1" applyBorder="1" applyAlignment="1" applyProtection="1">
      <alignment horizontal="center" vertical="center"/>
      <protection hidden="1"/>
    </xf>
    <xf numFmtId="0" fontId="18" fillId="5" borderId="29" xfId="0" applyFont="1" applyFill="1" applyBorder="1" applyAlignment="1" applyProtection="1">
      <alignment horizontal="center" vertical="center"/>
      <protection hidden="1"/>
    </xf>
    <xf numFmtId="0" fontId="60" fillId="5" borderId="29" xfId="0" applyFont="1" applyFill="1" applyBorder="1" applyAlignment="1" applyProtection="1">
      <alignment horizontal="center" vertical="center"/>
      <protection hidden="1"/>
    </xf>
    <xf numFmtId="0" fontId="60" fillId="5" borderId="45" xfId="0" applyFont="1" applyFill="1" applyBorder="1" applyAlignment="1" applyProtection="1">
      <alignment horizontal="center" vertical="center"/>
      <protection hidden="1"/>
    </xf>
    <xf numFmtId="0" fontId="61" fillId="5" borderId="45" xfId="0" applyFont="1" applyFill="1" applyBorder="1" applyAlignment="1" applyProtection="1">
      <alignment horizontal="center" vertical="center"/>
      <protection hidden="1"/>
    </xf>
    <xf numFmtId="0" fontId="61" fillId="5" borderId="45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Fill="1" applyBorder="1" applyAlignment="1" applyProtection="1">
      <alignment horizontal="center" vertical="center"/>
      <protection hidden="1"/>
    </xf>
    <xf numFmtId="0" fontId="13" fillId="29" borderId="0" xfId="0" applyFont="1" applyFill="1" applyBorder="1" applyAlignment="1" applyProtection="1">
      <alignment horizontal="center" vertical="center"/>
      <protection hidden="1"/>
    </xf>
    <xf numFmtId="0" fontId="17" fillId="16" borderId="2" xfId="0" applyFont="1" applyFill="1" applyBorder="1" applyAlignment="1" applyProtection="1">
      <alignment horizontal="center" vertical="center" textRotation="90"/>
      <protection hidden="1"/>
    </xf>
    <xf numFmtId="0" fontId="16" fillId="16" borderId="2" xfId="0" applyFont="1" applyFill="1" applyBorder="1" applyAlignment="1" applyProtection="1">
      <alignment horizontal="center" vertical="center" textRotation="90" wrapText="1"/>
      <protection hidden="1"/>
    </xf>
    <xf numFmtId="0" fontId="17" fillId="12" borderId="2" xfId="0" applyFont="1" applyFill="1" applyBorder="1" applyAlignment="1" applyProtection="1">
      <alignment horizontal="center" vertical="center" textRotation="90"/>
      <protection hidden="1"/>
    </xf>
    <xf numFmtId="0" fontId="17" fillId="13" borderId="2" xfId="0" applyFont="1" applyFill="1" applyBorder="1" applyAlignment="1" applyProtection="1">
      <alignment horizontal="center" textRotation="90" wrapText="1"/>
      <protection hidden="1"/>
    </xf>
    <xf numFmtId="0" fontId="17" fillId="3" borderId="2" xfId="0" applyFont="1" applyFill="1" applyBorder="1" applyAlignment="1" applyProtection="1">
      <alignment horizontal="center" textRotation="90" wrapText="1"/>
      <protection hidden="1"/>
    </xf>
    <xf numFmtId="0" fontId="17" fillId="4" borderId="0" xfId="0" applyFont="1" applyFill="1" applyAlignment="1" applyProtection="1">
      <alignment vertical="center"/>
      <protection hidden="1"/>
    </xf>
    <xf numFmtId="0" fontId="0" fillId="4" borderId="0" xfId="0" applyFill="1" applyAlignment="1" applyProtection="1">
      <alignment vertical="center"/>
      <protection hidden="1"/>
    </xf>
    <xf numFmtId="0" fontId="13" fillId="17" borderId="2" xfId="0" applyFont="1" applyFill="1" applyBorder="1" applyProtection="1">
      <protection hidden="1"/>
    </xf>
    <xf numFmtId="0" fontId="16" fillId="17" borderId="2" xfId="0" applyFont="1" applyFill="1" applyBorder="1" applyAlignment="1" applyProtection="1">
      <alignment horizontal="center" vertical="center"/>
      <protection hidden="1"/>
    </xf>
    <xf numFmtId="0" fontId="13" fillId="17" borderId="2" xfId="0" applyFont="1" applyFill="1" applyBorder="1" applyAlignment="1" applyProtection="1">
      <protection hidden="1"/>
    </xf>
    <xf numFmtId="0" fontId="56" fillId="17" borderId="2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textRotation="90"/>
      <protection hidden="1"/>
    </xf>
    <xf numFmtId="0" fontId="2" fillId="4" borderId="27" xfId="0" applyFont="1" applyFill="1" applyBorder="1" applyAlignment="1" applyProtection="1">
      <alignment horizontal="center" vertical="center" textRotation="90"/>
      <protection hidden="1"/>
    </xf>
    <xf numFmtId="0" fontId="1" fillId="4" borderId="0" xfId="0" applyFont="1" applyFill="1" applyBorder="1" applyAlignment="1" applyProtection="1">
      <alignment horizontal="center" vertical="center" textRotation="90"/>
      <protection hidden="1"/>
    </xf>
    <xf numFmtId="0" fontId="67" fillId="36" borderId="2" xfId="0" applyFont="1" applyFill="1" applyBorder="1" applyAlignment="1" applyProtection="1">
      <alignment horizontal="center" vertical="center"/>
      <protection hidden="1"/>
    </xf>
    <xf numFmtId="0" fontId="46" fillId="36" borderId="2" xfId="0" applyFont="1" applyFill="1" applyBorder="1" applyAlignment="1" applyProtection="1">
      <alignment horizontal="center" vertical="center"/>
      <protection hidden="1"/>
    </xf>
    <xf numFmtId="0" fontId="68" fillId="36" borderId="2" xfId="0" applyFont="1" applyFill="1" applyBorder="1" applyAlignment="1" applyProtection="1">
      <alignment horizontal="center" vertical="center"/>
      <protection hidden="1"/>
    </xf>
    <xf numFmtId="0" fontId="68" fillId="36" borderId="2" xfId="0" applyFont="1" applyFill="1" applyBorder="1" applyAlignment="1" applyProtection="1">
      <alignment horizontal="center" vertical="center" wrapText="1"/>
      <protection hidden="1"/>
    </xf>
    <xf numFmtId="2" fontId="68" fillId="36" borderId="2" xfId="0" applyNumberFormat="1" applyFont="1" applyFill="1" applyBorder="1" applyAlignment="1" applyProtection="1">
      <alignment horizontal="center" vertical="center"/>
      <protection hidden="1"/>
    </xf>
    <xf numFmtId="0" fontId="60" fillId="36" borderId="2" xfId="0" applyFont="1" applyFill="1" applyBorder="1" applyAlignment="1" applyProtection="1">
      <alignment horizontal="center" vertical="center" wrapText="1"/>
      <protection hidden="1"/>
    </xf>
    <xf numFmtId="0" fontId="19" fillId="5" borderId="2" xfId="0" applyFont="1" applyFill="1" applyBorder="1" applyAlignment="1" applyProtection="1">
      <alignment horizontal="center" vertical="center" wrapText="1"/>
      <protection hidden="1"/>
    </xf>
    <xf numFmtId="0" fontId="16" fillId="27" borderId="24" xfId="0" applyFont="1" applyFill="1" applyBorder="1" applyAlignment="1" applyProtection="1">
      <alignment horizontal="center"/>
      <protection hidden="1"/>
    </xf>
    <xf numFmtId="0" fontId="62" fillId="27" borderId="24" xfId="0" applyFont="1" applyFill="1" applyBorder="1" applyAlignment="1" applyProtection="1">
      <alignment horizontal="center"/>
      <protection hidden="1"/>
    </xf>
    <xf numFmtId="0" fontId="71" fillId="28" borderId="0" xfId="0" applyFont="1" applyFill="1" applyBorder="1" applyAlignment="1" applyProtection="1">
      <alignment horizontal="center"/>
      <protection hidden="1"/>
    </xf>
    <xf numFmtId="0" fontId="62" fillId="8" borderId="7" xfId="0" applyFont="1" applyFill="1" applyBorder="1" applyAlignment="1" applyProtection="1">
      <alignment horizontal="center"/>
      <protection hidden="1"/>
    </xf>
    <xf numFmtId="0" fontId="16" fillId="19" borderId="7" xfId="0" applyFont="1" applyFill="1" applyBorder="1" applyAlignment="1" applyProtection="1">
      <alignment horizontal="center"/>
      <protection hidden="1"/>
    </xf>
    <xf numFmtId="0" fontId="66" fillId="8" borderId="13" xfId="0" applyFont="1" applyFill="1" applyBorder="1" applyAlignment="1" applyProtection="1">
      <alignment vertical="center" wrapText="1"/>
      <protection hidden="1"/>
    </xf>
    <xf numFmtId="0" fontId="66" fillId="8" borderId="14" xfId="0" applyFont="1" applyFill="1" applyBorder="1" applyAlignment="1" applyProtection="1">
      <alignment vertical="center" wrapText="1"/>
      <protection hidden="1"/>
    </xf>
    <xf numFmtId="0" fontId="66" fillId="8" borderId="54" xfId="0" applyFont="1" applyFill="1" applyBorder="1" applyAlignment="1" applyProtection="1">
      <alignment vertical="center" wrapText="1"/>
      <protection hidden="1"/>
    </xf>
    <xf numFmtId="0" fontId="67" fillId="8" borderId="5" xfId="0" applyFont="1" applyFill="1" applyBorder="1" applyAlignment="1" applyProtection="1">
      <alignment horizontal="center" vertical="center"/>
      <protection hidden="1"/>
    </xf>
    <xf numFmtId="0" fontId="62" fillId="8" borderId="19" xfId="0" applyFont="1" applyFill="1" applyBorder="1" applyAlignment="1" applyProtection="1">
      <alignment horizontal="center"/>
      <protection hidden="1"/>
    </xf>
    <xf numFmtId="0" fontId="16" fillId="8" borderId="19" xfId="0" applyFont="1" applyFill="1" applyBorder="1" applyAlignment="1" applyProtection="1">
      <alignment horizontal="center"/>
      <protection hidden="1"/>
    </xf>
    <xf numFmtId="0" fontId="16" fillId="19" borderId="19" xfId="0" applyFont="1" applyFill="1" applyBorder="1" applyAlignment="1" applyProtection="1">
      <alignment horizontal="center"/>
      <protection hidden="1"/>
    </xf>
    <xf numFmtId="0" fontId="68" fillId="26" borderId="47" xfId="0" applyFont="1" applyFill="1" applyBorder="1" applyAlignment="1" applyProtection="1">
      <alignment horizontal="center" vertical="center"/>
      <protection hidden="1"/>
    </xf>
    <xf numFmtId="0" fontId="68" fillId="26" borderId="19" xfId="0" applyFont="1" applyFill="1" applyBorder="1" applyAlignment="1" applyProtection="1">
      <alignment horizontal="center" vertical="center"/>
      <protection hidden="1"/>
    </xf>
    <xf numFmtId="0" fontId="16" fillId="8" borderId="10" xfId="0" applyFont="1" applyFill="1" applyBorder="1" applyAlignment="1" applyProtection="1">
      <alignment horizontal="center" vertical="center"/>
      <protection hidden="1"/>
    </xf>
    <xf numFmtId="164" fontId="16" fillId="8" borderId="10" xfId="0" applyNumberFormat="1" applyFont="1" applyFill="1" applyBorder="1" applyAlignment="1" applyProtection="1">
      <alignment horizontal="center" vertical="center"/>
      <protection hidden="1"/>
    </xf>
    <xf numFmtId="0" fontId="68" fillId="5" borderId="10" xfId="0" applyFont="1" applyFill="1" applyBorder="1" applyAlignment="1" applyProtection="1">
      <alignment horizontal="center" vertical="center"/>
      <protection hidden="1"/>
    </xf>
    <xf numFmtId="0" fontId="68" fillId="24" borderId="10" xfId="0" applyFont="1" applyFill="1" applyBorder="1" applyAlignment="1" applyProtection="1">
      <alignment horizontal="center" vertical="center"/>
      <protection hidden="1"/>
    </xf>
    <xf numFmtId="0" fontId="60" fillId="24" borderId="10" xfId="0" applyFont="1" applyFill="1" applyBorder="1" applyAlignment="1" applyProtection="1">
      <alignment horizontal="center" vertical="center"/>
      <protection hidden="1"/>
    </xf>
    <xf numFmtId="0" fontId="68" fillId="5" borderId="10" xfId="0" applyFont="1" applyFill="1" applyBorder="1" applyAlignment="1" applyProtection="1">
      <alignment horizontal="center" vertical="center" wrapText="1"/>
      <protection hidden="1"/>
    </xf>
    <xf numFmtId="0" fontId="68" fillId="26" borderId="10" xfId="0" applyFont="1" applyFill="1" applyBorder="1" applyAlignment="1" applyProtection="1">
      <alignment horizontal="center" vertical="center"/>
      <protection hidden="1"/>
    </xf>
    <xf numFmtId="2" fontId="68" fillId="26" borderId="10" xfId="0" applyNumberFormat="1" applyFont="1" applyFill="1" applyBorder="1" applyAlignment="1" applyProtection="1">
      <alignment horizontal="center" vertical="center"/>
      <protection hidden="1"/>
    </xf>
    <xf numFmtId="0" fontId="68" fillId="26" borderId="43" xfId="0" applyFont="1" applyFill="1" applyBorder="1" applyAlignment="1" applyProtection="1">
      <alignment horizontal="center" vertical="center"/>
      <protection hidden="1"/>
    </xf>
    <xf numFmtId="0" fontId="94" fillId="4" borderId="0" xfId="0" applyFont="1" applyFill="1" applyBorder="1" applyProtection="1">
      <protection hidden="1"/>
    </xf>
    <xf numFmtId="0" fontId="47" fillId="8" borderId="39" xfId="0" applyFont="1" applyFill="1" applyBorder="1" applyAlignment="1" applyProtection="1">
      <alignment horizontal="center" vertical="center" wrapText="1"/>
      <protection locked="0"/>
    </xf>
    <xf numFmtId="0" fontId="14" fillId="8" borderId="7" xfId="0" applyFont="1" applyFill="1" applyBorder="1" applyAlignment="1" applyProtection="1">
      <alignment vertical="center" wrapText="1"/>
      <protection hidden="1"/>
    </xf>
    <xf numFmtId="0" fontId="94" fillId="28" borderId="0" xfId="0" applyFont="1" applyFill="1" applyBorder="1" applyProtection="1">
      <protection hidden="1"/>
    </xf>
    <xf numFmtId="0" fontId="95" fillId="0" borderId="0" xfId="0" applyFont="1" applyProtection="1">
      <protection hidden="1"/>
    </xf>
    <xf numFmtId="0" fontId="44" fillId="4" borderId="0" xfId="0" applyFont="1" applyFill="1" applyBorder="1" applyProtection="1">
      <protection hidden="1"/>
    </xf>
    <xf numFmtId="0" fontId="96" fillId="8" borderId="39" xfId="0" applyFont="1" applyFill="1" applyBorder="1" applyAlignment="1" applyProtection="1">
      <alignment horizontal="center" vertical="center" wrapText="1"/>
      <protection locked="0"/>
    </xf>
    <xf numFmtId="0" fontId="27" fillId="8" borderId="7" xfId="0" applyFont="1" applyFill="1" applyBorder="1" applyAlignment="1" applyProtection="1">
      <alignment vertical="center" wrapText="1"/>
      <protection hidden="1"/>
    </xf>
    <xf numFmtId="0" fontId="27" fillId="8" borderId="8" xfId="0" applyFont="1" applyFill="1" applyBorder="1" applyAlignment="1" applyProtection="1">
      <alignment vertical="center" wrapText="1"/>
      <protection hidden="1"/>
    </xf>
    <xf numFmtId="0" fontId="44" fillId="28" borderId="0" xfId="0" applyFont="1" applyFill="1" applyBorder="1" applyProtection="1">
      <protection hidden="1"/>
    </xf>
    <xf numFmtId="0" fontId="97" fillId="0" borderId="0" xfId="0" applyFont="1" applyProtection="1">
      <protection hidden="1"/>
    </xf>
    <xf numFmtId="0" fontId="68" fillId="5" borderId="29" xfId="0" applyFont="1" applyFill="1" applyBorder="1" applyAlignment="1" applyProtection="1">
      <alignment horizontal="center" vertical="center"/>
      <protection hidden="1"/>
    </xf>
    <xf numFmtId="0" fontId="68" fillId="24" borderId="29" xfId="0" applyFont="1" applyFill="1" applyBorder="1" applyAlignment="1" applyProtection="1">
      <alignment horizontal="center" vertical="center"/>
      <protection hidden="1"/>
    </xf>
    <xf numFmtId="0" fontId="60" fillId="24" borderId="29" xfId="0" applyFont="1" applyFill="1" applyBorder="1" applyAlignment="1" applyProtection="1">
      <alignment horizontal="center" vertical="center"/>
      <protection hidden="1"/>
    </xf>
    <xf numFmtId="0" fontId="68" fillId="5" borderId="29" xfId="0" applyFont="1" applyFill="1" applyBorder="1" applyAlignment="1" applyProtection="1">
      <alignment horizontal="center" vertical="center" wrapText="1"/>
      <protection hidden="1"/>
    </xf>
    <xf numFmtId="0" fontId="27" fillId="8" borderId="36" xfId="0" applyFont="1" applyFill="1" applyBorder="1" applyAlignment="1" applyProtection="1">
      <alignment vertical="center" wrapText="1"/>
      <protection hidden="1"/>
    </xf>
    <xf numFmtId="0" fontId="16" fillId="8" borderId="29" xfId="0" applyFont="1" applyFill="1" applyBorder="1" applyAlignment="1" applyProtection="1">
      <alignment horizontal="center" vertical="center" textRotation="90" wrapText="1"/>
      <protection hidden="1"/>
    </xf>
    <xf numFmtId="0" fontId="14" fillId="8" borderId="36" xfId="0" applyFont="1" applyFill="1" applyBorder="1" applyAlignment="1" applyProtection="1">
      <alignment vertical="center" wrapText="1"/>
      <protection hidden="1"/>
    </xf>
    <xf numFmtId="0" fontId="14" fillId="8" borderId="24" xfId="0" applyFont="1" applyFill="1" applyBorder="1" applyAlignment="1" applyProtection="1">
      <alignment vertical="center" wrapText="1"/>
      <protection hidden="1"/>
    </xf>
    <xf numFmtId="0" fontId="14" fillId="8" borderId="11" xfId="0" applyFont="1" applyFill="1" applyBorder="1" applyAlignment="1" applyProtection="1">
      <alignment vertical="center" textRotation="90"/>
      <protection hidden="1"/>
    </xf>
    <xf numFmtId="0" fontId="62" fillId="8" borderId="24" xfId="0" applyFont="1" applyFill="1" applyBorder="1" applyAlignment="1" applyProtection="1">
      <alignment horizontal="center"/>
      <protection hidden="1"/>
    </xf>
    <xf numFmtId="0" fontId="16" fillId="19" borderId="24" xfId="0" applyFont="1" applyFill="1" applyBorder="1" applyAlignment="1" applyProtection="1">
      <alignment horizontal="center"/>
      <protection hidden="1"/>
    </xf>
    <xf numFmtId="0" fontId="19" fillId="26" borderId="47" xfId="0" applyFont="1" applyFill="1" applyBorder="1" applyAlignment="1" applyProtection="1">
      <alignment vertical="center" textRotation="90" wrapText="1"/>
      <protection hidden="1"/>
    </xf>
    <xf numFmtId="0" fontId="67" fillId="36" borderId="5" xfId="0" applyFont="1" applyFill="1" applyBorder="1" applyAlignment="1" applyProtection="1">
      <alignment horizontal="center" vertical="center"/>
      <protection hidden="1"/>
    </xf>
    <xf numFmtId="0" fontId="68" fillId="36" borderId="19" xfId="0" applyFont="1" applyFill="1" applyBorder="1" applyAlignment="1" applyProtection="1">
      <alignment horizontal="center" vertical="center"/>
      <protection hidden="1"/>
    </xf>
    <xf numFmtId="0" fontId="68" fillId="26" borderId="47" xfId="0" applyFont="1" applyFill="1" applyBorder="1" applyAlignment="1" applyProtection="1">
      <alignment horizontal="center" vertical="center" textRotation="90" wrapText="1"/>
      <protection hidden="1"/>
    </xf>
    <xf numFmtId="0" fontId="16" fillId="30" borderId="0" xfId="0" applyFont="1" applyFill="1" applyBorder="1" applyAlignment="1" applyProtection="1">
      <alignment horizontal="center" vertical="center"/>
      <protection hidden="1"/>
    </xf>
    <xf numFmtId="0" fontId="28" fillId="30" borderId="0" xfId="0" applyFont="1" applyFill="1" applyBorder="1" applyAlignment="1" applyProtection="1">
      <alignment horizontal="center" vertical="center"/>
      <protection hidden="1"/>
    </xf>
    <xf numFmtId="165" fontId="23" fillId="0" borderId="0" xfId="0" applyNumberFormat="1" applyFont="1" applyBorder="1" applyAlignment="1" applyProtection="1">
      <alignment horizontal="center"/>
      <protection hidden="1"/>
    </xf>
    <xf numFmtId="0" fontId="13" fillId="29" borderId="15" xfId="0" applyFont="1" applyFill="1" applyBorder="1" applyAlignment="1" applyProtection="1">
      <alignment vertical="center"/>
      <protection hidden="1"/>
    </xf>
    <xf numFmtId="0" fontId="15" fillId="0" borderId="16" xfId="0" applyFont="1" applyBorder="1" applyAlignment="1" applyProtection="1">
      <alignment horizontal="center" vertical="center"/>
      <protection hidden="1"/>
    </xf>
    <xf numFmtId="0" fontId="13" fillId="4" borderId="0" xfId="0" applyFont="1" applyFill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165" fontId="23" fillId="0" borderId="49" xfId="0" applyNumberFormat="1" applyFont="1" applyBorder="1" applyAlignment="1" applyProtection="1">
      <alignment horizontal="center"/>
      <protection hidden="1"/>
    </xf>
    <xf numFmtId="0" fontId="15" fillId="0" borderId="0" xfId="0" applyFont="1" applyBorder="1" applyAlignment="1" applyProtection="1">
      <alignment horizontal="center"/>
      <protection hidden="1"/>
    </xf>
    <xf numFmtId="0" fontId="32" fillId="4" borderId="11" xfId="0" applyFont="1" applyFill="1" applyBorder="1" applyAlignment="1" applyProtection="1">
      <alignment horizontal="center" vertical="center" wrapText="1"/>
      <protection hidden="1"/>
    </xf>
    <xf numFmtId="0" fontId="43" fillId="4" borderId="3" xfId="0" applyFont="1" applyFill="1" applyBorder="1" applyAlignment="1" applyProtection="1">
      <alignment vertical="center"/>
      <protection hidden="1"/>
    </xf>
    <xf numFmtId="0" fontId="43" fillId="4" borderId="9" xfId="0" applyFont="1" applyFill="1" applyBorder="1" applyAlignment="1" applyProtection="1">
      <alignment vertical="center"/>
      <protection hidden="1"/>
    </xf>
    <xf numFmtId="0" fontId="34" fillId="4" borderId="60" xfId="0" applyFont="1" applyFill="1" applyBorder="1" applyAlignment="1" applyProtection="1">
      <alignment horizontal="left" vertical="center"/>
      <protection locked="0" hidden="1"/>
    </xf>
    <xf numFmtId="49" fontId="34" fillId="4" borderId="65" xfId="0" applyNumberFormat="1" applyFont="1" applyFill="1" applyBorder="1" applyAlignment="1" applyProtection="1">
      <alignment horizontal="left" vertical="center"/>
      <protection locked="0" hidden="1"/>
    </xf>
    <xf numFmtId="0" fontId="40" fillId="4" borderId="40" xfId="0" applyFont="1" applyFill="1" applyBorder="1" applyAlignment="1" applyProtection="1">
      <alignment horizontal="center" vertical="center"/>
      <protection hidden="1"/>
    </xf>
    <xf numFmtId="0" fontId="40" fillId="4" borderId="52" xfId="0" applyFont="1" applyFill="1" applyBorder="1" applyAlignment="1" applyProtection="1">
      <alignment horizontal="center" vertical="center"/>
      <protection hidden="1"/>
    </xf>
    <xf numFmtId="0" fontId="0" fillId="30" borderId="0" xfId="0" applyFill="1" applyBorder="1" applyAlignment="1" applyProtection="1">
      <alignment horizontal="center" vertical="center"/>
      <protection hidden="1"/>
    </xf>
    <xf numFmtId="0" fontId="0" fillId="30" borderId="16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  <protection locked="0"/>
    </xf>
    <xf numFmtId="0" fontId="40" fillId="27" borderId="3" xfId="0" applyFont="1" applyFill="1" applyBorder="1" applyAlignment="1" applyProtection="1">
      <alignment horizontal="right" vertical="center"/>
      <protection hidden="1"/>
    </xf>
    <xf numFmtId="0" fontId="40" fillId="27" borderId="52" xfId="0" applyFont="1" applyFill="1" applyBorder="1" applyAlignment="1" applyProtection="1">
      <alignment horizontal="right" vertical="center"/>
      <protection hidden="1"/>
    </xf>
    <xf numFmtId="0" fontId="24" fillId="3" borderId="24" xfId="0" applyFont="1" applyFill="1" applyBorder="1" applyAlignment="1" applyProtection="1">
      <alignment horizontal="center" vertical="center" wrapText="1"/>
      <protection hidden="1"/>
    </xf>
    <xf numFmtId="0" fontId="17" fillId="8" borderId="24" xfId="0" applyFont="1" applyFill="1" applyBorder="1" applyAlignment="1" applyProtection="1">
      <alignment horizontal="center" vertical="center"/>
      <protection locked="0" hidden="1"/>
    </xf>
    <xf numFmtId="167" fontId="17" fillId="0" borderId="0" xfId="0" applyNumberFormat="1" applyFont="1" applyBorder="1" applyAlignment="1" applyProtection="1">
      <alignment vertical="center"/>
      <protection hidden="1"/>
    </xf>
    <xf numFmtId="0" fontId="15" fillId="19" borderId="29" xfId="0" applyFont="1" applyFill="1" applyBorder="1" applyAlignment="1" applyProtection="1">
      <alignment horizontal="center" vertical="center" wrapText="1"/>
      <protection hidden="1"/>
    </xf>
    <xf numFmtId="0" fontId="61" fillId="19" borderId="6" xfId="0" applyFont="1" applyFill="1" applyBorder="1" applyAlignment="1" applyProtection="1">
      <alignment horizontal="center" vertical="center" wrapText="1"/>
      <protection hidden="1"/>
    </xf>
    <xf numFmtId="0" fontId="18" fillId="19" borderId="6" xfId="0" applyFont="1" applyFill="1" applyBorder="1" applyAlignment="1" applyProtection="1">
      <alignment vertical="center" wrapText="1"/>
      <protection hidden="1"/>
    </xf>
    <xf numFmtId="0" fontId="61" fillId="15" borderId="29" xfId="0" applyFont="1" applyFill="1" applyBorder="1" applyAlignment="1" applyProtection="1">
      <alignment horizontal="center" vertical="center" wrapText="1"/>
      <protection hidden="1"/>
    </xf>
    <xf numFmtId="0" fontId="61" fillId="15" borderId="6" xfId="0" applyFont="1" applyFill="1" applyBorder="1" applyAlignment="1" applyProtection="1">
      <alignment horizontal="center" vertical="center" wrapText="1"/>
      <protection hidden="1"/>
    </xf>
    <xf numFmtId="0" fontId="102" fillId="19" borderId="6" xfId="0" applyFont="1" applyFill="1" applyBorder="1" applyAlignment="1" applyProtection="1">
      <alignment horizontal="center" vertical="center"/>
      <protection hidden="1"/>
    </xf>
    <xf numFmtId="0" fontId="18" fillId="15" borderId="2" xfId="0" applyFont="1" applyFill="1" applyBorder="1" applyAlignment="1" applyProtection="1">
      <alignment horizontal="center" vertical="center" wrapText="1"/>
      <protection hidden="1"/>
    </xf>
    <xf numFmtId="0" fontId="18" fillId="15" borderId="2" xfId="0" applyFont="1" applyFill="1" applyBorder="1" applyAlignment="1" applyProtection="1">
      <alignment horizontal="center" vertical="center"/>
      <protection hidden="1"/>
    </xf>
    <xf numFmtId="0" fontId="18" fillId="10" borderId="2" xfId="0" applyFont="1" applyFill="1" applyBorder="1" applyAlignment="1" applyProtection="1">
      <alignment horizontal="center" vertical="center" wrapText="1"/>
      <protection hidden="1"/>
    </xf>
    <xf numFmtId="0" fontId="18" fillId="10" borderId="2" xfId="0" applyFont="1" applyFill="1" applyBorder="1" applyAlignment="1" applyProtection="1">
      <alignment horizontal="center" vertical="center"/>
      <protection hidden="1"/>
    </xf>
    <xf numFmtId="0" fontId="18" fillId="2" borderId="2" xfId="0" applyFont="1" applyFill="1" applyBorder="1" applyAlignment="1" applyProtection="1">
      <alignment horizontal="center" vertical="center"/>
      <protection hidden="1"/>
    </xf>
    <xf numFmtId="0" fontId="18" fillId="2" borderId="2" xfId="0" applyFont="1" applyFill="1" applyBorder="1" applyAlignment="1" applyProtection="1">
      <alignment horizontal="center" vertical="center" wrapText="1"/>
      <protection hidden="1"/>
    </xf>
    <xf numFmtId="0" fontId="18" fillId="14" borderId="2" xfId="0" applyFont="1" applyFill="1" applyBorder="1" applyAlignment="1" applyProtection="1">
      <alignment horizontal="center" vertical="center" wrapText="1"/>
      <protection hidden="1"/>
    </xf>
    <xf numFmtId="0" fontId="18" fillId="14" borderId="2" xfId="0" applyFont="1" applyFill="1" applyBorder="1" applyAlignment="1" applyProtection="1">
      <alignment horizontal="center" vertical="center"/>
      <protection hidden="1"/>
    </xf>
    <xf numFmtId="0" fontId="16" fillId="3" borderId="2" xfId="0" applyFont="1" applyFill="1" applyBorder="1" applyAlignment="1" applyProtection="1">
      <alignment horizontal="center" vertical="center" wrapText="1"/>
      <protection hidden="1"/>
    </xf>
    <xf numFmtId="0" fontId="16" fillId="16" borderId="2" xfId="0" applyFont="1" applyFill="1" applyBorder="1" applyAlignment="1" applyProtection="1">
      <alignment horizontal="center" vertical="center" wrapText="1"/>
      <protection hidden="1"/>
    </xf>
    <xf numFmtId="0" fontId="16" fillId="12" borderId="2" xfId="0" applyFont="1" applyFill="1" applyBorder="1" applyAlignment="1" applyProtection="1">
      <alignment horizontal="center" vertical="center" wrapText="1"/>
      <protection hidden="1"/>
    </xf>
    <xf numFmtId="0" fontId="16" fillId="13" borderId="2" xfId="0" applyFont="1" applyFill="1" applyBorder="1" applyAlignment="1" applyProtection="1">
      <alignment horizontal="center" vertical="center" wrapText="1"/>
      <protection hidden="1"/>
    </xf>
    <xf numFmtId="0" fontId="18" fillId="11" borderId="2" xfId="0" applyFont="1" applyFill="1" applyBorder="1" applyAlignment="1" applyProtection="1">
      <alignment horizontal="center" vertical="center"/>
      <protection hidden="1"/>
    </xf>
    <xf numFmtId="0" fontId="18" fillId="5" borderId="28" xfId="0" applyFont="1" applyFill="1" applyBorder="1" applyAlignment="1" applyProtection="1">
      <alignment horizontal="center" vertical="center"/>
      <protection hidden="1"/>
    </xf>
    <xf numFmtId="0" fontId="18" fillId="5" borderId="28" xfId="0" applyFont="1" applyFill="1" applyBorder="1" applyAlignment="1" applyProtection="1">
      <alignment horizontal="center" vertical="center" wrapText="1"/>
      <protection hidden="1"/>
    </xf>
    <xf numFmtId="0" fontId="0" fillId="4" borderId="0" xfId="0" applyFont="1" applyFill="1" applyProtection="1">
      <protection hidden="1"/>
    </xf>
    <xf numFmtId="0" fontId="17" fillId="12" borderId="2" xfId="0" applyFont="1" applyFill="1" applyBorder="1" applyAlignment="1" applyProtection="1">
      <alignment horizontal="center" vertical="center" textRotation="90" wrapText="1"/>
      <protection hidden="1"/>
    </xf>
    <xf numFmtId="0" fontId="15" fillId="3" borderId="28" xfId="0" applyFont="1" applyFill="1" applyBorder="1" applyAlignment="1" applyProtection="1">
      <alignment horizontal="center" vertical="center"/>
      <protection hidden="1"/>
    </xf>
    <xf numFmtId="0" fontId="13" fillId="3" borderId="28" xfId="0" applyFont="1" applyFill="1" applyBorder="1" applyAlignment="1" applyProtection="1">
      <alignment vertical="center"/>
      <protection hidden="1"/>
    </xf>
    <xf numFmtId="0" fontId="18" fillId="3" borderId="28" xfId="0" applyFont="1" applyFill="1" applyBorder="1" applyAlignment="1" applyProtection="1">
      <alignment vertical="center" wrapText="1"/>
      <protection hidden="1"/>
    </xf>
    <xf numFmtId="0" fontId="16" fillId="3" borderId="28" xfId="0" applyFont="1" applyFill="1" applyBorder="1" applyAlignment="1" applyProtection="1">
      <alignment vertical="center" wrapText="1"/>
      <protection hidden="1"/>
    </xf>
    <xf numFmtId="0" fontId="16" fillId="16" borderId="28" xfId="0" applyFont="1" applyFill="1" applyBorder="1" applyAlignment="1" applyProtection="1">
      <alignment vertical="center" wrapText="1"/>
      <protection hidden="1"/>
    </xf>
    <xf numFmtId="0" fontId="16" fillId="12" borderId="28" xfId="0" applyFont="1" applyFill="1" applyBorder="1" applyAlignment="1" applyProtection="1">
      <alignment vertical="center" wrapText="1"/>
      <protection hidden="1"/>
    </xf>
    <xf numFmtId="0" fontId="16" fillId="13" borderId="28" xfId="0" applyFont="1" applyFill="1" applyBorder="1" applyAlignment="1" applyProtection="1">
      <alignment vertical="center" wrapText="1"/>
      <protection hidden="1"/>
    </xf>
    <xf numFmtId="0" fontId="63" fillId="3" borderId="28" xfId="0" applyFont="1" applyFill="1" applyBorder="1" applyAlignment="1" applyProtection="1">
      <alignment horizontal="center" vertical="center" wrapText="1"/>
      <protection hidden="1"/>
    </xf>
    <xf numFmtId="0" fontId="18" fillId="11" borderId="28" xfId="0" applyFont="1" applyFill="1" applyBorder="1" applyAlignment="1" applyProtection="1">
      <alignment vertical="center"/>
      <protection hidden="1"/>
    </xf>
    <xf numFmtId="0" fontId="62" fillId="3" borderId="29" xfId="0" applyFont="1" applyFill="1" applyBorder="1" applyAlignment="1" applyProtection="1">
      <alignment horizontal="center" vertical="center" wrapText="1"/>
      <protection hidden="1"/>
    </xf>
    <xf numFmtId="0" fontId="63" fillId="16" borderId="29" xfId="0" applyFont="1" applyFill="1" applyBorder="1" applyAlignment="1" applyProtection="1">
      <alignment horizontal="center" vertical="center" wrapText="1"/>
      <protection hidden="1"/>
    </xf>
    <xf numFmtId="0" fontId="63" fillId="12" borderId="29" xfId="0" applyFont="1" applyFill="1" applyBorder="1" applyAlignment="1" applyProtection="1">
      <alignment horizontal="center" vertical="center" wrapText="1"/>
      <protection hidden="1"/>
    </xf>
    <xf numFmtId="0" fontId="63" fillId="13" borderId="29" xfId="0" applyFont="1" applyFill="1" applyBorder="1" applyAlignment="1" applyProtection="1">
      <alignment horizontal="center" vertical="center" wrapText="1"/>
      <protection hidden="1"/>
    </xf>
    <xf numFmtId="0" fontId="63" fillId="3" borderId="29" xfId="0" applyFont="1" applyFill="1" applyBorder="1" applyAlignment="1" applyProtection="1">
      <alignment horizontal="center" vertical="center" wrapText="1"/>
      <protection hidden="1"/>
    </xf>
    <xf numFmtId="0" fontId="61" fillId="11" borderId="29" xfId="0" applyFont="1" applyFill="1" applyBorder="1" applyAlignment="1" applyProtection="1">
      <alignment horizontal="center" vertical="center"/>
      <protection hidden="1"/>
    </xf>
    <xf numFmtId="0" fontId="62" fillId="3" borderId="0" xfId="0" applyFont="1" applyFill="1" applyBorder="1" applyAlignment="1" applyProtection="1">
      <alignment horizontal="center" vertical="center" wrapText="1"/>
      <protection hidden="1"/>
    </xf>
    <xf numFmtId="0" fontId="63" fillId="16" borderId="0" xfId="0" applyFont="1" applyFill="1" applyBorder="1" applyAlignment="1" applyProtection="1">
      <alignment horizontal="center" vertical="center" wrapText="1"/>
      <protection hidden="1"/>
    </xf>
    <xf numFmtId="0" fontId="63" fillId="12" borderId="0" xfId="0" applyFont="1" applyFill="1" applyBorder="1" applyAlignment="1" applyProtection="1">
      <alignment horizontal="center" vertical="center" wrapText="1"/>
      <protection hidden="1"/>
    </xf>
    <xf numFmtId="0" fontId="63" fillId="13" borderId="0" xfId="0" applyFont="1" applyFill="1" applyBorder="1" applyAlignment="1" applyProtection="1">
      <alignment horizontal="center" vertical="center" wrapText="1"/>
      <protection hidden="1"/>
    </xf>
    <xf numFmtId="0" fontId="63" fillId="3" borderId="0" xfId="0" applyFont="1" applyFill="1" applyBorder="1" applyAlignment="1" applyProtection="1">
      <alignment horizontal="center" vertical="center" wrapText="1"/>
      <protection hidden="1"/>
    </xf>
    <xf numFmtId="0" fontId="61" fillId="11" borderId="0" xfId="0" applyFont="1" applyFill="1" applyBorder="1" applyAlignment="1" applyProtection="1">
      <alignment horizontal="center" vertical="center"/>
      <protection hidden="1"/>
    </xf>
    <xf numFmtId="0" fontId="61" fillId="5" borderId="0" xfId="0" applyFont="1" applyFill="1" applyBorder="1" applyAlignment="1" applyProtection="1">
      <alignment vertical="center"/>
      <protection hidden="1"/>
    </xf>
    <xf numFmtId="0" fontId="61" fillId="5" borderId="27" xfId="0" applyFont="1" applyFill="1" applyBorder="1" applyAlignment="1" applyProtection="1">
      <alignment horizontal="center" vertical="center"/>
      <protection hidden="1"/>
    </xf>
    <xf numFmtId="0" fontId="40" fillId="5" borderId="56" xfId="0" applyFont="1" applyFill="1" applyBorder="1" applyAlignment="1" applyProtection="1">
      <alignment horizontal="center" vertical="top" wrapText="1"/>
      <protection hidden="1"/>
    </xf>
    <xf numFmtId="0" fontId="61" fillId="15" borderId="24" xfId="0" applyFont="1" applyFill="1" applyBorder="1" applyAlignment="1" applyProtection="1">
      <alignment horizontal="center" vertical="center" wrapText="1"/>
      <protection hidden="1"/>
    </xf>
    <xf numFmtId="0" fontId="61" fillId="15" borderId="28" xfId="0" applyFont="1" applyFill="1" applyBorder="1" applyAlignment="1" applyProtection="1">
      <alignment horizontal="center" vertical="center" wrapText="1"/>
      <protection hidden="1"/>
    </xf>
    <xf numFmtId="0" fontId="61" fillId="2" borderId="28" xfId="0" applyFont="1" applyFill="1" applyBorder="1" applyAlignment="1" applyProtection="1">
      <alignment horizontal="center" vertical="center" wrapText="1"/>
      <protection hidden="1"/>
    </xf>
    <xf numFmtId="0" fontId="61" fillId="2" borderId="28" xfId="0" applyFont="1" applyFill="1" applyBorder="1" applyAlignment="1" applyProtection="1">
      <alignment horizontal="center" vertical="center"/>
      <protection hidden="1"/>
    </xf>
    <xf numFmtId="0" fontId="60" fillId="14" borderId="29" xfId="0" applyFont="1" applyFill="1" applyBorder="1" applyAlignment="1" applyProtection="1">
      <alignment horizontal="center" vertical="center" wrapText="1"/>
      <protection hidden="1"/>
    </xf>
    <xf numFmtId="0" fontId="60" fillId="14" borderId="29" xfId="0" applyFont="1" applyFill="1" applyBorder="1" applyAlignment="1" applyProtection="1">
      <alignment horizontal="center" vertical="center"/>
      <protection hidden="1"/>
    </xf>
    <xf numFmtId="0" fontId="61" fillId="15" borderId="29" xfId="0" applyFont="1" applyFill="1" applyBorder="1" applyAlignment="1" applyProtection="1">
      <alignment horizontal="center" vertical="center"/>
      <protection hidden="1"/>
    </xf>
    <xf numFmtId="0" fontId="61" fillId="2" borderId="29" xfId="0" applyFont="1" applyFill="1" applyBorder="1" applyAlignment="1" applyProtection="1">
      <alignment horizontal="center" vertical="center" wrapText="1"/>
      <protection hidden="1"/>
    </xf>
    <xf numFmtId="0" fontId="61" fillId="2" borderId="29" xfId="0" applyFont="1" applyFill="1" applyBorder="1" applyAlignment="1" applyProtection="1">
      <alignment horizontal="center" vertical="center"/>
      <protection hidden="1"/>
    </xf>
    <xf numFmtId="0" fontId="60" fillId="14" borderId="0" xfId="0" applyFont="1" applyFill="1" applyBorder="1" applyAlignment="1" applyProtection="1">
      <alignment horizontal="center" vertical="center" wrapText="1"/>
      <protection hidden="1"/>
    </xf>
    <xf numFmtId="0" fontId="60" fillId="14" borderId="0" xfId="0" applyFont="1" applyFill="1" applyBorder="1" applyAlignment="1" applyProtection="1">
      <alignment horizontal="center" vertical="center"/>
      <protection hidden="1"/>
    </xf>
    <xf numFmtId="0" fontId="61" fillId="15" borderId="0" xfId="0" applyFont="1" applyFill="1" applyBorder="1" applyAlignment="1" applyProtection="1">
      <alignment horizontal="center" vertical="center"/>
      <protection hidden="1"/>
    </xf>
    <xf numFmtId="0" fontId="61" fillId="15" borderId="0" xfId="0" applyFont="1" applyFill="1" applyBorder="1" applyAlignment="1" applyProtection="1">
      <alignment horizontal="center" vertical="center" wrapText="1"/>
      <protection hidden="1"/>
    </xf>
    <xf numFmtId="0" fontId="61" fillId="2" borderId="0" xfId="0" applyFont="1" applyFill="1" applyBorder="1" applyAlignment="1" applyProtection="1">
      <alignment horizontal="center" vertical="center" wrapText="1"/>
      <protection hidden="1"/>
    </xf>
    <xf numFmtId="0" fontId="61" fillId="2" borderId="0" xfId="0" applyFont="1" applyFill="1" applyBorder="1" applyAlignment="1" applyProtection="1">
      <alignment horizontal="center" vertical="center"/>
      <protection hidden="1"/>
    </xf>
    <xf numFmtId="0" fontId="61" fillId="10" borderId="28" xfId="0" applyFont="1" applyFill="1" applyBorder="1" applyAlignment="1" applyProtection="1">
      <alignment horizontal="center" vertical="center" wrapText="1"/>
      <protection hidden="1"/>
    </xf>
    <xf numFmtId="0" fontId="61" fillId="10" borderId="28" xfId="0" applyFont="1" applyFill="1" applyBorder="1" applyAlignment="1" applyProtection="1">
      <alignment horizontal="center" vertical="center"/>
      <protection hidden="1"/>
    </xf>
    <xf numFmtId="0" fontId="60" fillId="10" borderId="28" xfId="0" applyFont="1" applyFill="1" applyBorder="1" applyAlignment="1" applyProtection="1">
      <alignment horizontal="center" vertical="center" wrapText="1"/>
      <protection hidden="1"/>
    </xf>
    <xf numFmtId="0" fontId="60" fillId="10" borderId="28" xfId="0" applyFont="1" applyFill="1" applyBorder="1" applyAlignment="1" applyProtection="1">
      <alignment horizontal="center" vertical="center"/>
      <protection hidden="1"/>
    </xf>
    <xf numFmtId="0" fontId="61" fillId="2" borderId="58" xfId="0" applyFont="1" applyFill="1" applyBorder="1" applyAlignment="1" applyProtection="1">
      <alignment horizontal="center" vertical="center" wrapText="1"/>
      <protection hidden="1"/>
    </xf>
    <xf numFmtId="0" fontId="61" fillId="10" borderId="29" xfId="0" applyFont="1" applyFill="1" applyBorder="1" applyAlignment="1" applyProtection="1">
      <alignment horizontal="center" vertical="center" wrapText="1"/>
      <protection hidden="1"/>
    </xf>
    <xf numFmtId="0" fontId="61" fillId="10" borderId="29" xfId="0" applyFont="1" applyFill="1" applyBorder="1" applyAlignment="1" applyProtection="1">
      <alignment horizontal="center" vertical="center"/>
      <protection hidden="1"/>
    </xf>
    <xf numFmtId="0" fontId="60" fillId="10" borderId="29" xfId="0" applyFont="1" applyFill="1" applyBorder="1" applyAlignment="1" applyProtection="1">
      <alignment horizontal="center" vertical="center" wrapText="1"/>
      <protection hidden="1"/>
    </xf>
    <xf numFmtId="0" fontId="60" fillId="10" borderId="29" xfId="0" applyFont="1" applyFill="1" applyBorder="1" applyAlignment="1" applyProtection="1">
      <alignment horizontal="center" vertical="center"/>
      <protection hidden="1"/>
    </xf>
    <xf numFmtId="0" fontId="61" fillId="10" borderId="0" xfId="0" applyFont="1" applyFill="1" applyBorder="1" applyAlignment="1" applyProtection="1">
      <alignment horizontal="center" vertical="center" wrapText="1"/>
      <protection hidden="1"/>
    </xf>
    <xf numFmtId="0" fontId="61" fillId="10" borderId="0" xfId="0" applyFont="1" applyFill="1" applyBorder="1" applyAlignment="1" applyProtection="1">
      <alignment horizontal="center" vertical="center"/>
      <protection hidden="1"/>
    </xf>
    <xf numFmtId="0" fontId="60" fillId="10" borderId="0" xfId="0" applyFont="1" applyFill="1" applyBorder="1" applyAlignment="1" applyProtection="1">
      <alignment horizontal="center" vertical="center" wrapText="1"/>
      <protection hidden="1"/>
    </xf>
    <xf numFmtId="0" fontId="60" fillId="10" borderId="0" xfId="0" applyFont="1" applyFill="1" applyBorder="1" applyAlignment="1" applyProtection="1">
      <alignment horizontal="center" vertical="center"/>
      <protection hidden="1"/>
    </xf>
    <xf numFmtId="0" fontId="16" fillId="19" borderId="24" xfId="0" applyFont="1" applyFill="1" applyBorder="1" applyAlignment="1" applyProtection="1">
      <alignment horizontal="center" vertical="center"/>
      <protection hidden="1"/>
    </xf>
    <xf numFmtId="0" fontId="102" fillId="19" borderId="7" xfId="0" applyFont="1" applyFill="1" applyBorder="1" applyAlignment="1" applyProtection="1">
      <alignment horizontal="center" vertical="center"/>
      <protection hidden="1"/>
    </xf>
    <xf numFmtId="0" fontId="16" fillId="19" borderId="7" xfId="0" applyFont="1" applyFill="1" applyBorder="1" applyAlignment="1" applyProtection="1">
      <alignment horizontal="center" vertical="center"/>
      <protection hidden="1"/>
    </xf>
    <xf numFmtId="0" fontId="61" fillId="10" borderId="31" xfId="0" applyFont="1" applyFill="1" applyBorder="1" applyAlignment="1" applyProtection="1">
      <alignment horizontal="center" vertical="center" wrapText="1"/>
      <protection hidden="1"/>
    </xf>
    <xf numFmtId="0" fontId="16" fillId="8" borderId="28" xfId="0" applyFont="1" applyFill="1" applyBorder="1" applyAlignment="1" applyProtection="1">
      <alignment horizontal="center" vertical="center" wrapText="1"/>
      <protection hidden="1"/>
    </xf>
    <xf numFmtId="0" fontId="60" fillId="15" borderId="29" xfId="0" applyFont="1" applyFill="1" applyBorder="1" applyAlignment="1" applyProtection="1">
      <alignment horizontal="center" vertical="center" wrapText="1"/>
      <protection hidden="1"/>
    </xf>
    <xf numFmtId="0" fontId="16" fillId="8" borderId="0" xfId="0" applyFont="1" applyFill="1" applyBorder="1" applyAlignment="1" applyProtection="1">
      <alignment horizontal="center" vertical="center" wrapText="1"/>
      <protection hidden="1"/>
    </xf>
    <xf numFmtId="0" fontId="16" fillId="8" borderId="0" xfId="0" applyFont="1" applyFill="1" applyBorder="1" applyAlignment="1" applyProtection="1">
      <alignment horizontal="center" vertical="center"/>
      <protection hidden="1"/>
    </xf>
    <xf numFmtId="0" fontId="60" fillId="15" borderId="0" xfId="0" applyFont="1" applyFill="1" applyBorder="1" applyAlignment="1" applyProtection="1">
      <alignment horizontal="center" vertical="center" wrapText="1"/>
      <protection hidden="1"/>
    </xf>
    <xf numFmtId="0" fontId="16" fillId="8" borderId="28" xfId="0" applyFont="1" applyFill="1" applyBorder="1" applyAlignment="1" applyProtection="1">
      <alignment horizontal="left" vertical="center"/>
      <protection hidden="1"/>
    </xf>
    <xf numFmtId="0" fontId="15" fillId="8" borderId="0" xfId="0" applyFont="1" applyFill="1" applyBorder="1" applyAlignment="1" applyProtection="1">
      <alignment horizontal="center" vertical="center" wrapText="1"/>
      <protection hidden="1"/>
    </xf>
    <xf numFmtId="0" fontId="15" fillId="8" borderId="0" xfId="0" applyFont="1" applyFill="1" applyBorder="1" applyAlignment="1" applyProtection="1">
      <alignment horizontal="center" vertical="center"/>
      <protection hidden="1"/>
    </xf>
    <xf numFmtId="0" fontId="15" fillId="24" borderId="0" xfId="0" applyFont="1" applyFill="1" applyBorder="1" applyAlignment="1" applyProtection="1">
      <alignment horizontal="center" vertical="center"/>
      <protection hidden="1"/>
    </xf>
    <xf numFmtId="0" fontId="16" fillId="24" borderId="0" xfId="0" applyFont="1" applyFill="1" applyBorder="1" applyAlignment="1" applyProtection="1">
      <alignment horizontal="center" vertical="center"/>
      <protection hidden="1"/>
    </xf>
    <xf numFmtId="0" fontId="16" fillId="8" borderId="0" xfId="0" applyFont="1" applyFill="1" applyBorder="1" applyAlignment="1" applyProtection="1">
      <alignment vertical="center" wrapText="1"/>
      <protection hidden="1"/>
    </xf>
    <xf numFmtId="0" fontId="16" fillId="8" borderId="0" xfId="0" applyFont="1" applyFill="1" applyBorder="1" applyAlignment="1" applyProtection="1">
      <alignment vertical="center"/>
      <protection hidden="1"/>
    </xf>
    <xf numFmtId="0" fontId="18" fillId="19" borderId="28" xfId="0" applyFont="1" applyFill="1" applyBorder="1" applyAlignment="1" applyProtection="1">
      <alignment vertical="center" wrapText="1"/>
      <protection hidden="1"/>
    </xf>
    <xf numFmtId="0" fontId="18" fillId="22" borderId="28" xfId="0" applyFont="1" applyFill="1" applyBorder="1" applyAlignment="1" applyProtection="1">
      <alignment vertical="center" wrapText="1"/>
      <protection hidden="1"/>
    </xf>
    <xf numFmtId="0" fontId="18" fillId="19" borderId="58" xfId="0" applyFont="1" applyFill="1" applyBorder="1" applyAlignment="1" applyProtection="1">
      <alignment vertical="center" wrapText="1"/>
      <protection hidden="1"/>
    </xf>
    <xf numFmtId="0" fontId="15" fillId="22" borderId="29" xfId="0" applyFont="1" applyFill="1" applyBorder="1" applyAlignment="1" applyProtection="1">
      <alignment horizontal="center" vertical="center" wrapText="1"/>
      <protection hidden="1"/>
    </xf>
    <xf numFmtId="0" fontId="15" fillId="19" borderId="38" xfId="0" applyFont="1" applyFill="1" applyBorder="1" applyAlignment="1" applyProtection="1">
      <alignment horizontal="center" vertical="center" wrapText="1"/>
      <protection hidden="1"/>
    </xf>
    <xf numFmtId="0" fontId="61" fillId="15" borderId="11" xfId="0" applyFont="1" applyFill="1" applyBorder="1" applyAlignment="1" applyProtection="1">
      <alignment horizontal="center" vertical="center" wrapText="1"/>
      <protection hidden="1"/>
    </xf>
    <xf numFmtId="0" fontId="61" fillId="15" borderId="38" xfId="0" applyFont="1" applyFill="1" applyBorder="1" applyAlignment="1" applyProtection="1">
      <alignment horizontal="center" vertical="center" wrapText="1"/>
      <protection hidden="1"/>
    </xf>
    <xf numFmtId="0" fontId="61" fillId="5" borderId="0" xfId="0" applyFont="1" applyFill="1" applyBorder="1" applyAlignment="1" applyProtection="1">
      <alignment horizontal="center" vertical="center" wrapText="1"/>
      <protection hidden="1"/>
    </xf>
    <xf numFmtId="0" fontId="16" fillId="8" borderId="2" xfId="0" applyFont="1" applyFill="1" applyBorder="1" applyAlignment="1" applyProtection="1">
      <alignment horizontal="center" vertical="center"/>
      <protection locked="0"/>
    </xf>
    <xf numFmtId="1" fontId="16" fillId="8" borderId="2" xfId="0" applyNumberFormat="1" applyFont="1" applyFill="1" applyBorder="1" applyAlignment="1" applyProtection="1">
      <alignment horizontal="center" vertical="center" wrapText="1"/>
      <protection locked="0"/>
    </xf>
    <xf numFmtId="0" fontId="16" fillId="8" borderId="60" xfId="0" applyFont="1" applyFill="1" applyBorder="1" applyAlignment="1" applyProtection="1">
      <alignment horizontal="left" vertical="center"/>
      <protection hidden="1"/>
    </xf>
    <xf numFmtId="0" fontId="16" fillId="8" borderId="6" xfId="0" applyFont="1" applyFill="1" applyBorder="1" applyAlignment="1" applyProtection="1">
      <alignment horizontal="left" vertical="center"/>
      <protection hidden="1"/>
    </xf>
    <xf numFmtId="0" fontId="16" fillId="8" borderId="65" xfId="0" applyFont="1" applyFill="1" applyBorder="1" applyAlignment="1" applyProtection="1">
      <alignment horizontal="left" vertical="center"/>
      <protection hidden="1"/>
    </xf>
    <xf numFmtId="2" fontId="61" fillId="5" borderId="3" xfId="0" applyNumberFormat="1" applyFont="1" applyFill="1" applyBorder="1" applyAlignment="1" applyProtection="1">
      <alignment horizontal="center" vertical="center"/>
      <protection hidden="1"/>
    </xf>
    <xf numFmtId="2" fontId="61" fillId="5" borderId="5" xfId="0" applyNumberFormat="1" applyFont="1" applyFill="1" applyBorder="1" applyAlignment="1" applyProtection="1">
      <alignment horizontal="center" vertical="center"/>
      <protection hidden="1"/>
    </xf>
    <xf numFmtId="2" fontId="61" fillId="5" borderId="9" xfId="0" applyNumberFormat="1" applyFont="1" applyFill="1" applyBorder="1" applyAlignment="1" applyProtection="1">
      <alignment horizontal="center" vertical="center"/>
      <protection hidden="1"/>
    </xf>
    <xf numFmtId="2" fontId="61" fillId="5" borderId="29" xfId="0" applyNumberFormat="1" applyFont="1" applyFill="1" applyBorder="1" applyAlignment="1" applyProtection="1">
      <alignment horizontal="center" vertical="center"/>
      <protection hidden="1"/>
    </xf>
    <xf numFmtId="0" fontId="87" fillId="28" borderId="0" xfId="0" applyFont="1" applyFill="1" applyBorder="1" applyAlignment="1" applyProtection="1">
      <alignment horizontal="center" vertical="center" wrapText="1"/>
      <protection hidden="1"/>
    </xf>
    <xf numFmtId="0" fontId="0" fillId="9" borderId="0" xfId="0" applyFont="1" applyFill="1" applyBorder="1" applyAlignment="1" applyProtection="1">
      <alignment horizontal="center" vertical="center" wrapText="1"/>
      <protection hidden="1"/>
    </xf>
    <xf numFmtId="0" fontId="88" fillId="23" borderId="0" xfId="1" applyFont="1" applyFill="1" applyBorder="1" applyAlignment="1" applyProtection="1">
      <alignment horizontal="center" vertical="center"/>
      <protection hidden="1"/>
    </xf>
    <xf numFmtId="0" fontId="86" fillId="32" borderId="0" xfId="0" applyFont="1" applyFill="1" applyBorder="1" applyAlignment="1" applyProtection="1">
      <alignment horizontal="center" vertical="center"/>
      <protection hidden="1"/>
    </xf>
    <xf numFmtId="0" fontId="42" fillId="4" borderId="6" xfId="1" applyFont="1" applyFill="1" applyBorder="1" applyAlignment="1" applyProtection="1">
      <alignment horizontal="center" vertical="center"/>
      <protection hidden="1"/>
    </xf>
    <xf numFmtId="0" fontId="42" fillId="4" borderId="8" xfId="1" applyFont="1" applyFill="1" applyBorder="1" applyAlignment="1" applyProtection="1">
      <alignment horizontal="center" vertical="center"/>
      <protection hidden="1"/>
    </xf>
    <xf numFmtId="0" fontId="99" fillId="4" borderId="12" xfId="1" applyFont="1" applyFill="1" applyBorder="1" applyAlignment="1" applyProtection="1">
      <alignment horizontal="center" vertical="center"/>
      <protection hidden="1"/>
    </xf>
    <xf numFmtId="0" fontId="99" fillId="4" borderId="13" xfId="1" applyFont="1" applyFill="1" applyBorder="1" applyAlignment="1" applyProtection="1">
      <alignment horizontal="center" vertical="center"/>
      <protection hidden="1"/>
    </xf>
    <xf numFmtId="0" fontId="99" fillId="4" borderId="14" xfId="1" applyFont="1" applyFill="1" applyBorder="1" applyAlignment="1" applyProtection="1">
      <alignment horizontal="center" vertical="center"/>
      <protection hidden="1"/>
    </xf>
    <xf numFmtId="0" fontId="99" fillId="4" borderId="15" xfId="1" applyFont="1" applyFill="1" applyBorder="1" applyAlignment="1" applyProtection="1">
      <alignment horizontal="center" vertical="center"/>
      <protection hidden="1"/>
    </xf>
    <xf numFmtId="0" fontId="99" fillId="4" borderId="0" xfId="1" applyFont="1" applyFill="1" applyBorder="1" applyAlignment="1" applyProtection="1">
      <alignment horizontal="center" vertical="center"/>
      <protection hidden="1"/>
    </xf>
    <xf numFmtId="0" fontId="99" fillId="4" borderId="16" xfId="1" applyFont="1" applyFill="1" applyBorder="1" applyAlignment="1" applyProtection="1">
      <alignment horizontal="center" vertical="center"/>
      <protection hidden="1"/>
    </xf>
    <xf numFmtId="0" fontId="99" fillId="4" borderId="25" xfId="1" applyFont="1" applyFill="1" applyBorder="1" applyAlignment="1" applyProtection="1">
      <alignment horizontal="center" vertical="center"/>
      <protection hidden="1"/>
    </xf>
    <xf numFmtId="0" fontId="99" fillId="4" borderId="22" xfId="1" applyFont="1" applyFill="1" applyBorder="1" applyAlignment="1" applyProtection="1">
      <alignment horizontal="center" vertical="center"/>
      <protection hidden="1"/>
    </xf>
    <xf numFmtId="0" fontId="99" fillId="4" borderId="26" xfId="1" applyFont="1" applyFill="1" applyBorder="1" applyAlignment="1" applyProtection="1">
      <alignment horizontal="center" vertical="center"/>
      <protection hidden="1"/>
    </xf>
    <xf numFmtId="0" fontId="84" fillId="30" borderId="36" xfId="0" applyFont="1" applyFill="1" applyBorder="1" applyAlignment="1" applyProtection="1">
      <alignment horizontal="center" vertical="center"/>
    </xf>
    <xf numFmtId="0" fontId="38" fillId="27" borderId="10" xfId="0" applyFont="1" applyFill="1" applyBorder="1" applyAlignment="1" applyProtection="1">
      <alignment horizontal="center" vertical="center"/>
      <protection locked="0" hidden="1"/>
    </xf>
    <xf numFmtId="0" fontId="38" fillId="27" borderId="43" xfId="0" applyFont="1" applyFill="1" applyBorder="1" applyAlignment="1" applyProtection="1">
      <alignment horizontal="center" vertical="center"/>
      <protection locked="0" hidden="1"/>
    </xf>
    <xf numFmtId="0" fontId="52" fillId="27" borderId="5" xfId="0" applyFont="1" applyFill="1" applyBorder="1" applyAlignment="1" applyProtection="1">
      <alignment horizontal="center" vertical="center"/>
      <protection locked="0"/>
    </xf>
    <xf numFmtId="0" fontId="52" fillId="27" borderId="2" xfId="0" applyFont="1" applyFill="1" applyBorder="1" applyAlignment="1" applyProtection="1">
      <alignment horizontal="center" vertical="center"/>
      <protection locked="0"/>
    </xf>
    <xf numFmtId="0" fontId="38" fillId="27" borderId="2" xfId="0" applyFont="1" applyFill="1" applyBorder="1" applyAlignment="1" applyProtection="1">
      <alignment horizontal="center" vertical="center"/>
      <protection locked="0" hidden="1"/>
    </xf>
    <xf numFmtId="0" fontId="38" fillId="27" borderId="19" xfId="0" applyFont="1" applyFill="1" applyBorder="1" applyAlignment="1" applyProtection="1">
      <alignment horizontal="center" vertical="center"/>
      <protection locked="0" hidden="1"/>
    </xf>
    <xf numFmtId="0" fontId="52" fillId="27" borderId="9" xfId="0" applyFont="1" applyFill="1" applyBorder="1" applyAlignment="1" applyProtection="1">
      <alignment horizontal="center" vertical="center" wrapText="1"/>
      <protection locked="0"/>
    </xf>
    <xf numFmtId="0" fontId="52" fillId="27" borderId="10" xfId="0" applyFont="1" applyFill="1" applyBorder="1" applyAlignment="1" applyProtection="1">
      <alignment horizontal="center" vertical="center"/>
      <protection locked="0"/>
    </xf>
    <xf numFmtId="0" fontId="53" fillId="27" borderId="55" xfId="0" applyFont="1" applyFill="1" applyBorder="1" applyAlignment="1" applyProtection="1">
      <alignment horizontal="center" vertical="center" wrapText="1"/>
      <protection hidden="1"/>
    </xf>
    <xf numFmtId="0" fontId="53" fillId="27" borderId="57" xfId="0" applyFont="1" applyFill="1" applyBorder="1" applyAlignment="1" applyProtection="1">
      <alignment horizontal="center" vertical="center" wrapText="1"/>
      <protection hidden="1"/>
    </xf>
    <xf numFmtId="0" fontId="42" fillId="4" borderId="32" xfId="1" applyFont="1" applyFill="1" applyBorder="1" applyAlignment="1" applyProtection="1">
      <alignment horizontal="center" vertical="center"/>
      <protection hidden="1"/>
    </xf>
    <xf numFmtId="0" fontId="42" fillId="4" borderId="30" xfId="1" applyFont="1" applyFill="1" applyBorder="1" applyAlignment="1" applyProtection="1">
      <alignment horizontal="center" vertical="center"/>
      <protection hidden="1"/>
    </xf>
    <xf numFmtId="0" fontId="52" fillId="27" borderId="3" xfId="0" applyFont="1" applyFill="1" applyBorder="1" applyAlignment="1" applyProtection="1">
      <alignment horizontal="center" vertical="center"/>
      <protection locked="0"/>
    </xf>
    <xf numFmtId="0" fontId="52" fillId="27" borderId="4" xfId="0" applyFont="1" applyFill="1" applyBorder="1" applyAlignment="1" applyProtection="1">
      <alignment horizontal="center" vertical="center"/>
      <protection locked="0"/>
    </xf>
    <xf numFmtId="0" fontId="98" fillId="4" borderId="12" xfId="0" applyFont="1" applyFill="1" applyBorder="1" applyAlignment="1" applyProtection="1">
      <alignment horizontal="center" vertical="center"/>
      <protection hidden="1"/>
    </xf>
    <xf numFmtId="0" fontId="98" fillId="4" borderId="13" xfId="0" applyFont="1" applyFill="1" applyBorder="1" applyAlignment="1" applyProtection="1">
      <alignment horizontal="center" vertical="center"/>
      <protection hidden="1"/>
    </xf>
    <xf numFmtId="0" fontId="98" fillId="4" borderId="14" xfId="0" applyFont="1" applyFill="1" applyBorder="1" applyAlignment="1" applyProtection="1">
      <alignment horizontal="center" vertical="center"/>
      <protection hidden="1"/>
    </xf>
    <xf numFmtId="0" fontId="38" fillId="27" borderId="4" xfId="0" applyFont="1" applyFill="1" applyBorder="1" applyAlignment="1" applyProtection="1">
      <alignment horizontal="center" vertical="center"/>
      <protection locked="0" hidden="1"/>
    </xf>
    <xf numFmtId="0" fontId="38" fillId="27" borderId="17" xfId="0" applyFont="1" applyFill="1" applyBorder="1" applyAlignment="1" applyProtection="1">
      <alignment horizontal="center" vertical="center"/>
      <protection locked="0" hidden="1"/>
    </xf>
    <xf numFmtId="0" fontId="29" fillId="35" borderId="12" xfId="0" applyFont="1" applyFill="1" applyBorder="1" applyAlignment="1" applyProtection="1">
      <alignment horizontal="center" vertical="center" wrapText="1"/>
      <protection hidden="1"/>
    </xf>
    <xf numFmtId="0" fontId="29" fillId="35" borderId="13" xfId="0" applyFont="1" applyFill="1" applyBorder="1" applyAlignment="1" applyProtection="1">
      <alignment horizontal="center" vertical="center" wrapText="1"/>
      <protection hidden="1"/>
    </xf>
    <xf numFmtId="0" fontId="29" fillId="35" borderId="14" xfId="0" applyFont="1" applyFill="1" applyBorder="1" applyAlignment="1" applyProtection="1">
      <alignment horizontal="center" vertical="center" wrapText="1"/>
      <protection hidden="1"/>
    </xf>
    <xf numFmtId="0" fontId="30" fillId="4" borderId="13" xfId="0" applyFont="1" applyFill="1" applyBorder="1" applyAlignment="1" applyProtection="1">
      <alignment horizontal="center" vertical="center" wrapText="1"/>
      <protection locked="0"/>
    </xf>
    <xf numFmtId="0" fontId="39" fillId="4" borderId="30" xfId="0" applyFont="1" applyFill="1" applyBorder="1" applyAlignment="1" applyProtection="1">
      <alignment horizontal="center" vertical="center"/>
      <protection hidden="1"/>
    </xf>
    <xf numFmtId="0" fontId="39" fillId="4" borderId="29" xfId="0" applyFont="1" applyFill="1" applyBorder="1" applyAlignment="1" applyProtection="1">
      <alignment horizontal="center" vertical="center"/>
      <protection hidden="1"/>
    </xf>
    <xf numFmtId="0" fontId="82" fillId="9" borderId="35" xfId="0" applyFont="1" applyFill="1" applyBorder="1" applyAlignment="1" applyProtection="1">
      <alignment horizontal="center" vertical="center"/>
      <protection hidden="1"/>
    </xf>
    <xf numFmtId="0" fontId="82" fillId="9" borderId="36" xfId="0" applyFont="1" applyFill="1" applyBorder="1" applyAlignment="1" applyProtection="1">
      <alignment horizontal="center" vertical="center"/>
      <protection hidden="1"/>
    </xf>
    <xf numFmtId="0" fontId="82" fillId="9" borderId="37" xfId="0" applyFont="1" applyFill="1" applyBorder="1" applyAlignment="1" applyProtection="1">
      <alignment horizontal="center" vertical="center"/>
      <protection hidden="1"/>
    </xf>
    <xf numFmtId="0" fontId="28" fillId="30" borderId="35" xfId="0" applyFont="1" applyFill="1" applyBorder="1" applyAlignment="1" applyProtection="1">
      <alignment horizontal="center" vertical="center"/>
      <protection locked="0"/>
    </xf>
    <xf numFmtId="0" fontId="28" fillId="30" borderId="36" xfId="0" applyFont="1" applyFill="1" applyBorder="1" applyAlignment="1" applyProtection="1">
      <alignment horizontal="center" vertical="center"/>
      <protection locked="0"/>
    </xf>
    <xf numFmtId="0" fontId="28" fillId="30" borderId="37" xfId="0" applyFont="1" applyFill="1" applyBorder="1" applyAlignment="1" applyProtection="1">
      <alignment horizontal="center" vertical="center"/>
      <protection locked="0"/>
    </xf>
    <xf numFmtId="0" fontId="27" fillId="30" borderId="0" xfId="0" applyFont="1" applyFill="1" applyBorder="1" applyAlignment="1" applyProtection="1">
      <alignment horizontal="center" vertical="center"/>
      <protection locked="0"/>
    </xf>
    <xf numFmtId="0" fontId="1" fillId="4" borderId="35" xfId="0" applyFont="1" applyFill="1" applyBorder="1" applyAlignment="1" applyProtection="1">
      <alignment horizontal="center" vertical="center"/>
      <protection locked="0"/>
    </xf>
    <xf numFmtId="0" fontId="1" fillId="4" borderId="36" xfId="0" applyFont="1" applyFill="1" applyBorder="1" applyAlignment="1" applyProtection="1">
      <alignment horizontal="center" vertical="center"/>
      <protection locked="0"/>
    </xf>
    <xf numFmtId="0" fontId="1" fillId="4" borderId="37" xfId="0" applyFont="1" applyFill="1" applyBorder="1" applyAlignment="1" applyProtection="1">
      <alignment horizontal="center" vertical="center"/>
      <protection locked="0"/>
    </xf>
    <xf numFmtId="0" fontId="17" fillId="4" borderId="66" xfId="0" applyFont="1" applyFill="1" applyBorder="1" applyAlignment="1" applyProtection="1">
      <alignment horizontal="center" vertical="center" wrapText="1"/>
      <protection hidden="1"/>
    </xf>
    <xf numFmtId="0" fontId="17" fillId="4" borderId="67" xfId="0" applyFont="1" applyFill="1" applyBorder="1" applyAlignment="1" applyProtection="1">
      <alignment horizontal="center" vertical="center" wrapText="1"/>
      <protection hidden="1"/>
    </xf>
    <xf numFmtId="0" fontId="14" fillId="4" borderId="17" xfId="0" applyFont="1" applyFill="1" applyBorder="1" applyAlignment="1" applyProtection="1">
      <alignment horizontal="center" vertical="center"/>
      <protection locked="0"/>
    </xf>
    <xf numFmtId="0" fontId="14" fillId="4" borderId="43" xfId="0" applyFont="1" applyFill="1" applyBorder="1" applyAlignment="1" applyProtection="1">
      <alignment horizontal="center" vertical="center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" fillId="4" borderId="22" xfId="0" applyFont="1" applyFill="1" applyBorder="1" applyAlignment="1" applyProtection="1">
      <alignment horizontal="center" vertical="center"/>
      <protection locked="0"/>
    </xf>
    <xf numFmtId="0" fontId="1" fillId="4" borderId="26" xfId="0" applyFont="1" applyFill="1" applyBorder="1" applyAlignment="1" applyProtection="1">
      <alignment horizontal="center" vertical="center"/>
      <protection locked="0"/>
    </xf>
    <xf numFmtId="0" fontId="37" fillId="4" borderId="24" xfId="0" applyFont="1" applyFill="1" applyBorder="1" applyAlignment="1" applyProtection="1">
      <alignment horizontal="center" vertical="center" wrapText="1"/>
      <protection locked="0" hidden="1"/>
    </xf>
    <xf numFmtId="0" fontId="38" fillId="4" borderId="2" xfId="0" applyFont="1" applyFill="1" applyBorder="1" applyAlignment="1" applyProtection="1">
      <alignment horizontal="center" vertical="center" wrapText="1"/>
      <protection locked="0" hidden="1"/>
    </xf>
    <xf numFmtId="0" fontId="38" fillId="4" borderId="19" xfId="0" applyFont="1" applyFill="1" applyBorder="1" applyAlignment="1" applyProtection="1">
      <alignment horizontal="center" vertical="center" wrapText="1"/>
      <protection locked="0" hidden="1"/>
    </xf>
    <xf numFmtId="0" fontId="32" fillId="4" borderId="1" xfId="0" applyFont="1" applyFill="1" applyBorder="1" applyAlignment="1" applyProtection="1">
      <alignment horizontal="center" vertical="center" wrapText="1"/>
      <protection hidden="1"/>
    </xf>
    <xf numFmtId="0" fontId="32" fillId="4" borderId="54" xfId="0" applyFont="1" applyFill="1" applyBorder="1" applyAlignment="1" applyProtection="1">
      <alignment horizontal="center" vertical="center" wrapText="1"/>
      <protection hidden="1"/>
    </xf>
    <xf numFmtId="0" fontId="42" fillId="4" borderId="58" xfId="1" applyFont="1" applyFill="1" applyBorder="1" applyAlignment="1" applyProtection="1">
      <alignment horizontal="center" vertical="center"/>
      <protection hidden="1"/>
    </xf>
    <xf numFmtId="0" fontId="42" fillId="4" borderId="59" xfId="1" applyFont="1" applyFill="1" applyBorder="1" applyAlignment="1" applyProtection="1">
      <alignment horizontal="center" vertical="center"/>
      <protection hidden="1"/>
    </xf>
    <xf numFmtId="0" fontId="39" fillId="4" borderId="24" xfId="0" applyFont="1" applyFill="1" applyBorder="1" applyAlignment="1" applyProtection="1">
      <alignment horizontal="center" vertical="center"/>
      <protection hidden="1"/>
    </xf>
    <xf numFmtId="0" fontId="39" fillId="4" borderId="2" xfId="0" applyFont="1" applyFill="1" applyBorder="1" applyAlignment="1" applyProtection="1">
      <alignment horizontal="center" vertical="center"/>
      <protection hidden="1"/>
    </xf>
    <xf numFmtId="0" fontId="39" fillId="4" borderId="19" xfId="0" applyFont="1" applyFill="1" applyBorder="1" applyAlignment="1" applyProtection="1">
      <alignment horizontal="center" vertical="center"/>
      <protection hidden="1"/>
    </xf>
    <xf numFmtId="0" fontId="40" fillId="4" borderId="32" xfId="0" applyFont="1" applyFill="1" applyBorder="1" applyAlignment="1" applyProtection="1">
      <alignment horizontal="right" vertical="center"/>
      <protection hidden="1"/>
    </xf>
    <xf numFmtId="0" fontId="40" fillId="4" borderId="28" xfId="0" applyFont="1" applyFill="1" applyBorder="1" applyAlignment="1" applyProtection="1">
      <alignment horizontal="right" vertical="center"/>
      <protection hidden="1"/>
    </xf>
    <xf numFmtId="0" fontId="38" fillId="4" borderId="28" xfId="0" applyFont="1" applyFill="1" applyBorder="1" applyAlignment="1" applyProtection="1">
      <alignment horizontal="center" vertical="center"/>
      <protection locked="0" hidden="1"/>
    </xf>
    <xf numFmtId="0" fontId="38" fillId="4" borderId="46" xfId="0" applyFont="1" applyFill="1" applyBorder="1" applyAlignment="1" applyProtection="1">
      <alignment horizontal="center" vertical="center"/>
      <protection locked="0" hidden="1"/>
    </xf>
    <xf numFmtId="0" fontId="30" fillId="4" borderId="15" xfId="0" applyFont="1" applyFill="1" applyBorder="1" applyAlignment="1" applyProtection="1">
      <alignment horizontal="center" vertical="center"/>
      <protection locked="0"/>
    </xf>
    <xf numFmtId="0" fontId="31" fillId="4" borderId="0" xfId="0" applyFont="1" applyFill="1" applyBorder="1" applyProtection="1">
      <protection locked="0"/>
    </xf>
    <xf numFmtId="0" fontId="31" fillId="4" borderId="16" xfId="0" applyFont="1" applyFill="1" applyBorder="1" applyProtection="1">
      <protection locked="0"/>
    </xf>
    <xf numFmtId="0" fontId="33" fillId="4" borderId="68" xfId="0" applyFont="1" applyFill="1" applyBorder="1" applyAlignment="1" applyProtection="1">
      <alignment horizontal="center" vertical="center"/>
      <protection hidden="1"/>
    </xf>
    <xf numFmtId="0" fontId="33" fillId="4" borderId="45" xfId="0" applyFont="1" applyFill="1" applyBorder="1" applyAlignment="1" applyProtection="1">
      <alignment horizontal="center" vertical="center"/>
      <protection hidden="1"/>
    </xf>
    <xf numFmtId="0" fontId="34" fillId="4" borderId="29" xfId="0" applyFont="1" applyFill="1" applyBorder="1" applyAlignment="1" applyProtection="1">
      <alignment horizontal="center" vertical="center" wrapText="1"/>
      <protection hidden="1"/>
    </xf>
    <xf numFmtId="0" fontId="34" fillId="4" borderId="47" xfId="0" applyFont="1" applyFill="1" applyBorder="1" applyAlignment="1" applyProtection="1">
      <alignment horizontal="center" vertical="center" wrapText="1"/>
      <protection hidden="1"/>
    </xf>
    <xf numFmtId="0" fontId="35" fillId="4" borderId="21" xfId="0" applyFont="1" applyFill="1" applyBorder="1" applyAlignment="1" applyProtection="1">
      <alignment horizontal="right" vertical="center"/>
      <protection locked="0"/>
    </xf>
    <xf numFmtId="0" fontId="35" fillId="4" borderId="15" xfId="0" applyFont="1" applyFill="1" applyBorder="1" applyAlignment="1" applyProtection="1">
      <alignment horizontal="right" vertical="center"/>
      <protection locked="0"/>
    </xf>
    <xf numFmtId="0" fontId="35" fillId="4" borderId="18" xfId="0" applyFont="1" applyFill="1" applyBorder="1" applyAlignment="1" applyProtection="1">
      <alignment horizontal="right" vertical="center"/>
      <protection locked="0"/>
    </xf>
    <xf numFmtId="0" fontId="36" fillId="4" borderId="31" xfId="0" applyFont="1" applyFill="1" applyBorder="1" applyAlignment="1" applyProtection="1">
      <alignment horizontal="left" vertical="center"/>
      <protection locked="0"/>
    </xf>
    <xf numFmtId="0" fontId="36" fillId="4" borderId="27" xfId="0" applyFont="1" applyFill="1" applyBorder="1" applyAlignment="1" applyProtection="1">
      <alignment horizontal="left" vertical="center"/>
      <protection locked="0"/>
    </xf>
    <xf numFmtId="0" fontId="36" fillId="4" borderId="11" xfId="0" applyFont="1" applyFill="1" applyBorder="1" applyAlignment="1" applyProtection="1">
      <alignment horizontal="left" vertical="center"/>
      <protection locked="0"/>
    </xf>
    <xf numFmtId="0" fontId="37" fillId="4" borderId="2" xfId="0" applyFont="1" applyFill="1" applyBorder="1" applyAlignment="1" applyProtection="1">
      <alignment horizontal="center" vertical="center" wrapText="1"/>
      <protection locked="0" hidden="1"/>
    </xf>
    <xf numFmtId="0" fontId="37" fillId="4" borderId="19" xfId="0" applyFont="1" applyFill="1" applyBorder="1" applyAlignment="1" applyProtection="1">
      <alignment horizontal="center" vertical="center" wrapText="1"/>
      <protection locked="0" hidden="1"/>
    </xf>
    <xf numFmtId="0" fontId="40" fillId="4" borderId="9" xfId="0" applyFont="1" applyFill="1" applyBorder="1" applyAlignment="1" applyProtection="1">
      <alignment horizontal="center" vertical="center"/>
      <protection hidden="1"/>
    </xf>
    <xf numFmtId="0" fontId="40" fillId="4" borderId="10" xfId="0" applyFont="1" applyFill="1" applyBorder="1" applyAlignment="1" applyProtection="1">
      <alignment horizontal="center" vertical="center"/>
      <protection hidden="1"/>
    </xf>
    <xf numFmtId="0" fontId="38" fillId="4" borderId="10" xfId="0" applyFont="1" applyFill="1" applyBorder="1" applyAlignment="1" applyProtection="1">
      <alignment horizontal="center" vertical="center"/>
      <protection locked="0"/>
    </xf>
    <xf numFmtId="0" fontId="38" fillId="4" borderId="43" xfId="0" applyFont="1" applyFill="1" applyBorder="1" applyAlignment="1" applyProtection="1">
      <alignment horizontal="center" vertical="center"/>
      <protection locked="0"/>
    </xf>
    <xf numFmtId="0" fontId="40" fillId="4" borderId="18" xfId="0" applyFont="1" applyFill="1" applyBorder="1" applyAlignment="1" applyProtection="1">
      <alignment horizontal="right" vertical="center"/>
      <protection hidden="1"/>
    </xf>
    <xf numFmtId="0" fontId="40" fillId="4" borderId="11" xfId="0" applyFont="1" applyFill="1" applyBorder="1" applyAlignment="1" applyProtection="1">
      <alignment horizontal="right" vertical="center"/>
      <protection hidden="1"/>
    </xf>
    <xf numFmtId="0" fontId="38" fillId="4" borderId="29" xfId="0" applyFont="1" applyFill="1" applyBorder="1" applyAlignment="1" applyProtection="1">
      <alignment horizontal="center" vertical="center"/>
      <protection locked="0" hidden="1"/>
    </xf>
    <xf numFmtId="0" fontId="38" fillId="4" borderId="47" xfId="0" applyFont="1" applyFill="1" applyBorder="1" applyAlignment="1" applyProtection="1">
      <alignment horizontal="center" vertical="center"/>
      <protection locked="0" hidden="1"/>
    </xf>
    <xf numFmtId="0" fontId="40" fillId="4" borderId="23" xfId="0" applyFont="1" applyFill="1" applyBorder="1" applyAlignment="1" applyProtection="1">
      <alignment horizontal="right" vertical="center"/>
      <protection hidden="1"/>
    </xf>
    <xf numFmtId="0" fontId="40" fillId="4" borderId="24" xfId="0" applyFont="1" applyFill="1" applyBorder="1" applyAlignment="1" applyProtection="1">
      <alignment horizontal="right" vertical="center"/>
      <protection hidden="1"/>
    </xf>
    <xf numFmtId="0" fontId="38" fillId="4" borderId="2" xfId="0" applyFont="1" applyFill="1" applyBorder="1" applyAlignment="1" applyProtection="1">
      <alignment horizontal="center" vertical="center"/>
      <protection locked="0" hidden="1"/>
    </xf>
    <xf numFmtId="0" fontId="38" fillId="4" borderId="19" xfId="0" applyFont="1" applyFill="1" applyBorder="1" applyAlignment="1" applyProtection="1">
      <alignment horizontal="center" vertical="center"/>
      <protection locked="0" hidden="1"/>
    </xf>
    <xf numFmtId="0" fontId="79" fillId="7" borderId="1" xfId="0" applyFont="1" applyFill="1" applyBorder="1" applyAlignment="1" applyProtection="1">
      <alignment horizontal="center"/>
      <protection hidden="1"/>
    </xf>
    <xf numFmtId="0" fontId="13" fillId="4" borderId="0" xfId="0" applyFont="1" applyFill="1" applyAlignment="1" applyProtection="1">
      <alignment horizontal="center"/>
      <protection hidden="1"/>
    </xf>
    <xf numFmtId="0" fontId="85" fillId="7" borderId="0" xfId="0" applyFont="1" applyFill="1" applyAlignment="1" applyProtection="1">
      <alignment horizontal="center"/>
      <protection hidden="1"/>
    </xf>
    <xf numFmtId="0" fontId="45" fillId="35" borderId="0" xfId="0" applyFont="1" applyFill="1" applyAlignment="1" applyProtection="1">
      <alignment horizontal="center"/>
      <protection hidden="1"/>
    </xf>
    <xf numFmtId="0" fontId="80" fillId="35" borderId="1" xfId="0" applyFont="1" applyFill="1" applyBorder="1" applyAlignment="1" applyProtection="1">
      <alignment horizontal="center"/>
      <protection hidden="1"/>
    </xf>
    <xf numFmtId="0" fontId="47" fillId="8" borderId="52" xfId="0" applyFont="1" applyFill="1" applyBorder="1" applyAlignment="1" applyProtection="1">
      <alignment horizontal="center" vertical="center" wrapText="1"/>
      <protection hidden="1"/>
    </xf>
    <xf numFmtId="0" fontId="47" fillId="8" borderId="53" xfId="0" applyFont="1" applyFill="1" applyBorder="1" applyAlignment="1" applyProtection="1">
      <alignment horizontal="center" vertical="center" wrapText="1"/>
      <protection hidden="1"/>
    </xf>
    <xf numFmtId="0" fontId="47" fillId="8" borderId="20" xfId="0" applyFont="1" applyFill="1" applyBorder="1" applyAlignment="1" applyProtection="1">
      <alignment horizontal="center" vertical="center" wrapText="1"/>
      <protection hidden="1"/>
    </xf>
    <xf numFmtId="0" fontId="27" fillId="8" borderId="35" xfId="0" applyFont="1" applyFill="1" applyBorder="1" applyAlignment="1" applyProtection="1">
      <alignment horizontal="center" vertical="center"/>
      <protection hidden="1"/>
    </xf>
    <xf numFmtId="0" fontId="27" fillId="8" borderId="36" xfId="0" applyFont="1" applyFill="1" applyBorder="1" applyAlignment="1" applyProtection="1">
      <alignment horizontal="center" vertical="center"/>
      <protection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2" xfId="0" applyFont="1" applyFill="1" applyBorder="1" applyAlignment="1" applyProtection="1">
      <alignment horizontal="center" vertical="center" wrapText="1"/>
      <protection hidden="1"/>
    </xf>
    <xf numFmtId="0" fontId="16" fillId="4" borderId="36" xfId="0" applyFont="1" applyFill="1" applyBorder="1" applyAlignment="1" applyProtection="1">
      <alignment horizontal="center"/>
      <protection hidden="1"/>
    </xf>
    <xf numFmtId="0" fontId="16" fillId="4" borderId="37" xfId="0" applyFont="1" applyFill="1" applyBorder="1" applyAlignment="1" applyProtection="1">
      <alignment horizontal="center"/>
      <protection hidden="1"/>
    </xf>
    <xf numFmtId="0" fontId="50" fillId="35" borderId="12" xfId="0" applyFont="1" applyFill="1" applyBorder="1" applyAlignment="1" applyProtection="1">
      <alignment horizontal="center" vertical="center" wrapText="1"/>
      <protection hidden="1"/>
    </xf>
    <xf numFmtId="0" fontId="50" fillId="35" borderId="13" xfId="0" applyFont="1" applyFill="1" applyBorder="1" applyAlignment="1" applyProtection="1">
      <alignment horizontal="center" vertical="center" wrapText="1"/>
      <protection hidden="1"/>
    </xf>
    <xf numFmtId="0" fontId="50" fillId="35" borderId="14" xfId="0" applyFont="1" applyFill="1" applyBorder="1" applyAlignment="1" applyProtection="1">
      <alignment horizontal="center" vertical="center" wrapText="1"/>
      <protection hidden="1"/>
    </xf>
    <xf numFmtId="0" fontId="49" fillId="35" borderId="25" xfId="0" applyFont="1" applyFill="1" applyBorder="1" applyAlignment="1" applyProtection="1">
      <alignment horizontal="center" vertical="center" wrapText="1"/>
      <protection hidden="1"/>
    </xf>
    <xf numFmtId="0" fontId="49" fillId="35" borderId="22" xfId="0" applyFont="1" applyFill="1" applyBorder="1" applyAlignment="1" applyProtection="1">
      <alignment horizontal="center" vertical="center" wrapText="1"/>
      <protection hidden="1"/>
    </xf>
    <xf numFmtId="0" fontId="49" fillId="35" borderId="26" xfId="0" applyFont="1" applyFill="1" applyBorder="1" applyAlignment="1" applyProtection="1">
      <alignment horizontal="center" vertical="center" wrapText="1"/>
      <protection hidden="1"/>
    </xf>
    <xf numFmtId="0" fontId="17" fillId="8" borderId="35" xfId="0" applyFont="1" applyFill="1" applyBorder="1" applyAlignment="1" applyProtection="1">
      <alignment horizontal="center" vertical="center"/>
      <protection locked="0"/>
    </xf>
    <xf numFmtId="0" fontId="17" fillId="8" borderId="36" xfId="0" applyFont="1" applyFill="1" applyBorder="1" applyAlignment="1" applyProtection="1">
      <alignment horizontal="center" vertical="center"/>
      <protection locked="0"/>
    </xf>
    <xf numFmtId="0" fontId="17" fillId="8" borderId="37" xfId="0" applyFont="1" applyFill="1" applyBorder="1" applyAlignment="1" applyProtection="1">
      <alignment horizontal="center" vertical="center"/>
      <protection locked="0"/>
    </xf>
    <xf numFmtId="0" fontId="15" fillId="8" borderId="23" xfId="0" applyFont="1" applyFill="1" applyBorder="1" applyAlignment="1" applyProtection="1">
      <alignment horizontal="right" vertical="center" wrapText="1"/>
      <protection hidden="1"/>
    </xf>
    <xf numFmtId="0" fontId="15" fillId="8" borderId="7" xfId="0" applyFont="1" applyFill="1" applyBorder="1" applyAlignment="1" applyProtection="1">
      <alignment horizontal="right" vertical="center" wrapText="1"/>
      <protection hidden="1"/>
    </xf>
    <xf numFmtId="0" fontId="15" fillId="8" borderId="24" xfId="0" applyFont="1" applyFill="1" applyBorder="1" applyAlignment="1" applyProtection="1">
      <alignment horizontal="right" vertical="center" wrapText="1"/>
      <protection hidden="1"/>
    </xf>
    <xf numFmtId="0" fontId="14" fillId="8" borderId="35" xfId="0" applyFont="1" applyFill="1" applyBorder="1" applyAlignment="1" applyProtection="1">
      <alignment horizontal="center" vertical="center"/>
      <protection hidden="1"/>
    </xf>
    <xf numFmtId="0" fontId="14" fillId="8" borderId="36" xfId="0" applyFont="1" applyFill="1" applyBorder="1" applyAlignment="1" applyProtection="1">
      <alignment horizontal="center" vertical="center"/>
      <protection hidden="1"/>
    </xf>
    <xf numFmtId="0" fontId="14" fillId="8" borderId="37" xfId="0" applyFont="1" applyFill="1" applyBorder="1" applyAlignment="1" applyProtection="1">
      <alignment horizontal="center" vertical="center"/>
      <protection hidden="1"/>
    </xf>
    <xf numFmtId="0" fontId="16" fillId="4" borderId="36" xfId="0" applyFont="1" applyFill="1" applyBorder="1" applyAlignment="1" applyProtection="1">
      <alignment horizontal="left" vertical="center"/>
      <protection hidden="1"/>
    </xf>
    <xf numFmtId="0" fontId="16" fillId="4" borderId="37" xfId="0" applyFont="1" applyFill="1" applyBorder="1" applyAlignment="1" applyProtection="1">
      <alignment horizontal="left" vertical="center"/>
      <protection hidden="1"/>
    </xf>
    <xf numFmtId="0" fontId="49" fillId="35" borderId="0" xfId="0" applyFont="1" applyFill="1" applyBorder="1" applyAlignment="1" applyProtection="1">
      <alignment horizontal="center" vertical="center" wrapText="1"/>
      <protection hidden="1"/>
    </xf>
    <xf numFmtId="0" fontId="49" fillId="35" borderId="16" xfId="0" applyFont="1" applyFill="1" applyBorder="1" applyAlignment="1" applyProtection="1">
      <alignment horizontal="center" vertical="center" wrapText="1"/>
      <protection hidden="1"/>
    </xf>
    <xf numFmtId="0" fontId="17" fillId="8" borderId="35" xfId="0" applyFont="1" applyFill="1" applyBorder="1" applyAlignment="1" applyProtection="1">
      <alignment horizontal="center" vertical="center"/>
      <protection hidden="1"/>
    </xf>
    <xf numFmtId="0" fontId="17" fillId="8" borderId="36" xfId="0" applyFont="1" applyFill="1" applyBorder="1" applyAlignment="1" applyProtection="1">
      <alignment horizontal="center" vertical="center"/>
      <protection hidden="1"/>
    </xf>
    <xf numFmtId="0" fontId="17" fillId="8" borderId="37" xfId="0" applyFont="1" applyFill="1" applyBorder="1" applyAlignment="1" applyProtection="1">
      <alignment horizontal="center" vertical="center"/>
      <protection hidden="1"/>
    </xf>
    <xf numFmtId="0" fontId="52" fillId="8" borderId="5" xfId="0" applyFont="1" applyFill="1" applyBorder="1" applyAlignment="1" applyProtection="1">
      <alignment horizontal="center" vertical="center" wrapText="1"/>
      <protection hidden="1"/>
    </xf>
    <xf numFmtId="0" fontId="52" fillId="8" borderId="2" xfId="0" applyFont="1" applyFill="1" applyBorder="1" applyAlignment="1" applyProtection="1">
      <alignment horizontal="center" vertical="center" wrapText="1"/>
      <protection hidden="1"/>
    </xf>
    <xf numFmtId="0" fontId="48" fillId="35" borderId="0" xfId="0" applyFont="1" applyFill="1" applyBorder="1" applyAlignment="1" applyProtection="1">
      <alignment horizontal="center" vertical="center" wrapText="1"/>
      <protection hidden="1"/>
    </xf>
    <xf numFmtId="0" fontId="48" fillId="35" borderId="27" xfId="0" applyFont="1" applyFill="1" applyBorder="1" applyAlignment="1" applyProtection="1">
      <alignment horizontal="center" vertical="center" wrapText="1"/>
      <protection hidden="1"/>
    </xf>
    <xf numFmtId="0" fontId="32" fillId="8" borderId="3" xfId="0" applyFont="1" applyFill="1" applyBorder="1" applyAlignment="1" applyProtection="1">
      <alignment horizontal="center" vertical="center" wrapText="1"/>
      <protection hidden="1"/>
    </xf>
    <xf numFmtId="0" fontId="32" fillId="8" borderId="5" xfId="0" applyFont="1" applyFill="1" applyBorder="1" applyAlignment="1" applyProtection="1">
      <alignment horizontal="center" vertical="center" wrapText="1"/>
      <protection hidden="1"/>
    </xf>
    <xf numFmtId="0" fontId="32" fillId="8" borderId="4" xfId="0" applyFont="1" applyFill="1" applyBorder="1" applyAlignment="1" applyProtection="1">
      <alignment horizontal="center" vertical="center" wrapText="1"/>
      <protection hidden="1"/>
    </xf>
    <xf numFmtId="0" fontId="32" fillId="8" borderId="2" xfId="0" applyFont="1" applyFill="1" applyBorder="1" applyAlignment="1" applyProtection="1">
      <alignment horizontal="center" vertical="center" wrapText="1"/>
      <protection hidden="1"/>
    </xf>
    <xf numFmtId="0" fontId="33" fillId="8" borderId="4" xfId="0" applyFont="1" applyFill="1" applyBorder="1" applyAlignment="1" applyProtection="1">
      <alignment horizontal="center" vertical="center" wrapText="1"/>
      <protection hidden="1"/>
    </xf>
    <xf numFmtId="0" fontId="52" fillId="8" borderId="17" xfId="0" applyFont="1" applyFill="1" applyBorder="1" applyAlignment="1" applyProtection="1">
      <alignment horizontal="center" vertical="center" wrapText="1"/>
      <protection hidden="1"/>
    </xf>
    <xf numFmtId="0" fontId="52" fillId="8" borderId="19" xfId="0" applyFont="1" applyFill="1" applyBorder="1" applyAlignment="1" applyProtection="1">
      <alignment horizontal="center" vertical="center" wrapText="1"/>
      <protection hidden="1"/>
    </xf>
    <xf numFmtId="0" fontId="51" fillId="4" borderId="0" xfId="0" applyFont="1" applyFill="1" applyBorder="1" applyAlignment="1" applyProtection="1">
      <alignment horizontal="right"/>
      <protection hidden="1"/>
    </xf>
    <xf numFmtId="0" fontId="27" fillId="4" borderId="1" xfId="0" applyFont="1" applyFill="1" applyBorder="1" applyAlignment="1" applyProtection="1">
      <alignment horizontal="right" vertical="center"/>
      <protection hidden="1"/>
    </xf>
    <xf numFmtId="0" fontId="50" fillId="35" borderId="0" xfId="0" applyFont="1" applyFill="1" applyAlignment="1" applyProtection="1">
      <alignment horizontal="center" vertical="center" wrapText="1"/>
      <protection hidden="1"/>
    </xf>
    <xf numFmtId="0" fontId="49" fillId="35" borderId="0" xfId="0" applyFont="1" applyFill="1" applyAlignment="1" applyProtection="1">
      <alignment horizontal="center" vertical="center" wrapText="1"/>
      <protection hidden="1"/>
    </xf>
    <xf numFmtId="0" fontId="16" fillId="4" borderId="0" xfId="0" applyFont="1" applyFill="1" applyBorder="1" applyAlignment="1" applyProtection="1">
      <alignment horizontal="right" vertical="center"/>
      <protection hidden="1"/>
    </xf>
    <xf numFmtId="0" fontId="17" fillId="0" borderId="0" xfId="0" applyFont="1" applyBorder="1" applyAlignment="1" applyProtection="1">
      <alignment horizontal="center" vertical="center"/>
      <protection hidden="1"/>
    </xf>
    <xf numFmtId="0" fontId="17" fillId="0" borderId="16" xfId="0" applyFont="1" applyBorder="1" applyAlignment="1" applyProtection="1">
      <alignment horizontal="center" vertical="center"/>
      <protection hidden="1"/>
    </xf>
    <xf numFmtId="0" fontId="18" fillId="0" borderId="15" xfId="0" applyFont="1" applyBorder="1" applyAlignment="1" applyProtection="1">
      <alignment horizontal="left" vertical="center"/>
      <protection hidden="1"/>
    </xf>
    <xf numFmtId="0" fontId="18" fillId="0" borderId="0" xfId="0" applyFont="1" applyBorder="1" applyAlignment="1" applyProtection="1">
      <alignment horizontal="left" vertical="center"/>
      <protection hidden="1"/>
    </xf>
    <xf numFmtId="0" fontId="17" fillId="0" borderId="0" xfId="0" applyFont="1" applyBorder="1" applyAlignment="1" applyProtection="1">
      <alignment horizontal="left" vertical="center"/>
      <protection hidden="1"/>
    </xf>
    <xf numFmtId="0" fontId="17" fillId="0" borderId="0" xfId="0" applyFont="1" applyBorder="1" applyAlignment="1" applyProtection="1">
      <alignment horizontal="center"/>
      <protection hidden="1"/>
    </xf>
    <xf numFmtId="0" fontId="17" fillId="0" borderId="16" xfId="0" applyFont="1" applyBorder="1" applyAlignment="1" applyProtection="1">
      <alignment horizontal="center"/>
      <protection hidden="1"/>
    </xf>
    <xf numFmtId="0" fontId="27" fillId="0" borderId="13" xfId="0" applyFont="1" applyBorder="1" applyAlignment="1" applyProtection="1">
      <alignment horizontal="center" vertical="center" wrapText="1"/>
      <protection hidden="1"/>
    </xf>
    <xf numFmtId="0" fontId="17" fillId="0" borderId="0" xfId="0" applyFont="1" applyBorder="1" applyAlignment="1" applyProtection="1">
      <alignment horizontal="center" vertical="center" wrapText="1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0" fontId="16" fillId="0" borderId="0" xfId="0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center" vertical="center"/>
      <protection hidden="1"/>
    </xf>
    <xf numFmtId="0" fontId="15" fillId="0" borderId="15" xfId="0" applyFont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left" vertical="center"/>
      <protection hidden="1"/>
    </xf>
    <xf numFmtId="0" fontId="15" fillId="0" borderId="16" xfId="0" applyFont="1" applyBorder="1" applyAlignment="1" applyProtection="1">
      <alignment horizontal="left" vertical="center"/>
      <protection hidden="1"/>
    </xf>
    <xf numFmtId="167" fontId="17" fillId="0" borderId="0" xfId="0" applyNumberFormat="1" applyFont="1" applyBorder="1" applyAlignment="1" applyProtection="1">
      <alignment horizontal="left" vertical="center"/>
      <protection hidden="1"/>
    </xf>
    <xf numFmtId="0" fontId="17" fillId="0" borderId="0" xfId="0" applyFont="1" applyBorder="1" applyAlignment="1" applyProtection="1">
      <alignment horizontal="left" vertical="center"/>
      <protection locked="0"/>
    </xf>
    <xf numFmtId="0" fontId="16" fillId="0" borderId="2" xfId="0" applyFont="1" applyBorder="1" applyAlignment="1" applyProtection="1">
      <alignment horizontal="center"/>
      <protection hidden="1"/>
    </xf>
    <xf numFmtId="0" fontId="16" fillId="0" borderId="19" xfId="0" applyFont="1" applyBorder="1" applyAlignment="1" applyProtection="1">
      <alignment horizontal="center"/>
      <protection hidden="1"/>
    </xf>
    <xf numFmtId="0" fontId="16" fillId="0" borderId="5" xfId="0" applyFont="1" applyFill="1" applyBorder="1" applyAlignment="1" applyProtection="1">
      <alignment horizontal="left" vertical="center"/>
      <protection hidden="1"/>
    </xf>
    <xf numFmtId="0" fontId="16" fillId="0" borderId="2" xfId="0" applyFont="1" applyFill="1" applyBorder="1" applyAlignment="1" applyProtection="1">
      <alignment horizontal="left" vertical="center"/>
      <protection hidden="1"/>
    </xf>
    <xf numFmtId="0" fontId="16" fillId="0" borderId="2" xfId="0" applyFont="1" applyBorder="1" applyAlignment="1" applyProtection="1">
      <alignment horizontal="center" vertical="center" wrapText="1"/>
      <protection hidden="1"/>
    </xf>
    <xf numFmtId="0" fontId="19" fillId="0" borderId="2" xfId="0" applyFont="1" applyBorder="1" applyAlignment="1" applyProtection="1">
      <alignment horizontal="center" vertical="center" wrapText="1"/>
      <protection hidden="1"/>
    </xf>
    <xf numFmtId="0" fontId="19" fillId="0" borderId="28" xfId="0" applyFont="1" applyBorder="1" applyAlignment="1" applyProtection="1">
      <alignment horizontal="center" vertical="center" wrapText="1"/>
      <protection hidden="1"/>
    </xf>
    <xf numFmtId="0" fontId="19" fillId="0" borderId="29" xfId="0" applyFont="1" applyBorder="1" applyAlignment="1" applyProtection="1">
      <alignment horizontal="center" vertical="center" wrapText="1"/>
      <protection hidden="1"/>
    </xf>
    <xf numFmtId="0" fontId="16" fillId="0" borderId="2" xfId="0" applyFont="1" applyBorder="1" applyAlignment="1" applyProtection="1">
      <alignment horizontal="center" vertical="center"/>
      <protection hidden="1"/>
    </xf>
    <xf numFmtId="0" fontId="16" fillId="0" borderId="19" xfId="0" applyFont="1" applyBorder="1" applyAlignment="1" applyProtection="1">
      <alignment horizontal="center" vertical="center"/>
      <protection hidden="1"/>
    </xf>
    <xf numFmtId="167" fontId="17" fillId="0" borderId="0" xfId="0" applyNumberFormat="1" applyFont="1" applyBorder="1" applyAlignment="1" applyProtection="1">
      <alignment horizontal="right" vertical="center"/>
      <protection hidden="1"/>
    </xf>
    <xf numFmtId="0" fontId="17" fillId="0" borderId="0" xfId="0" applyFont="1" applyBorder="1" applyAlignment="1" applyProtection="1">
      <alignment horizontal="right" vertical="center"/>
      <protection hidden="1"/>
    </xf>
    <xf numFmtId="1" fontId="17" fillId="0" borderId="0" xfId="0" applyNumberFormat="1" applyFont="1" applyBorder="1" applyAlignment="1" applyProtection="1">
      <alignment horizontal="center" vertical="center"/>
      <protection hidden="1"/>
    </xf>
    <xf numFmtId="1" fontId="17" fillId="0" borderId="16" xfId="0" applyNumberFormat="1" applyFont="1" applyBorder="1" applyAlignment="1" applyProtection="1">
      <alignment horizontal="center" vertical="center"/>
      <protection hidden="1"/>
    </xf>
    <xf numFmtId="0" fontId="16" fillId="0" borderId="5" xfId="0" applyFont="1" applyBorder="1" applyAlignment="1" applyProtection="1">
      <alignment horizontal="left"/>
      <protection hidden="1"/>
    </xf>
    <xf numFmtId="0" fontId="16" fillId="0" borderId="2" xfId="0" applyFont="1" applyBorder="1" applyAlignment="1" applyProtection="1">
      <alignment horizontal="left"/>
      <protection hidden="1"/>
    </xf>
    <xf numFmtId="165" fontId="23" fillId="0" borderId="2" xfId="0" applyNumberFormat="1" applyFont="1" applyBorder="1" applyAlignment="1" applyProtection="1">
      <alignment horizontal="center"/>
      <protection hidden="1"/>
    </xf>
    <xf numFmtId="0" fontId="15" fillId="0" borderId="2" xfId="0" applyFont="1" applyBorder="1" applyAlignment="1" applyProtection="1">
      <alignment horizontal="center"/>
      <protection hidden="1"/>
    </xf>
    <xf numFmtId="165" fontId="23" fillId="0" borderId="6" xfId="0" applyNumberFormat="1" applyFont="1" applyBorder="1" applyAlignment="1" applyProtection="1">
      <alignment horizontal="center"/>
      <protection hidden="1"/>
    </xf>
    <xf numFmtId="165" fontId="23" fillId="0" borderId="7" xfId="0" applyNumberFormat="1" applyFont="1" applyBorder="1" applyAlignment="1" applyProtection="1">
      <alignment horizontal="center"/>
      <protection hidden="1"/>
    </xf>
    <xf numFmtId="165" fontId="23" fillId="0" borderId="24" xfId="0" applyNumberFormat="1" applyFont="1" applyBorder="1" applyAlignment="1" applyProtection="1">
      <alignment horizontal="center"/>
      <protection hidden="1"/>
    </xf>
    <xf numFmtId="0" fontId="16" fillId="0" borderId="48" xfId="0" applyFont="1" applyBorder="1" applyAlignment="1" applyProtection="1">
      <alignment horizontal="left"/>
      <protection hidden="1"/>
    </xf>
    <xf numFmtId="0" fontId="16" fillId="0" borderId="49" xfId="0" applyFont="1" applyBorder="1" applyAlignment="1" applyProtection="1">
      <alignment horizontal="left"/>
      <protection hidden="1"/>
    </xf>
    <xf numFmtId="0" fontId="16" fillId="0" borderId="50" xfId="0" applyFont="1" applyBorder="1" applyAlignment="1" applyProtection="1">
      <alignment horizontal="left"/>
      <protection hidden="1"/>
    </xf>
    <xf numFmtId="0" fontId="16" fillId="0" borderId="40" xfId="0" applyFont="1" applyBorder="1" applyAlignment="1" applyProtection="1">
      <alignment horizontal="center"/>
      <protection hidden="1"/>
    </xf>
    <xf numFmtId="0" fontId="16" fillId="0" borderId="41" xfId="0" applyFont="1" applyBorder="1" applyAlignment="1" applyProtection="1">
      <alignment horizontal="center"/>
      <protection hidden="1"/>
    </xf>
    <xf numFmtId="0" fontId="16" fillId="0" borderId="66" xfId="0" applyFont="1" applyBorder="1" applyAlignment="1" applyProtection="1">
      <alignment horizontal="center"/>
      <protection hidden="1"/>
    </xf>
    <xf numFmtId="0" fontId="16" fillId="0" borderId="4" xfId="0" applyFont="1" applyBorder="1" applyAlignment="1" applyProtection="1">
      <alignment horizontal="center"/>
      <protection hidden="1"/>
    </xf>
    <xf numFmtId="0" fontId="16" fillId="0" borderId="17" xfId="0" applyFont="1" applyBorder="1" applyAlignment="1" applyProtection="1">
      <alignment horizontal="center"/>
      <protection hidden="1"/>
    </xf>
    <xf numFmtId="0" fontId="23" fillId="0" borderId="5" xfId="0" applyFont="1" applyBorder="1" applyAlignment="1" applyProtection="1">
      <alignment horizontal="left" vertical="center"/>
      <protection hidden="1"/>
    </xf>
    <xf numFmtId="0" fontId="23" fillId="0" borderId="2" xfId="0" applyFont="1" applyBorder="1" applyAlignment="1" applyProtection="1">
      <alignment horizontal="left" vertical="center"/>
      <protection hidden="1"/>
    </xf>
    <xf numFmtId="0" fontId="15" fillId="0" borderId="2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6" fillId="0" borderId="35" xfId="0" applyFont="1" applyBorder="1" applyAlignment="1" applyProtection="1">
      <alignment horizontal="left"/>
      <protection hidden="1"/>
    </xf>
    <xf numFmtId="0" fontId="16" fillId="0" borderId="36" xfId="0" applyFont="1" applyBorder="1" applyAlignment="1" applyProtection="1">
      <alignment horizontal="left"/>
      <protection hidden="1"/>
    </xf>
    <xf numFmtId="0" fontId="16" fillId="0" borderId="37" xfId="0" applyFont="1" applyBorder="1" applyAlignment="1" applyProtection="1">
      <alignment horizontal="left"/>
      <protection hidden="1"/>
    </xf>
    <xf numFmtId="165" fontId="23" fillId="0" borderId="49" xfId="0" applyNumberFormat="1" applyFont="1" applyBorder="1" applyAlignment="1" applyProtection="1">
      <alignment horizontal="center"/>
      <protection hidden="1"/>
    </xf>
    <xf numFmtId="0" fontId="15" fillId="0" borderId="49" xfId="0" applyFont="1" applyBorder="1" applyAlignment="1" applyProtection="1">
      <alignment horizontal="center"/>
      <protection hidden="1"/>
    </xf>
    <xf numFmtId="0" fontId="15" fillId="0" borderId="50" xfId="0" applyFont="1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10" fillId="0" borderId="0" xfId="0" applyFont="1" applyBorder="1" applyAlignment="1" applyProtection="1">
      <alignment horizontal="center" vertical="center"/>
      <protection hidden="1"/>
    </xf>
    <xf numFmtId="0" fontId="10" fillId="0" borderId="16" xfId="0" applyFont="1" applyBorder="1" applyAlignment="1" applyProtection="1">
      <alignment horizontal="center" vertical="center"/>
      <protection hidden="1"/>
    </xf>
    <xf numFmtId="0" fontId="10" fillId="0" borderId="0" xfId="0" applyFont="1" applyBorder="1" applyAlignment="1" applyProtection="1">
      <alignment horizontal="center" vertical="top" wrapText="1"/>
      <protection hidden="1"/>
    </xf>
    <xf numFmtId="0" fontId="11" fillId="0" borderId="0" xfId="0" applyFont="1" applyBorder="1" applyAlignment="1" applyProtection="1">
      <alignment horizontal="center"/>
      <protection hidden="1"/>
    </xf>
    <xf numFmtId="0" fontId="11" fillId="0" borderId="16" xfId="0" applyFont="1" applyBorder="1" applyAlignment="1" applyProtection="1">
      <alignment horizontal="center"/>
      <protection hidden="1"/>
    </xf>
    <xf numFmtId="0" fontId="13" fillId="0" borderId="15" xfId="0" applyFont="1" applyBorder="1" applyAlignment="1" applyProtection="1">
      <alignment horizontal="center"/>
      <protection hidden="1"/>
    </xf>
    <xf numFmtId="0" fontId="13" fillId="0" borderId="0" xfId="0" applyFont="1" applyBorder="1" applyAlignment="1" applyProtection="1">
      <alignment horizontal="center"/>
      <protection hidden="1"/>
    </xf>
    <xf numFmtId="0" fontId="13" fillId="0" borderId="16" xfId="0" applyFont="1" applyBorder="1" applyAlignment="1" applyProtection="1">
      <alignment horizontal="center"/>
      <protection hidden="1"/>
    </xf>
    <xf numFmtId="0" fontId="13" fillId="0" borderId="15" xfId="0" applyFont="1" applyBorder="1" applyAlignment="1" applyProtection="1">
      <alignment horizontal="left"/>
      <protection hidden="1"/>
    </xf>
    <xf numFmtId="0" fontId="13" fillId="0" borderId="0" xfId="0" applyFont="1" applyBorder="1" applyAlignment="1" applyProtection="1">
      <alignment horizontal="left"/>
      <protection hidden="1"/>
    </xf>
    <xf numFmtId="0" fontId="77" fillId="0" borderId="0" xfId="0" applyFont="1" applyBorder="1" applyAlignment="1" applyProtection="1">
      <alignment horizontal="left" vertical="top" wrapText="1"/>
      <protection hidden="1"/>
    </xf>
    <xf numFmtId="0" fontId="77" fillId="0" borderId="16" xfId="0" applyFont="1" applyBorder="1" applyAlignment="1" applyProtection="1">
      <alignment horizontal="left" vertical="top" wrapText="1"/>
      <protection hidden="1"/>
    </xf>
    <xf numFmtId="0" fontId="15" fillId="0" borderId="15" xfId="0" applyFont="1" applyBorder="1" applyAlignment="1" applyProtection="1">
      <alignment horizontal="left" vertical="center"/>
      <protection hidden="1"/>
    </xf>
    <xf numFmtId="0" fontId="21" fillId="0" borderId="0" xfId="0" applyFont="1" applyBorder="1" applyAlignment="1" applyProtection="1">
      <alignment horizontal="center" vertical="center" wrapText="1"/>
      <protection hidden="1"/>
    </xf>
    <xf numFmtId="0" fontId="16" fillId="0" borderId="15" xfId="0" applyFont="1" applyBorder="1" applyAlignment="1" applyProtection="1">
      <alignment horizontal="center" vertical="center"/>
      <protection hidden="1"/>
    </xf>
    <xf numFmtId="0" fontId="16" fillId="0" borderId="15" xfId="0" applyFont="1" applyBorder="1" applyAlignment="1" applyProtection="1">
      <alignment horizontal="center"/>
      <protection hidden="1"/>
    </xf>
    <xf numFmtId="0" fontId="16" fillId="0" borderId="0" xfId="0" applyFont="1" applyBorder="1" applyAlignment="1" applyProtection="1">
      <alignment horizontal="center"/>
      <protection hidden="1"/>
    </xf>
    <xf numFmtId="166" fontId="15" fillId="0" borderId="0" xfId="0" applyNumberFormat="1" applyFont="1" applyBorder="1" applyAlignment="1" applyProtection="1">
      <alignment horizontal="center"/>
      <protection hidden="1"/>
    </xf>
    <xf numFmtId="0" fontId="65" fillId="0" borderId="0" xfId="0" applyFont="1" applyBorder="1" applyAlignment="1" applyProtection="1">
      <alignment horizontal="left" vertical="center" wrapText="1"/>
      <protection hidden="1"/>
    </xf>
    <xf numFmtId="0" fontId="65" fillId="0" borderId="16" xfId="0" applyFont="1" applyBorder="1" applyAlignment="1" applyProtection="1">
      <alignment horizontal="left" vertical="center" wrapText="1"/>
      <protection hidden="1"/>
    </xf>
    <xf numFmtId="0" fontId="24" fillId="0" borderId="0" xfId="0" applyFont="1" applyBorder="1" applyAlignment="1" applyProtection="1">
      <alignment horizontal="center" vertical="center"/>
      <protection hidden="1"/>
    </xf>
    <xf numFmtId="0" fontId="16" fillId="0" borderId="33" xfId="0" applyFont="1" applyBorder="1" applyAlignment="1" applyProtection="1">
      <alignment horizontal="center"/>
      <protection hidden="1"/>
    </xf>
    <xf numFmtId="0" fontId="16" fillId="0" borderId="34" xfId="0" applyFont="1" applyBorder="1" applyAlignment="1" applyProtection="1">
      <alignment horizontal="center"/>
      <protection hidden="1"/>
    </xf>
    <xf numFmtId="0" fontId="16" fillId="0" borderId="69" xfId="0" applyFont="1" applyBorder="1" applyAlignment="1" applyProtection="1">
      <alignment horizontal="center"/>
      <protection hidden="1"/>
    </xf>
    <xf numFmtId="0" fontId="15" fillId="0" borderId="16" xfId="0" applyFont="1" applyBorder="1" applyAlignment="1" applyProtection="1">
      <alignment horizontal="center" vertical="center"/>
      <protection hidden="1"/>
    </xf>
    <xf numFmtId="0" fontId="13" fillId="0" borderId="5" xfId="0" applyFont="1" applyBorder="1" applyAlignment="1" applyProtection="1">
      <alignment horizontal="center"/>
      <protection hidden="1"/>
    </xf>
    <xf numFmtId="0" fontId="13" fillId="0" borderId="2" xfId="0" applyFont="1" applyBorder="1" applyAlignment="1" applyProtection="1">
      <alignment horizontal="center"/>
      <protection hidden="1"/>
    </xf>
    <xf numFmtId="0" fontId="13" fillId="0" borderId="19" xfId="0" applyFont="1" applyBorder="1" applyAlignment="1" applyProtection="1">
      <alignment horizontal="center"/>
      <protection hidden="1"/>
    </xf>
    <xf numFmtId="0" fontId="75" fillId="0" borderId="15" xfId="0" applyFont="1" applyBorder="1" applyAlignment="1" applyProtection="1">
      <alignment horizontal="center" vertical="center"/>
      <protection hidden="1"/>
    </xf>
    <xf numFmtId="0" fontId="76" fillId="0" borderId="0" xfId="0" applyFont="1" applyBorder="1" applyAlignment="1" applyProtection="1">
      <alignment horizontal="center" vertical="center"/>
      <protection hidden="1"/>
    </xf>
    <xf numFmtId="0" fontId="76" fillId="0" borderId="16" xfId="0" applyFont="1" applyBorder="1" applyAlignment="1" applyProtection="1">
      <alignment horizontal="center" vertical="center"/>
      <protection hidden="1"/>
    </xf>
    <xf numFmtId="0" fontId="16" fillId="0" borderId="3" xfId="0" applyFont="1" applyBorder="1" applyAlignment="1" applyProtection="1">
      <alignment horizontal="center"/>
      <protection hidden="1"/>
    </xf>
    <xf numFmtId="0" fontId="13" fillId="0" borderId="15" xfId="0" applyFont="1" applyBorder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16" xfId="0" applyFont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center" vertical="top" wrapText="1"/>
      <protection hidden="1"/>
    </xf>
    <xf numFmtId="0" fontId="13" fillId="0" borderId="15" xfId="0" applyFont="1" applyBorder="1" applyAlignment="1" applyProtection="1">
      <alignment horizontal="left" vertical="center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13" fillId="0" borderId="16" xfId="0" applyFont="1" applyBorder="1" applyAlignment="1" applyProtection="1">
      <alignment horizontal="left" vertical="center"/>
      <protection hidden="1"/>
    </xf>
    <xf numFmtId="0" fontId="13" fillId="0" borderId="25" xfId="0" applyFont="1" applyBorder="1" applyAlignment="1" applyProtection="1">
      <alignment horizontal="center"/>
      <protection hidden="1"/>
    </xf>
    <xf numFmtId="0" fontId="13" fillId="0" borderId="22" xfId="0" applyFont="1" applyBorder="1" applyAlignment="1" applyProtection="1">
      <alignment horizontal="center"/>
      <protection hidden="1"/>
    </xf>
    <xf numFmtId="0" fontId="13" fillId="0" borderId="26" xfId="0" applyFont="1" applyBorder="1" applyAlignment="1" applyProtection="1">
      <alignment horizontal="center"/>
      <protection hidden="1"/>
    </xf>
    <xf numFmtId="0" fontId="13" fillId="0" borderId="56" xfId="0" applyFont="1" applyBorder="1" applyAlignment="1" applyProtection="1">
      <alignment horizontal="center" vertical="center"/>
      <protection hidden="1"/>
    </xf>
    <xf numFmtId="0" fontId="16" fillId="0" borderId="49" xfId="0" applyFont="1" applyBorder="1" applyAlignment="1" applyProtection="1">
      <alignment horizontal="center" vertical="center"/>
      <protection hidden="1"/>
    </xf>
    <xf numFmtId="0" fontId="16" fillId="0" borderId="50" xfId="0" applyFont="1" applyBorder="1" applyAlignment="1" applyProtection="1">
      <alignment horizontal="center" vertical="center"/>
      <protection hidden="1"/>
    </xf>
    <xf numFmtId="0" fontId="16" fillId="0" borderId="48" xfId="0" applyFont="1" applyBorder="1" applyAlignment="1" applyProtection="1">
      <alignment horizontal="center" vertical="center"/>
      <protection hidden="1"/>
    </xf>
    <xf numFmtId="0" fontId="16" fillId="0" borderId="34" xfId="0" applyFont="1" applyBorder="1" applyAlignment="1" applyProtection="1">
      <alignment horizontal="center" vertical="center"/>
      <protection hidden="1"/>
    </xf>
    <xf numFmtId="0" fontId="16" fillId="0" borderId="69" xfId="0" applyFont="1" applyBorder="1" applyAlignment="1" applyProtection="1">
      <alignment horizontal="center" vertical="center"/>
      <protection hidden="1"/>
    </xf>
    <xf numFmtId="0" fontId="16" fillId="0" borderId="33" xfId="0" applyFont="1" applyBorder="1" applyAlignment="1" applyProtection="1">
      <alignment horizontal="center" vertical="center"/>
      <protection hidden="1"/>
    </xf>
    <xf numFmtId="0" fontId="13" fillId="0" borderId="9" xfId="0" applyFont="1" applyBorder="1" applyAlignment="1" applyProtection="1">
      <alignment horizontal="center"/>
      <protection hidden="1"/>
    </xf>
    <xf numFmtId="0" fontId="13" fillId="0" borderId="10" xfId="0" applyFont="1" applyBorder="1" applyAlignment="1" applyProtection="1">
      <alignment horizontal="center"/>
      <protection hidden="1"/>
    </xf>
    <xf numFmtId="0" fontId="13" fillId="0" borderId="43" xfId="0" applyFont="1" applyBorder="1" applyAlignment="1" applyProtection="1">
      <alignment horizontal="center"/>
      <protection hidden="1"/>
    </xf>
    <xf numFmtId="0" fontId="16" fillId="0" borderId="52" xfId="0" applyFont="1" applyBorder="1" applyAlignment="1" applyProtection="1">
      <alignment horizontal="center"/>
      <protection hidden="1"/>
    </xf>
    <xf numFmtId="0" fontId="16" fillId="0" borderId="53" xfId="0" applyFont="1" applyBorder="1" applyAlignment="1" applyProtection="1">
      <alignment horizontal="center"/>
      <protection hidden="1"/>
    </xf>
    <xf numFmtId="0" fontId="16" fillId="0" borderId="20" xfId="0" applyFont="1" applyBorder="1" applyAlignment="1" applyProtection="1">
      <alignment horizont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6" fillId="0" borderId="40" xfId="0" applyFont="1" applyFill="1" applyBorder="1" applyAlignment="1" applyProtection="1">
      <alignment horizontal="left"/>
      <protection hidden="1"/>
    </xf>
    <xf numFmtId="0" fontId="16" fillId="0" borderId="41" xfId="0" applyFont="1" applyFill="1" applyBorder="1" applyAlignment="1" applyProtection="1">
      <alignment horizontal="left"/>
      <protection hidden="1"/>
    </xf>
    <xf numFmtId="0" fontId="16" fillId="0" borderId="42" xfId="0" applyFont="1" applyFill="1" applyBorder="1" applyAlignment="1" applyProtection="1">
      <alignment horizontal="left"/>
      <protection hidden="1"/>
    </xf>
    <xf numFmtId="0" fontId="13" fillId="0" borderId="12" xfId="0" applyFont="1" applyBorder="1" applyAlignment="1" applyProtection="1">
      <alignment horizontal="center"/>
      <protection hidden="1"/>
    </xf>
    <xf numFmtId="0" fontId="13" fillId="0" borderId="13" xfId="0" applyFont="1" applyBorder="1" applyAlignment="1" applyProtection="1">
      <alignment horizontal="center"/>
      <protection hidden="1"/>
    </xf>
    <xf numFmtId="0" fontId="13" fillId="0" borderId="14" xfId="0" applyFont="1" applyBorder="1" applyAlignment="1" applyProtection="1">
      <alignment horizontal="center"/>
      <protection hidden="1"/>
    </xf>
    <xf numFmtId="0" fontId="15" fillId="0" borderId="4" xfId="0" applyFont="1" applyBorder="1" applyAlignment="1" applyProtection="1">
      <alignment horizontal="center" vertical="center"/>
      <protection hidden="1"/>
    </xf>
    <xf numFmtId="0" fontId="15" fillId="0" borderId="17" xfId="0" applyFont="1" applyBorder="1" applyAlignment="1" applyProtection="1">
      <alignment horizontal="center" vertical="center"/>
      <protection hidden="1"/>
    </xf>
    <xf numFmtId="165" fontId="15" fillId="0" borderId="4" xfId="0" applyNumberFormat="1" applyFont="1" applyBorder="1" applyAlignment="1" applyProtection="1">
      <alignment horizontal="center" vertical="center"/>
      <protection hidden="1"/>
    </xf>
    <xf numFmtId="0" fontId="23" fillId="0" borderId="10" xfId="0" applyFont="1" applyBorder="1" applyAlignment="1" applyProtection="1">
      <alignment horizont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6" fillId="0" borderId="43" xfId="0" applyFont="1" applyBorder="1" applyAlignment="1" applyProtection="1">
      <alignment horizontal="center"/>
      <protection hidden="1"/>
    </xf>
    <xf numFmtId="0" fontId="19" fillId="0" borderId="3" xfId="0" applyFont="1" applyBorder="1" applyAlignment="1" applyProtection="1">
      <alignment horizontal="center" vertical="center" wrapText="1"/>
      <protection hidden="1"/>
    </xf>
    <xf numFmtId="0" fontId="19" fillId="0" borderId="4" xfId="0" applyFont="1" applyBorder="1" applyAlignment="1" applyProtection="1">
      <alignment horizontal="center" vertical="center" wrapText="1"/>
      <protection hidden="1"/>
    </xf>
    <xf numFmtId="0" fontId="19" fillId="0" borderId="9" xfId="0" applyFont="1" applyBorder="1" applyAlignment="1" applyProtection="1">
      <alignment horizontal="center" vertical="center" wrapText="1"/>
      <protection hidden="1"/>
    </xf>
    <xf numFmtId="0" fontId="19" fillId="0" borderId="10" xfId="0" applyFont="1" applyBorder="1" applyAlignment="1" applyProtection="1">
      <alignment horizontal="center" vertical="center" wrapText="1"/>
      <protection hidden="1"/>
    </xf>
    <xf numFmtId="0" fontId="16" fillId="0" borderId="15" xfId="0" applyFont="1" applyBorder="1" applyAlignment="1" applyProtection="1">
      <alignment horizontal="left"/>
      <protection hidden="1"/>
    </xf>
    <xf numFmtId="0" fontId="16" fillId="0" borderId="0" xfId="0" applyFont="1" applyBorder="1" applyAlignment="1" applyProtection="1">
      <alignment horizontal="left"/>
      <protection hidden="1"/>
    </xf>
    <xf numFmtId="0" fontId="16" fillId="0" borderId="16" xfId="0" applyFont="1" applyBorder="1" applyAlignment="1" applyProtection="1">
      <alignment horizontal="left"/>
      <protection hidden="1"/>
    </xf>
    <xf numFmtId="0" fontId="23" fillId="0" borderId="9" xfId="0" applyFont="1" applyBorder="1" applyAlignment="1" applyProtection="1">
      <alignment horizontal="left" vertical="center"/>
      <protection hidden="1"/>
    </xf>
    <xf numFmtId="0" fontId="23" fillId="0" borderId="10" xfId="0" applyFont="1" applyBorder="1" applyAlignment="1" applyProtection="1">
      <alignment horizontal="left" vertical="center"/>
      <protection hidden="1"/>
    </xf>
    <xf numFmtId="0" fontId="15" fillId="0" borderId="10" xfId="0" applyFont="1" applyBorder="1" applyAlignment="1" applyProtection="1">
      <alignment horizontal="center" vertical="center"/>
      <protection hidden="1"/>
    </xf>
    <xf numFmtId="0" fontId="15" fillId="0" borderId="43" xfId="0" applyFont="1" applyBorder="1" applyAlignment="1" applyProtection="1">
      <alignment horizontal="center" vertical="center"/>
      <protection hidden="1"/>
    </xf>
    <xf numFmtId="0" fontId="23" fillId="0" borderId="15" xfId="0" applyFont="1" applyBorder="1" applyAlignment="1" applyProtection="1">
      <alignment horizontal="left" vertical="center"/>
      <protection hidden="1"/>
    </xf>
    <xf numFmtId="0" fontId="23" fillId="0" borderId="0" xfId="0" applyFont="1" applyBorder="1" applyAlignment="1" applyProtection="1">
      <alignment horizontal="left" vertical="center"/>
      <protection hidden="1"/>
    </xf>
    <xf numFmtId="0" fontId="23" fillId="0" borderId="0" xfId="0" applyFont="1" applyBorder="1" applyAlignment="1" applyProtection="1">
      <alignment horizontal="center" vertical="center"/>
      <protection hidden="1"/>
    </xf>
    <xf numFmtId="0" fontId="15" fillId="0" borderId="48" xfId="0" applyFont="1" applyBorder="1" applyAlignment="1" applyProtection="1">
      <alignment horizontal="left" vertical="center"/>
      <protection hidden="1"/>
    </xf>
    <xf numFmtId="0" fontId="15" fillId="0" borderId="49" xfId="0" applyFont="1" applyBorder="1" applyAlignment="1" applyProtection="1">
      <alignment horizontal="left" vertical="center"/>
      <protection hidden="1"/>
    </xf>
    <xf numFmtId="0" fontId="15" fillId="0" borderId="49" xfId="0" applyFont="1" applyBorder="1" applyAlignment="1" applyProtection="1">
      <alignment horizontal="center" vertical="center"/>
      <protection hidden="1"/>
    </xf>
    <xf numFmtId="0" fontId="15" fillId="0" borderId="50" xfId="0" applyFont="1" applyBorder="1" applyAlignment="1" applyProtection="1">
      <alignment horizontal="center" vertical="center"/>
      <protection hidden="1"/>
    </xf>
    <xf numFmtId="0" fontId="17" fillId="19" borderId="2" xfId="0" applyFont="1" applyFill="1" applyBorder="1" applyAlignment="1" applyProtection="1">
      <alignment vertical="center"/>
      <protection hidden="1"/>
    </xf>
    <xf numFmtId="0" fontId="17" fillId="19" borderId="2" xfId="0" applyFont="1" applyFill="1" applyBorder="1" applyAlignment="1" applyProtection="1">
      <alignment horizontal="center" vertical="center"/>
      <protection hidden="1"/>
    </xf>
    <xf numFmtId="0" fontId="13" fillId="19" borderId="2" xfId="0" applyFont="1" applyFill="1" applyBorder="1" applyAlignment="1" applyProtection="1">
      <alignment horizontal="center" vertical="center"/>
      <protection hidden="1"/>
    </xf>
    <xf numFmtId="0" fontId="15" fillId="19" borderId="29" xfId="0" applyFont="1" applyFill="1" applyBorder="1" applyAlignment="1" applyProtection="1">
      <alignment horizontal="center" vertical="center"/>
      <protection hidden="1"/>
    </xf>
    <xf numFmtId="0" fontId="15" fillId="2" borderId="2" xfId="0" applyFont="1" applyFill="1" applyBorder="1" applyAlignment="1" applyProtection="1">
      <alignment horizontal="center"/>
      <protection hidden="1"/>
    </xf>
    <xf numFmtId="0" fontId="13" fillId="2" borderId="2" xfId="0" applyFont="1" applyFill="1" applyBorder="1" applyAlignment="1" applyProtection="1">
      <alignment horizontal="center"/>
      <protection hidden="1"/>
    </xf>
    <xf numFmtId="0" fontId="13" fillId="2" borderId="2" xfId="0" applyFont="1" applyFill="1" applyBorder="1" applyProtection="1">
      <protection hidden="1"/>
    </xf>
    <xf numFmtId="0" fontId="16" fillId="2" borderId="2" xfId="0" applyFont="1" applyFill="1" applyBorder="1" applyAlignment="1" applyProtection="1">
      <alignment horizontal="center"/>
      <protection hidden="1"/>
    </xf>
    <xf numFmtId="0" fontId="58" fillId="2" borderId="2" xfId="0" applyFont="1" applyFill="1" applyBorder="1" applyAlignment="1" applyProtection="1">
      <alignment horizontal="center"/>
      <protection hidden="1"/>
    </xf>
    <xf numFmtId="0" fontId="27" fillId="2" borderId="6" xfId="0" applyFont="1" applyFill="1" applyBorder="1" applyAlignment="1" applyProtection="1">
      <alignment horizontal="center" vertical="center"/>
      <protection hidden="1"/>
    </xf>
    <xf numFmtId="0" fontId="27" fillId="2" borderId="7" xfId="0" applyFont="1" applyFill="1" applyBorder="1" applyAlignment="1" applyProtection="1">
      <alignment horizontal="center" vertical="center"/>
      <protection hidden="1"/>
    </xf>
    <xf numFmtId="0" fontId="27" fillId="2" borderId="24" xfId="0" applyFont="1" applyFill="1" applyBorder="1" applyAlignment="1" applyProtection="1">
      <alignment horizontal="center" vertical="center"/>
      <protection hidden="1"/>
    </xf>
    <xf numFmtId="0" fontId="101" fillId="19" borderId="6" xfId="0" applyFont="1" applyFill="1" applyBorder="1" applyAlignment="1" applyProtection="1">
      <alignment horizontal="center" vertical="center"/>
      <protection hidden="1"/>
    </xf>
    <xf numFmtId="0" fontId="101" fillId="19" borderId="7" xfId="0" applyFont="1" applyFill="1" applyBorder="1" applyAlignment="1" applyProtection="1">
      <alignment horizontal="center" vertical="center"/>
      <protection hidden="1"/>
    </xf>
    <xf numFmtId="0" fontId="101" fillId="19" borderId="24" xfId="0" applyFont="1" applyFill="1" applyBorder="1" applyAlignment="1" applyProtection="1">
      <alignment horizontal="center" vertical="center"/>
      <protection hidden="1"/>
    </xf>
    <xf numFmtId="0" fontId="15" fillId="2" borderId="6" xfId="0" applyFont="1" applyFill="1" applyBorder="1" applyAlignment="1" applyProtection="1">
      <alignment horizontal="center" vertical="center" wrapText="1"/>
      <protection hidden="1"/>
    </xf>
    <xf numFmtId="0" fontId="15" fillId="2" borderId="7" xfId="0" applyFont="1" applyFill="1" applyBorder="1" applyAlignment="1" applyProtection="1">
      <alignment horizontal="center" vertical="center" wrapText="1"/>
      <protection hidden="1"/>
    </xf>
    <xf numFmtId="0" fontId="15" fillId="2" borderId="24" xfId="0" applyFont="1" applyFill="1" applyBorder="1" applyAlignment="1" applyProtection="1">
      <alignment horizontal="center" vertical="center" wrapText="1"/>
      <protection hidden="1"/>
    </xf>
    <xf numFmtId="0" fontId="17" fillId="19" borderId="28" xfId="0" applyFont="1" applyFill="1" applyBorder="1" applyAlignment="1" applyProtection="1">
      <alignment vertical="center"/>
      <protection hidden="1"/>
    </xf>
    <xf numFmtId="0" fontId="15" fillId="19" borderId="38" xfId="0" applyFont="1" applyFill="1" applyBorder="1" applyAlignment="1" applyProtection="1">
      <alignment horizontal="center" vertical="center"/>
      <protection hidden="1"/>
    </xf>
    <xf numFmtId="0" fontId="15" fillId="19" borderId="1" xfId="0" applyFont="1" applyFill="1" applyBorder="1" applyAlignment="1" applyProtection="1">
      <alignment horizontal="center" vertical="center"/>
      <protection hidden="1"/>
    </xf>
    <xf numFmtId="0" fontId="15" fillId="19" borderId="11" xfId="0" applyFont="1" applyFill="1" applyBorder="1" applyAlignment="1" applyProtection="1">
      <alignment horizontal="center" vertical="center"/>
      <protection hidden="1"/>
    </xf>
    <xf numFmtId="0" fontId="16" fillId="19" borderId="6" xfId="0" applyFont="1" applyFill="1" applyBorder="1" applyAlignment="1" applyProtection="1">
      <alignment vertical="center" wrapText="1"/>
      <protection hidden="1"/>
    </xf>
    <xf numFmtId="0" fontId="16" fillId="19" borderId="7" xfId="0" applyFont="1" applyFill="1" applyBorder="1" applyAlignment="1" applyProtection="1">
      <alignment vertical="center" wrapText="1"/>
      <protection hidden="1"/>
    </xf>
    <xf numFmtId="0" fontId="16" fillId="19" borderId="24" xfId="0" applyFont="1" applyFill="1" applyBorder="1" applyAlignment="1" applyProtection="1">
      <alignment vertical="center" wrapText="1"/>
      <protection hidden="1"/>
    </xf>
    <xf numFmtId="0" fontId="17" fillId="19" borderId="28" xfId="0" applyFont="1" applyFill="1" applyBorder="1" applyAlignment="1" applyProtection="1">
      <alignment horizontal="center" vertical="center"/>
      <protection hidden="1"/>
    </xf>
    <xf numFmtId="0" fontId="13" fillId="19" borderId="28" xfId="0" applyFont="1" applyFill="1" applyBorder="1" applyAlignment="1" applyProtection="1">
      <alignment horizontal="center" vertical="center"/>
      <protection hidden="1"/>
    </xf>
    <xf numFmtId="0" fontId="73" fillId="5" borderId="12" xfId="0" applyFont="1" applyFill="1" applyBorder="1" applyAlignment="1" applyProtection="1">
      <alignment horizontal="center" vertical="center"/>
      <protection hidden="1"/>
    </xf>
    <xf numFmtId="0" fontId="73" fillId="5" borderId="13" xfId="0" applyFont="1" applyFill="1" applyBorder="1" applyAlignment="1" applyProtection="1">
      <alignment horizontal="center" vertical="center"/>
      <protection hidden="1"/>
    </xf>
    <xf numFmtId="0" fontId="73" fillId="5" borderId="14" xfId="0" applyFont="1" applyFill="1" applyBorder="1" applyAlignment="1" applyProtection="1">
      <alignment horizontal="center" vertical="center"/>
      <protection hidden="1"/>
    </xf>
    <xf numFmtId="0" fontId="73" fillId="5" borderId="15" xfId="0" applyFont="1" applyFill="1" applyBorder="1" applyAlignment="1" applyProtection="1">
      <alignment horizontal="center" vertical="center"/>
      <protection hidden="1"/>
    </xf>
    <xf numFmtId="0" fontId="73" fillId="5" borderId="0" xfId="0" applyFont="1" applyFill="1" applyBorder="1" applyAlignment="1" applyProtection="1">
      <alignment horizontal="center" vertical="center"/>
      <protection hidden="1"/>
    </xf>
    <xf numFmtId="0" fontId="73" fillId="5" borderId="16" xfId="0" applyFont="1" applyFill="1" applyBorder="1" applyAlignment="1" applyProtection="1">
      <alignment horizontal="center" vertical="center"/>
      <protection hidden="1"/>
    </xf>
    <xf numFmtId="0" fontId="15" fillId="5" borderId="21" xfId="0" applyFont="1" applyFill="1" applyBorder="1" applyAlignment="1" applyProtection="1">
      <alignment horizontal="center" vertical="center"/>
      <protection hidden="1"/>
    </xf>
    <xf numFmtId="0" fontId="15" fillId="5" borderId="51" xfId="0" applyFont="1" applyFill="1" applyBorder="1" applyAlignment="1" applyProtection="1">
      <alignment horizontal="center" vertical="center"/>
      <protection hidden="1"/>
    </xf>
    <xf numFmtId="0" fontId="15" fillId="5" borderId="31" xfId="0" applyFont="1" applyFill="1" applyBorder="1" applyAlignment="1" applyProtection="1">
      <alignment horizontal="center" vertical="center"/>
      <protection hidden="1"/>
    </xf>
    <xf numFmtId="0" fontId="15" fillId="5" borderId="25" xfId="0" applyFont="1" applyFill="1" applyBorder="1" applyAlignment="1" applyProtection="1">
      <alignment horizontal="center" vertical="center"/>
      <protection hidden="1"/>
    </xf>
    <xf numFmtId="0" fontId="15" fillId="5" borderId="22" xfId="0" applyFont="1" applyFill="1" applyBorder="1" applyAlignment="1" applyProtection="1">
      <alignment horizontal="center" vertical="center"/>
      <protection hidden="1"/>
    </xf>
    <xf numFmtId="0" fontId="15" fillId="5" borderId="63" xfId="0" applyFont="1" applyFill="1" applyBorder="1" applyAlignment="1" applyProtection="1">
      <alignment horizontal="center" vertical="center"/>
      <protection hidden="1"/>
    </xf>
    <xf numFmtId="0" fontId="18" fillId="5" borderId="0" xfId="0" applyFont="1" applyFill="1" applyBorder="1" applyAlignment="1" applyProtection="1">
      <alignment horizontal="center"/>
      <protection hidden="1"/>
    </xf>
    <xf numFmtId="0" fontId="18" fillId="5" borderId="51" xfId="0" applyFont="1" applyFill="1" applyBorder="1" applyAlignment="1" applyProtection="1">
      <alignment horizontal="center"/>
      <protection hidden="1"/>
    </xf>
    <xf numFmtId="0" fontId="18" fillId="5" borderId="59" xfId="0" applyFont="1" applyFill="1" applyBorder="1" applyAlignment="1" applyProtection="1">
      <alignment horizontal="center"/>
      <protection hidden="1"/>
    </xf>
    <xf numFmtId="0" fontId="18" fillId="5" borderId="16" xfId="0" applyFont="1" applyFill="1" applyBorder="1" applyAlignment="1" applyProtection="1">
      <alignment horizontal="center"/>
      <protection hidden="1"/>
    </xf>
    <xf numFmtId="0" fontId="18" fillId="5" borderId="22" xfId="0" applyFont="1" applyFill="1" applyBorder="1" applyAlignment="1" applyProtection="1">
      <alignment horizontal="center"/>
      <protection hidden="1"/>
    </xf>
    <xf numFmtId="0" fontId="18" fillId="5" borderId="26" xfId="0" applyFont="1" applyFill="1" applyBorder="1" applyAlignment="1" applyProtection="1">
      <alignment horizontal="center"/>
      <protection hidden="1"/>
    </xf>
    <xf numFmtId="0" fontId="72" fillId="5" borderId="15" xfId="0" applyFont="1" applyFill="1" applyBorder="1" applyAlignment="1" applyProtection="1">
      <alignment horizontal="center" vertical="center" wrapText="1"/>
      <protection hidden="1"/>
    </xf>
    <xf numFmtId="0" fontId="72" fillId="5" borderId="0" xfId="0" applyFont="1" applyFill="1" applyBorder="1" applyAlignment="1" applyProtection="1">
      <alignment horizontal="center" vertical="center" wrapText="1"/>
      <protection hidden="1"/>
    </xf>
    <xf numFmtId="0" fontId="61" fillId="5" borderId="15" xfId="0" applyFont="1" applyFill="1" applyBorder="1" applyAlignment="1" applyProtection="1">
      <alignment horizontal="center" vertical="top"/>
      <protection hidden="1"/>
    </xf>
    <xf numFmtId="0" fontId="61" fillId="5" borderId="0" xfId="0" applyFont="1" applyFill="1" applyBorder="1" applyAlignment="1" applyProtection="1">
      <alignment horizontal="center" vertical="top"/>
      <protection hidden="1"/>
    </xf>
    <xf numFmtId="0" fontId="61" fillId="5" borderId="16" xfId="0" applyFont="1" applyFill="1" applyBorder="1" applyAlignment="1" applyProtection="1">
      <alignment horizontal="center" vertical="top"/>
      <protection hidden="1"/>
    </xf>
    <xf numFmtId="0" fontId="61" fillId="5" borderId="15" xfId="0" applyFont="1" applyFill="1" applyBorder="1" applyAlignment="1" applyProtection="1">
      <alignment horizontal="center" vertical="center"/>
      <protection hidden="1"/>
    </xf>
    <xf numFmtId="0" fontId="61" fillId="5" borderId="0" xfId="0" applyFont="1" applyFill="1" applyBorder="1" applyAlignment="1" applyProtection="1">
      <alignment horizontal="center" vertical="center"/>
      <protection hidden="1"/>
    </xf>
    <xf numFmtId="0" fontId="61" fillId="5" borderId="16" xfId="0" applyFont="1" applyFill="1" applyBorder="1" applyAlignment="1" applyProtection="1">
      <alignment horizontal="center" vertical="center"/>
      <protection hidden="1"/>
    </xf>
    <xf numFmtId="0" fontId="32" fillId="5" borderId="55" xfId="0" applyFont="1" applyFill="1" applyBorder="1" applyAlignment="1" applyProtection="1">
      <alignment horizontal="center" vertical="center" wrapText="1"/>
      <protection hidden="1"/>
    </xf>
    <xf numFmtId="0" fontId="32" fillId="5" borderId="56" xfId="0" applyFont="1" applyFill="1" applyBorder="1" applyAlignment="1" applyProtection="1">
      <alignment horizontal="center" vertical="center" wrapText="1"/>
      <protection hidden="1"/>
    </xf>
    <xf numFmtId="0" fontId="32" fillId="5" borderId="57" xfId="0" applyFont="1" applyFill="1" applyBorder="1" applyAlignment="1" applyProtection="1">
      <alignment horizontal="center" vertical="center" wrapText="1"/>
      <protection hidden="1"/>
    </xf>
    <xf numFmtId="0" fontId="61" fillId="5" borderId="12" xfId="0" applyFont="1" applyFill="1" applyBorder="1" applyAlignment="1" applyProtection="1">
      <alignment horizontal="center" vertical="center"/>
      <protection hidden="1"/>
    </xf>
    <xf numFmtId="0" fontId="61" fillId="5" borderId="13" xfId="0" applyFont="1" applyFill="1" applyBorder="1" applyAlignment="1" applyProtection="1">
      <alignment horizontal="center" vertical="center"/>
      <protection hidden="1"/>
    </xf>
    <xf numFmtId="0" fontId="61" fillId="5" borderId="14" xfId="0" applyFont="1" applyFill="1" applyBorder="1" applyAlignment="1" applyProtection="1">
      <alignment horizontal="center" vertical="center"/>
      <protection hidden="1"/>
    </xf>
    <xf numFmtId="0" fontId="61" fillId="5" borderId="25" xfId="0" applyFont="1" applyFill="1" applyBorder="1" applyAlignment="1" applyProtection="1">
      <alignment horizontal="center" vertical="center"/>
      <protection hidden="1"/>
    </xf>
    <xf numFmtId="0" fontId="61" fillId="5" borderId="22" xfId="0" applyFont="1" applyFill="1" applyBorder="1" applyAlignment="1" applyProtection="1">
      <alignment horizontal="center" vertical="center"/>
      <protection hidden="1"/>
    </xf>
    <xf numFmtId="0" fontId="61" fillId="5" borderId="26" xfId="0" applyFont="1" applyFill="1" applyBorder="1" applyAlignment="1" applyProtection="1">
      <alignment horizontal="center" vertical="center"/>
      <protection hidden="1"/>
    </xf>
    <xf numFmtId="0" fontId="72" fillId="5" borderId="12" xfId="0" applyFont="1" applyFill="1" applyBorder="1" applyAlignment="1" applyProtection="1">
      <alignment horizontal="center" vertical="center" wrapText="1"/>
      <protection hidden="1"/>
    </xf>
    <xf numFmtId="0" fontId="72" fillId="5" borderId="13" xfId="0" applyFont="1" applyFill="1" applyBorder="1" applyAlignment="1" applyProtection="1">
      <alignment horizontal="center" vertical="center" wrapText="1"/>
      <protection hidden="1"/>
    </xf>
    <xf numFmtId="0" fontId="72" fillId="5" borderId="14" xfId="0" applyFont="1" applyFill="1" applyBorder="1" applyAlignment="1" applyProtection="1">
      <alignment horizontal="center" vertical="center" wrapText="1"/>
      <protection hidden="1"/>
    </xf>
    <xf numFmtId="0" fontId="72" fillId="5" borderId="16" xfId="0" applyFont="1" applyFill="1" applyBorder="1" applyAlignment="1" applyProtection="1">
      <alignment horizontal="center" vertical="center" wrapText="1"/>
      <protection hidden="1"/>
    </xf>
    <xf numFmtId="0" fontId="40" fillId="5" borderId="13" xfId="0" applyFont="1" applyFill="1" applyBorder="1" applyAlignment="1" applyProtection="1">
      <alignment horizontal="center" vertical="center" wrapText="1"/>
      <protection hidden="1"/>
    </xf>
    <xf numFmtId="0" fontId="40" fillId="5" borderId="0" xfId="0" applyFont="1" applyFill="1" applyBorder="1" applyAlignment="1" applyProtection="1">
      <alignment horizontal="center" vertical="center" wrapText="1"/>
      <protection hidden="1"/>
    </xf>
    <xf numFmtId="0" fontId="40" fillId="5" borderId="22" xfId="0" applyFont="1" applyFill="1" applyBorder="1" applyAlignment="1" applyProtection="1">
      <alignment horizontal="center" vertical="center" wrapText="1"/>
      <protection hidden="1"/>
    </xf>
    <xf numFmtId="0" fontId="32" fillId="5" borderId="12" xfId="0" applyFont="1" applyFill="1" applyBorder="1" applyAlignment="1" applyProtection="1">
      <alignment horizontal="center" vertical="center" wrapText="1"/>
      <protection hidden="1"/>
    </xf>
    <xf numFmtId="0" fontId="32" fillId="5" borderId="13" xfId="0" applyFont="1" applyFill="1" applyBorder="1" applyAlignment="1" applyProtection="1">
      <alignment horizontal="center" vertical="center" wrapText="1"/>
      <protection hidden="1"/>
    </xf>
    <xf numFmtId="0" fontId="32" fillId="5" borderId="15" xfId="0" applyFont="1" applyFill="1" applyBorder="1" applyAlignment="1" applyProtection="1">
      <alignment horizontal="center" vertical="center" wrapText="1"/>
      <protection hidden="1"/>
    </xf>
    <xf numFmtId="0" fontId="32" fillId="5" borderId="0" xfId="0" applyFont="1" applyFill="1" applyBorder="1" applyAlignment="1" applyProtection="1">
      <alignment horizontal="center" vertical="center" wrapText="1"/>
      <protection hidden="1"/>
    </xf>
    <xf numFmtId="0" fontId="32" fillId="5" borderId="25" xfId="0" applyFont="1" applyFill="1" applyBorder="1" applyAlignment="1" applyProtection="1">
      <alignment horizontal="center" vertical="center" wrapText="1"/>
      <protection hidden="1"/>
    </xf>
    <xf numFmtId="0" fontId="32" fillId="5" borderId="22" xfId="0" applyFont="1" applyFill="1" applyBorder="1" applyAlignment="1" applyProtection="1">
      <alignment horizontal="center" vertical="center" wrapText="1"/>
      <protection hidden="1"/>
    </xf>
    <xf numFmtId="0" fontId="74" fillId="5" borderId="15" xfId="0" applyFont="1" applyFill="1" applyBorder="1" applyAlignment="1" applyProtection="1">
      <alignment horizontal="center" vertical="center" wrapText="1"/>
      <protection hidden="1"/>
    </xf>
    <xf numFmtId="0" fontId="74" fillId="5" borderId="0" xfId="0" applyFont="1" applyFill="1" applyBorder="1" applyAlignment="1" applyProtection="1">
      <alignment horizontal="center" vertical="center" wrapText="1"/>
      <protection hidden="1"/>
    </xf>
    <xf numFmtId="0" fontId="74" fillId="5" borderId="16" xfId="0" applyFont="1" applyFill="1" applyBorder="1" applyAlignment="1" applyProtection="1">
      <alignment horizontal="center" vertical="center" wrapText="1"/>
      <protection hidden="1"/>
    </xf>
    <xf numFmtId="0" fontId="61" fillId="5" borderId="40" xfId="0" applyFont="1" applyFill="1" applyBorder="1" applyAlignment="1" applyProtection="1">
      <alignment horizontal="center" vertical="center"/>
      <protection hidden="1"/>
    </xf>
    <xf numFmtId="0" fontId="61" fillId="5" borderId="41" xfId="0" applyFont="1" applyFill="1" applyBorder="1" applyAlignment="1" applyProtection="1">
      <alignment horizontal="center" vertical="center"/>
      <protection hidden="1"/>
    </xf>
    <xf numFmtId="0" fontId="26" fillId="5" borderId="15" xfId="0" applyFont="1" applyFill="1" applyBorder="1" applyAlignment="1" applyProtection="1">
      <alignment horizontal="center" vertical="center" wrapText="1"/>
      <protection hidden="1"/>
    </xf>
    <xf numFmtId="0" fontId="26" fillId="5" borderId="0" xfId="0" applyFont="1" applyFill="1" applyBorder="1" applyAlignment="1" applyProtection="1">
      <alignment horizontal="center" vertical="center" wrapText="1"/>
      <protection hidden="1"/>
    </xf>
    <xf numFmtId="0" fontId="26" fillId="5" borderId="16" xfId="0" applyFont="1" applyFill="1" applyBorder="1" applyAlignment="1" applyProtection="1">
      <alignment horizontal="center" vertical="center" wrapText="1"/>
      <protection hidden="1"/>
    </xf>
    <xf numFmtId="0" fontId="27" fillId="15" borderId="6" xfId="0" applyFont="1" applyFill="1" applyBorder="1" applyAlignment="1" applyProtection="1">
      <alignment horizontal="center" vertical="center"/>
      <protection hidden="1"/>
    </xf>
    <xf numFmtId="0" fontId="27" fillId="15" borderId="7" xfId="0" applyFont="1" applyFill="1" applyBorder="1" applyAlignment="1" applyProtection="1">
      <alignment horizontal="center" vertical="center"/>
      <protection hidden="1"/>
    </xf>
    <xf numFmtId="0" fontId="27" fillId="15" borderId="24" xfId="0" applyFont="1" applyFill="1" applyBorder="1" applyAlignment="1" applyProtection="1">
      <alignment horizontal="center" vertical="center"/>
      <protection hidden="1"/>
    </xf>
    <xf numFmtId="0" fontId="60" fillId="9" borderId="6" xfId="0" applyFont="1" applyFill="1" applyBorder="1" applyAlignment="1" applyProtection="1">
      <alignment horizontal="center" vertical="center"/>
      <protection hidden="1"/>
    </xf>
    <xf numFmtId="0" fontId="60" fillId="9" borderId="24" xfId="0" applyFont="1" applyFill="1" applyBorder="1" applyAlignment="1" applyProtection="1">
      <alignment horizontal="center" vertical="center"/>
      <protection hidden="1"/>
    </xf>
    <xf numFmtId="0" fontId="27" fillId="5" borderId="2" xfId="0" applyFont="1" applyFill="1" applyBorder="1" applyAlignment="1" applyProtection="1">
      <alignment horizontal="center" vertical="center"/>
      <protection hidden="1"/>
    </xf>
    <xf numFmtId="0" fontId="51" fillId="5" borderId="2" xfId="0" applyFont="1" applyFill="1" applyBorder="1" applyAlignment="1" applyProtection="1">
      <alignment horizontal="center" vertical="center"/>
      <protection hidden="1"/>
    </xf>
    <xf numFmtId="0" fontId="51" fillId="2" borderId="2" xfId="0" applyFont="1" applyFill="1" applyBorder="1" applyAlignment="1" applyProtection="1">
      <alignment horizontal="center" vertical="center"/>
      <protection hidden="1"/>
    </xf>
    <xf numFmtId="0" fontId="51" fillId="15" borderId="2" xfId="0" applyFont="1" applyFill="1" applyBorder="1" applyAlignment="1" applyProtection="1">
      <alignment horizontal="center" vertical="center"/>
      <protection hidden="1"/>
    </xf>
    <xf numFmtId="0" fontId="15" fillId="2" borderId="6" xfId="0" applyFont="1" applyFill="1" applyBorder="1" applyAlignment="1" applyProtection="1">
      <alignment horizontal="center" vertical="center"/>
      <protection hidden="1"/>
    </xf>
    <xf numFmtId="0" fontId="15" fillId="2" borderId="7" xfId="0" applyFont="1" applyFill="1" applyBorder="1" applyAlignment="1" applyProtection="1">
      <alignment horizontal="center" vertical="center"/>
      <protection hidden="1"/>
    </xf>
    <xf numFmtId="0" fontId="15" fillId="2" borderId="24" xfId="0" applyFont="1" applyFill="1" applyBorder="1" applyAlignment="1" applyProtection="1">
      <alignment horizontal="center" vertical="center"/>
      <protection hidden="1"/>
    </xf>
    <xf numFmtId="0" fontId="60" fillId="9" borderId="6" xfId="0" applyFont="1" applyFill="1" applyBorder="1" applyAlignment="1" applyProtection="1">
      <alignment horizontal="center" vertical="center" wrapText="1"/>
      <protection hidden="1"/>
    </xf>
    <xf numFmtId="0" fontId="60" fillId="9" borderId="7" xfId="0" applyFont="1" applyFill="1" applyBorder="1" applyAlignment="1" applyProtection="1">
      <alignment horizontal="center" vertical="center" wrapText="1"/>
      <protection hidden="1"/>
    </xf>
    <xf numFmtId="0" fontId="60" fillId="9" borderId="24" xfId="0" applyFont="1" applyFill="1" applyBorder="1" applyAlignment="1" applyProtection="1">
      <alignment horizontal="center" vertical="center" wrapText="1"/>
      <protection hidden="1"/>
    </xf>
    <xf numFmtId="0" fontId="27" fillId="10" borderId="58" xfId="0" applyFont="1" applyFill="1" applyBorder="1" applyAlignment="1" applyProtection="1">
      <alignment horizontal="center" vertical="center"/>
      <protection hidden="1"/>
    </xf>
    <xf numFmtId="0" fontId="27" fillId="10" borderId="51" xfId="0" applyFont="1" applyFill="1" applyBorder="1" applyAlignment="1" applyProtection="1">
      <alignment horizontal="center" vertical="center"/>
      <protection hidden="1"/>
    </xf>
    <xf numFmtId="0" fontId="27" fillId="10" borderId="31" xfId="0" applyFont="1" applyFill="1" applyBorder="1" applyAlignment="1" applyProtection="1">
      <alignment horizontal="center" vertical="center"/>
      <protection hidden="1"/>
    </xf>
    <xf numFmtId="0" fontId="27" fillId="10" borderId="38" xfId="0" applyFont="1" applyFill="1" applyBorder="1" applyAlignment="1" applyProtection="1">
      <alignment horizontal="center" vertical="center"/>
      <protection hidden="1"/>
    </xf>
    <xf numFmtId="0" fontId="27" fillId="10" borderId="1" xfId="0" applyFont="1" applyFill="1" applyBorder="1" applyAlignment="1" applyProtection="1">
      <alignment horizontal="center" vertical="center"/>
      <protection hidden="1"/>
    </xf>
    <xf numFmtId="0" fontId="27" fillId="10" borderId="11" xfId="0" applyFont="1" applyFill="1" applyBorder="1" applyAlignment="1" applyProtection="1">
      <alignment horizontal="center" vertical="center"/>
      <protection hidden="1"/>
    </xf>
    <xf numFmtId="0" fontId="14" fillId="2" borderId="6" xfId="0" applyFont="1" applyFill="1" applyBorder="1" applyAlignment="1" applyProtection="1">
      <alignment horizontal="center" vertical="center"/>
      <protection hidden="1"/>
    </xf>
    <xf numFmtId="0" fontId="14" fillId="2" borderId="7" xfId="0" applyFont="1" applyFill="1" applyBorder="1" applyAlignment="1" applyProtection="1">
      <alignment horizontal="center" vertical="center"/>
      <protection hidden="1"/>
    </xf>
    <xf numFmtId="0" fontId="14" fillId="2" borderId="24" xfId="0" applyFont="1" applyFill="1" applyBorder="1" applyAlignment="1" applyProtection="1">
      <alignment horizontal="center" vertical="center"/>
      <protection hidden="1"/>
    </xf>
    <xf numFmtId="0" fontId="17" fillId="15" borderId="6" xfId="0" applyFont="1" applyFill="1" applyBorder="1" applyAlignment="1" applyProtection="1">
      <alignment horizontal="center" vertical="center"/>
      <protection hidden="1"/>
    </xf>
    <xf numFmtId="0" fontId="17" fillId="15" borderId="7" xfId="0" applyFont="1" applyFill="1" applyBorder="1" applyAlignment="1" applyProtection="1">
      <alignment horizontal="center" vertical="center"/>
      <protection hidden="1"/>
    </xf>
    <xf numFmtId="0" fontId="17" fillId="15" borderId="24" xfId="0" applyFont="1" applyFill="1" applyBorder="1" applyAlignment="1" applyProtection="1">
      <alignment horizontal="center" vertical="center"/>
      <protection hidden="1"/>
    </xf>
    <xf numFmtId="0" fontId="64" fillId="35" borderId="0" xfId="0" applyFont="1" applyFill="1" applyBorder="1" applyAlignment="1" applyProtection="1">
      <alignment horizontal="center" vertical="center" wrapText="1"/>
      <protection hidden="1"/>
    </xf>
    <xf numFmtId="0" fontId="64" fillId="35" borderId="27" xfId="0" applyFont="1" applyFill="1" applyBorder="1" applyAlignment="1" applyProtection="1">
      <alignment horizontal="center" vertical="center" wrapText="1"/>
      <protection hidden="1"/>
    </xf>
    <xf numFmtId="0" fontId="12" fillId="8" borderId="35" xfId="0" applyFont="1" applyFill="1" applyBorder="1" applyAlignment="1" applyProtection="1">
      <alignment horizontal="center" vertical="center" wrapText="1"/>
      <protection hidden="1"/>
    </xf>
    <xf numFmtId="0" fontId="12" fillId="8" borderId="36" xfId="0" applyFont="1" applyFill="1" applyBorder="1" applyAlignment="1" applyProtection="1">
      <alignment horizontal="center" vertical="center" wrapText="1"/>
      <protection hidden="1"/>
    </xf>
    <xf numFmtId="0" fontId="12" fillId="8" borderId="37" xfId="0" applyFont="1" applyFill="1" applyBorder="1" applyAlignment="1" applyProtection="1">
      <alignment horizontal="center" vertical="center" wrapText="1"/>
      <protection hidden="1"/>
    </xf>
    <xf numFmtId="0" fontId="26" fillId="8" borderId="35" xfId="0" applyFont="1" applyFill="1" applyBorder="1" applyAlignment="1" applyProtection="1">
      <alignment horizontal="center" vertical="center" wrapText="1"/>
      <protection hidden="1"/>
    </xf>
    <xf numFmtId="0" fontId="26" fillId="8" borderId="36" xfId="0" applyFont="1" applyFill="1" applyBorder="1" applyAlignment="1" applyProtection="1">
      <alignment horizontal="center" vertical="center" wrapText="1"/>
      <protection hidden="1"/>
    </xf>
    <xf numFmtId="0" fontId="26" fillId="8" borderId="37" xfId="0" applyFont="1" applyFill="1" applyBorder="1" applyAlignment="1" applyProtection="1">
      <alignment horizontal="center" vertical="center" wrapText="1"/>
      <protection hidden="1"/>
    </xf>
    <xf numFmtId="0" fontId="14" fillId="15" borderId="6" xfId="0" applyFont="1" applyFill="1" applyBorder="1" applyAlignment="1" applyProtection="1">
      <alignment horizontal="center" vertical="center"/>
      <protection hidden="1"/>
    </xf>
    <xf numFmtId="0" fontId="14" fillId="15" borderId="7" xfId="0" applyFont="1" applyFill="1" applyBorder="1" applyAlignment="1" applyProtection="1">
      <alignment horizontal="center" vertical="center"/>
      <protection hidden="1"/>
    </xf>
    <xf numFmtId="0" fontId="14" fillId="15" borderId="24" xfId="0" applyFont="1" applyFill="1" applyBorder="1" applyAlignment="1" applyProtection="1">
      <alignment horizontal="center" vertical="center"/>
      <protection hidden="1"/>
    </xf>
    <xf numFmtId="0" fontId="51" fillId="2" borderId="6" xfId="0" applyFont="1" applyFill="1" applyBorder="1" applyAlignment="1" applyProtection="1">
      <alignment horizontal="center" vertical="center"/>
      <protection hidden="1"/>
    </xf>
    <xf numFmtId="0" fontId="51" fillId="2" borderId="7" xfId="0" applyFont="1" applyFill="1" applyBorder="1" applyAlignment="1" applyProtection="1">
      <alignment horizontal="center" vertical="center"/>
      <protection hidden="1"/>
    </xf>
    <xf numFmtId="0" fontId="51" fillId="2" borderId="24" xfId="0" applyFont="1" applyFill="1" applyBorder="1" applyAlignment="1" applyProtection="1">
      <alignment horizontal="center" vertical="center"/>
      <protection hidden="1"/>
    </xf>
    <xf numFmtId="0" fontId="16" fillId="4" borderId="2" xfId="0" applyFont="1" applyFill="1" applyBorder="1" applyAlignment="1" applyProtection="1">
      <alignment horizontal="center"/>
      <protection hidden="1"/>
    </xf>
    <xf numFmtId="0" fontId="15" fillId="4" borderId="29" xfId="0" applyFont="1" applyFill="1" applyBorder="1" applyAlignment="1" applyProtection="1">
      <alignment horizontal="center"/>
      <protection hidden="1"/>
    </xf>
    <xf numFmtId="0" fontId="58" fillId="4" borderId="2" xfId="0" applyFont="1" applyFill="1" applyBorder="1" applyAlignment="1" applyProtection="1">
      <alignment horizontal="center"/>
      <protection hidden="1"/>
    </xf>
    <xf numFmtId="0" fontId="16" fillId="19" borderId="51" xfId="0" applyFont="1" applyFill="1" applyBorder="1" applyAlignment="1" applyProtection="1">
      <alignment vertical="center"/>
      <protection hidden="1"/>
    </xf>
    <xf numFmtId="0" fontId="16" fillId="19" borderId="31" xfId="0" applyFont="1" applyFill="1" applyBorder="1" applyAlignment="1" applyProtection="1">
      <alignment vertical="center"/>
      <protection hidden="1"/>
    </xf>
    <xf numFmtId="0" fontId="16" fillId="19" borderId="58" xfId="0" applyFont="1" applyFill="1" applyBorder="1" applyAlignment="1" applyProtection="1">
      <alignment vertical="center" wrapText="1"/>
      <protection hidden="1"/>
    </xf>
    <xf numFmtId="0" fontId="16" fillId="19" borderId="51" xfId="0" applyFont="1" applyFill="1" applyBorder="1" applyAlignment="1" applyProtection="1">
      <alignment vertical="center" wrapText="1"/>
      <protection hidden="1"/>
    </xf>
    <xf numFmtId="0" fontId="16" fillId="19" borderId="31" xfId="0" applyFont="1" applyFill="1" applyBorder="1" applyAlignment="1" applyProtection="1">
      <alignment vertical="center" wrapText="1"/>
      <protection hidden="1"/>
    </xf>
    <xf numFmtId="0" fontId="16" fillId="19" borderId="58" xfId="0" applyFont="1" applyFill="1" applyBorder="1" applyAlignment="1" applyProtection="1">
      <alignment vertical="center"/>
      <protection hidden="1"/>
    </xf>
    <xf numFmtId="0" fontId="13" fillId="4" borderId="2" xfId="0" applyFont="1" applyFill="1" applyBorder="1" applyAlignment="1" applyProtection="1">
      <alignment horizontal="center"/>
      <protection hidden="1"/>
    </xf>
    <xf numFmtId="0" fontId="13" fillId="4" borderId="2" xfId="0" applyFont="1" applyFill="1" applyBorder="1" applyProtection="1">
      <protection hidden="1"/>
    </xf>
    <xf numFmtId="0" fontId="15" fillId="4" borderId="2" xfId="0" applyFont="1" applyFill="1" applyBorder="1" applyAlignment="1" applyProtection="1">
      <alignment horizontal="center"/>
      <protection hidden="1"/>
    </xf>
    <xf numFmtId="10" fontId="18" fillId="5" borderId="35" xfId="2" applyNumberFormat="1" applyFont="1" applyFill="1" applyBorder="1" applyAlignment="1" applyProtection="1">
      <alignment horizontal="center" vertical="center"/>
      <protection hidden="1"/>
    </xf>
    <xf numFmtId="10" fontId="18" fillId="5" borderId="37" xfId="2" applyNumberFormat="1" applyFont="1" applyFill="1" applyBorder="1" applyAlignment="1" applyProtection="1">
      <alignment horizontal="center" vertical="center"/>
      <protection hidden="1"/>
    </xf>
    <xf numFmtId="0" fontId="18" fillId="5" borderId="35" xfId="0" applyFont="1" applyFill="1" applyBorder="1" applyAlignment="1" applyProtection="1">
      <alignment horizontal="center" vertical="center"/>
      <protection hidden="1"/>
    </xf>
    <xf numFmtId="0" fontId="18" fillId="5" borderId="37" xfId="0" applyFont="1" applyFill="1" applyBorder="1" applyAlignment="1" applyProtection="1">
      <alignment horizontal="center" vertical="center"/>
      <protection hidden="1"/>
    </xf>
    <xf numFmtId="0" fontId="18" fillId="5" borderId="40" xfId="0" applyFont="1" applyFill="1" applyBorder="1" applyAlignment="1" applyProtection="1">
      <alignment horizontal="center" vertical="center"/>
      <protection hidden="1"/>
    </xf>
    <xf numFmtId="0" fontId="18" fillId="5" borderId="41" xfId="0" applyFont="1" applyFill="1" applyBorder="1" applyAlignment="1" applyProtection="1">
      <alignment horizontal="center" vertical="center"/>
      <protection hidden="1"/>
    </xf>
    <xf numFmtId="0" fontId="18" fillId="5" borderId="42" xfId="0" applyFont="1" applyFill="1" applyBorder="1" applyAlignment="1" applyProtection="1">
      <alignment horizontal="center" vertical="center"/>
      <protection hidden="1"/>
    </xf>
    <xf numFmtId="0" fontId="61" fillId="5" borderId="1" xfId="0" applyFont="1" applyFill="1" applyBorder="1" applyAlignment="1" applyProtection="1">
      <alignment horizontal="center" vertical="center"/>
      <protection hidden="1"/>
    </xf>
    <xf numFmtId="0" fontId="72" fillId="5" borderId="18" xfId="0" applyFont="1" applyFill="1" applyBorder="1" applyAlignment="1" applyProtection="1">
      <alignment horizontal="center" vertical="center" wrapText="1"/>
      <protection hidden="1"/>
    </xf>
    <xf numFmtId="0" fontId="72" fillId="5" borderId="54" xfId="0" applyFont="1" applyFill="1" applyBorder="1" applyAlignment="1" applyProtection="1">
      <alignment horizontal="center" vertical="center" wrapText="1"/>
      <protection hidden="1"/>
    </xf>
    <xf numFmtId="0" fontId="61" fillId="5" borderId="7" xfId="0" applyFont="1" applyFill="1" applyBorder="1" applyAlignment="1" applyProtection="1">
      <alignment horizontal="center" vertical="center"/>
      <protection hidden="1"/>
    </xf>
    <xf numFmtId="0" fontId="18" fillId="5" borderId="7" xfId="0" applyFont="1" applyFill="1" applyBorder="1" applyAlignment="1" applyProtection="1">
      <alignment vertical="center"/>
      <protection hidden="1"/>
    </xf>
    <xf numFmtId="0" fontId="61" fillId="5" borderId="36" xfId="0" applyFont="1" applyFill="1" applyBorder="1" applyAlignment="1" applyProtection="1">
      <alignment horizontal="center" vertical="center"/>
      <protection hidden="1"/>
    </xf>
    <xf numFmtId="0" fontId="93" fillId="8" borderId="35" xfId="0" applyFont="1" applyFill="1" applyBorder="1" applyAlignment="1" applyProtection="1">
      <alignment horizontal="center" vertical="center" wrapText="1"/>
      <protection hidden="1"/>
    </xf>
    <xf numFmtId="0" fontId="93" fillId="8" borderId="36" xfId="0" applyFont="1" applyFill="1" applyBorder="1" applyAlignment="1" applyProtection="1">
      <alignment horizontal="center" vertical="center" wrapText="1"/>
      <protection hidden="1"/>
    </xf>
    <xf numFmtId="0" fontId="93" fillId="8" borderId="61" xfId="0" applyFont="1" applyFill="1" applyBorder="1" applyAlignment="1" applyProtection="1">
      <alignment horizontal="center" vertical="center" wrapText="1"/>
      <protection hidden="1"/>
    </xf>
    <xf numFmtId="0" fontId="93" fillId="8" borderId="62" xfId="0" applyFont="1" applyFill="1" applyBorder="1" applyAlignment="1" applyProtection="1">
      <alignment horizontal="center" vertical="center"/>
      <protection hidden="1"/>
    </xf>
    <xf numFmtId="0" fontId="93" fillId="8" borderId="36" xfId="0" applyFont="1" applyFill="1" applyBorder="1" applyAlignment="1" applyProtection="1">
      <alignment horizontal="center" vertical="center"/>
      <protection hidden="1"/>
    </xf>
    <xf numFmtId="0" fontId="93" fillId="8" borderId="61" xfId="0" applyFont="1" applyFill="1" applyBorder="1" applyAlignment="1" applyProtection="1">
      <alignment horizontal="center" vertical="center"/>
      <protection hidden="1"/>
    </xf>
    <xf numFmtId="0" fontId="93" fillId="8" borderId="37" xfId="0" applyFont="1" applyFill="1" applyBorder="1" applyAlignment="1" applyProtection="1">
      <alignment horizontal="center" vertical="center"/>
      <protection hidden="1"/>
    </xf>
    <xf numFmtId="0" fontId="26" fillId="14" borderId="12" xfId="0" applyFont="1" applyFill="1" applyBorder="1" applyAlignment="1" applyProtection="1">
      <alignment horizontal="center" wrapText="1"/>
      <protection hidden="1"/>
    </xf>
    <xf numFmtId="0" fontId="26" fillId="14" borderId="13" xfId="0" applyFont="1" applyFill="1" applyBorder="1" applyAlignment="1" applyProtection="1">
      <alignment horizontal="center" wrapText="1"/>
      <protection hidden="1"/>
    </xf>
    <xf numFmtId="0" fontId="26" fillId="14" borderId="14" xfId="0" applyFont="1" applyFill="1" applyBorder="1" applyAlignment="1" applyProtection="1">
      <alignment horizontal="center" wrapText="1"/>
      <protection hidden="1"/>
    </xf>
    <xf numFmtId="0" fontId="12" fillId="14" borderId="25" xfId="0" applyFont="1" applyFill="1" applyBorder="1" applyAlignment="1" applyProtection="1">
      <alignment horizontal="center" vertical="center" wrapText="1"/>
      <protection hidden="1"/>
    </xf>
    <xf numFmtId="0" fontId="12" fillId="14" borderId="22" xfId="0" applyFont="1" applyFill="1" applyBorder="1" applyAlignment="1" applyProtection="1">
      <alignment horizontal="center" vertical="center" wrapText="1"/>
      <protection hidden="1"/>
    </xf>
    <xf numFmtId="0" fontId="12" fillId="14" borderId="26" xfId="0" applyFont="1" applyFill="1" applyBorder="1" applyAlignment="1" applyProtection="1">
      <alignment horizontal="center" vertical="center" wrapText="1"/>
      <protection hidden="1"/>
    </xf>
    <xf numFmtId="0" fontId="26" fillId="14" borderId="15" xfId="0" applyFont="1" applyFill="1" applyBorder="1" applyAlignment="1" applyProtection="1">
      <alignment horizontal="center" vertical="top" wrapText="1"/>
      <protection hidden="1"/>
    </xf>
    <xf numFmtId="0" fontId="26" fillId="14" borderId="0" xfId="0" applyFont="1" applyFill="1" applyBorder="1" applyAlignment="1" applyProtection="1">
      <alignment horizontal="center" vertical="top" wrapText="1"/>
      <protection hidden="1"/>
    </xf>
    <xf numFmtId="0" fontId="26" fillId="14" borderId="16" xfId="0" applyFont="1" applyFill="1" applyBorder="1" applyAlignment="1" applyProtection="1">
      <alignment horizontal="center" vertical="top" wrapText="1"/>
      <protection hidden="1"/>
    </xf>
    <xf numFmtId="0" fontId="91" fillId="8" borderId="35" xfId="0" applyFont="1" applyFill="1" applyBorder="1" applyAlignment="1" applyProtection="1">
      <alignment horizontal="center" wrapText="1"/>
      <protection hidden="1"/>
    </xf>
    <xf numFmtId="0" fontId="91" fillId="8" borderId="36" xfId="0" applyFont="1" applyFill="1" applyBorder="1" applyAlignment="1" applyProtection="1">
      <alignment horizontal="center" wrapText="1"/>
      <protection hidden="1"/>
    </xf>
    <xf numFmtId="0" fontId="91" fillId="8" borderId="61" xfId="0" applyFont="1" applyFill="1" applyBorder="1" applyAlignment="1" applyProtection="1">
      <alignment horizontal="center" wrapText="1"/>
      <protection hidden="1"/>
    </xf>
    <xf numFmtId="0" fontId="91" fillId="8" borderId="62" xfId="0" applyFont="1" applyFill="1" applyBorder="1" applyAlignment="1" applyProtection="1">
      <alignment horizontal="center"/>
      <protection hidden="1"/>
    </xf>
    <xf numFmtId="0" fontId="91" fillId="8" borderId="36" xfId="0" applyFont="1" applyFill="1" applyBorder="1" applyAlignment="1" applyProtection="1">
      <alignment horizontal="center"/>
      <protection hidden="1"/>
    </xf>
    <xf numFmtId="0" fontId="91" fillId="8" borderId="61" xfId="0" applyFont="1" applyFill="1" applyBorder="1" applyAlignment="1" applyProtection="1">
      <alignment horizontal="center"/>
      <protection hidden="1"/>
    </xf>
    <xf numFmtId="0" fontId="91" fillId="8" borderId="22" xfId="0" applyFont="1" applyFill="1" applyBorder="1" applyAlignment="1" applyProtection="1">
      <alignment horizontal="center"/>
      <protection hidden="1"/>
    </xf>
    <xf numFmtId="0" fontId="91" fillId="8" borderId="26" xfId="0" applyFont="1" applyFill="1" applyBorder="1" applyAlignment="1" applyProtection="1">
      <alignment horizontal="center"/>
      <protection hidden="1"/>
    </xf>
    <xf numFmtId="0" fontId="12" fillId="8" borderId="61" xfId="0" applyFont="1" applyFill="1" applyBorder="1" applyAlignment="1" applyProtection="1">
      <alignment horizontal="center" vertical="center" wrapText="1"/>
      <protection hidden="1"/>
    </xf>
    <xf numFmtId="0" fontId="62" fillId="9" borderId="64" xfId="0" applyFont="1" applyFill="1" applyBorder="1" applyAlignment="1" applyProtection="1">
      <alignment horizontal="center" vertical="center"/>
      <protection hidden="1"/>
    </xf>
    <xf numFmtId="0" fontId="62" fillId="9" borderId="22" xfId="0" applyFont="1" applyFill="1" applyBorder="1" applyAlignment="1" applyProtection="1">
      <alignment horizontal="center" vertical="center"/>
      <protection hidden="1"/>
    </xf>
    <xf numFmtId="0" fontId="62" fillId="9" borderId="0" xfId="0" applyFont="1" applyFill="1" applyBorder="1" applyAlignment="1" applyProtection="1">
      <alignment horizontal="center" vertical="center"/>
      <protection hidden="1"/>
    </xf>
    <xf numFmtId="0" fontId="62" fillId="9" borderId="16" xfId="0" applyFont="1" applyFill="1" applyBorder="1" applyAlignment="1" applyProtection="1">
      <alignment horizontal="center" vertical="center"/>
      <protection hidden="1"/>
    </xf>
    <xf numFmtId="0" fontId="81" fillId="31" borderId="12" xfId="0" applyFont="1" applyFill="1" applyBorder="1" applyAlignment="1" applyProtection="1">
      <alignment horizontal="center" vertical="center" wrapText="1"/>
      <protection hidden="1"/>
    </xf>
    <xf numFmtId="0" fontId="81" fillId="31" borderId="13" xfId="0" applyFont="1" applyFill="1" applyBorder="1" applyAlignment="1" applyProtection="1">
      <alignment horizontal="center" vertical="center" wrapText="1"/>
      <protection hidden="1"/>
    </xf>
    <xf numFmtId="0" fontId="81" fillId="31" borderId="14" xfId="0" applyFont="1" applyFill="1" applyBorder="1" applyAlignment="1" applyProtection="1">
      <alignment horizontal="center" vertical="center" wrapText="1"/>
      <protection hidden="1"/>
    </xf>
    <xf numFmtId="0" fontId="27" fillId="5" borderId="12" xfId="0" applyFont="1" applyFill="1" applyBorder="1" applyAlignment="1" applyProtection="1">
      <alignment horizontal="center" vertical="center" wrapText="1"/>
      <protection hidden="1"/>
    </xf>
    <xf numFmtId="0" fontId="27" fillId="5" borderId="14" xfId="0" applyFont="1" applyFill="1" applyBorder="1" applyAlignment="1" applyProtection="1">
      <alignment horizontal="center" vertical="center" wrapText="1"/>
      <protection hidden="1"/>
    </xf>
    <xf numFmtId="0" fontId="27" fillId="5" borderId="18" xfId="0" applyFont="1" applyFill="1" applyBorder="1" applyAlignment="1" applyProtection="1">
      <alignment horizontal="center" vertical="center" wrapText="1"/>
      <protection hidden="1"/>
    </xf>
    <xf numFmtId="0" fontId="27" fillId="5" borderId="54" xfId="0" applyFont="1" applyFill="1" applyBorder="1" applyAlignment="1" applyProtection="1">
      <alignment horizontal="center" vertical="center" wrapText="1"/>
      <protection hidden="1"/>
    </xf>
    <xf numFmtId="14" fontId="27" fillId="5" borderId="52" xfId="0" applyNumberFormat="1" applyFont="1" applyFill="1" applyBorder="1" applyAlignment="1" applyProtection="1">
      <alignment horizontal="center" vertical="center"/>
      <protection hidden="1"/>
    </xf>
    <xf numFmtId="0" fontId="27" fillId="5" borderId="20" xfId="0" applyFont="1" applyFill="1" applyBorder="1" applyAlignment="1" applyProtection="1">
      <alignment horizontal="center" vertical="center"/>
      <protection hidden="1"/>
    </xf>
    <xf numFmtId="0" fontId="60" fillId="9" borderId="62" xfId="0" applyFont="1" applyFill="1" applyBorder="1" applyAlignment="1" applyProtection="1">
      <alignment horizontal="center" vertical="center"/>
      <protection hidden="1"/>
    </xf>
    <xf numFmtId="0" fontId="60" fillId="9" borderId="37" xfId="0" applyFont="1" applyFill="1" applyBorder="1" applyAlignment="1" applyProtection="1">
      <alignment horizontal="center" vertical="center"/>
      <protection hidden="1"/>
    </xf>
    <xf numFmtId="0" fontId="91" fillId="8" borderId="37" xfId="0" applyFont="1" applyFill="1" applyBorder="1" applyAlignment="1" applyProtection="1">
      <alignment horizontal="center"/>
      <protection hidden="1"/>
    </xf>
    <xf numFmtId="0" fontId="26" fillId="14" borderId="12" xfId="0" applyFont="1" applyFill="1" applyBorder="1" applyAlignment="1" applyProtection="1">
      <alignment horizontal="center" vertical="center" wrapText="1"/>
      <protection hidden="1"/>
    </xf>
    <xf numFmtId="0" fontId="26" fillId="14" borderId="13" xfId="0" applyFont="1" applyFill="1" applyBorder="1" applyAlignment="1" applyProtection="1">
      <alignment horizontal="center" vertical="center" wrapText="1"/>
      <protection hidden="1"/>
    </xf>
    <xf numFmtId="0" fontId="26" fillId="14" borderId="14" xfId="0" applyFont="1" applyFill="1" applyBorder="1" applyAlignment="1" applyProtection="1">
      <alignment horizontal="center" vertical="center" wrapText="1"/>
      <protection hidden="1"/>
    </xf>
    <xf numFmtId="0" fontId="26" fillId="14" borderId="15" xfId="0" applyFont="1" applyFill="1" applyBorder="1" applyAlignment="1" applyProtection="1">
      <alignment horizontal="center" vertical="center" wrapText="1"/>
      <protection hidden="1"/>
    </xf>
    <xf numFmtId="0" fontId="26" fillId="14" borderId="0" xfId="0" applyFont="1" applyFill="1" applyBorder="1" applyAlignment="1" applyProtection="1">
      <alignment horizontal="center" vertical="center" wrapText="1"/>
      <protection hidden="1"/>
    </xf>
    <xf numFmtId="0" fontId="26" fillId="14" borderId="16" xfId="0" applyFont="1" applyFill="1" applyBorder="1" applyAlignment="1" applyProtection="1">
      <alignment horizontal="center" vertical="center" wrapText="1"/>
      <protection hidden="1"/>
    </xf>
    <xf numFmtId="0" fontId="12" fillId="8" borderId="25" xfId="0" applyFont="1" applyFill="1" applyBorder="1" applyAlignment="1" applyProtection="1">
      <alignment horizontal="center" vertical="center" wrapText="1"/>
      <protection hidden="1"/>
    </xf>
    <xf numFmtId="0" fontId="12" fillId="8" borderId="22" xfId="0" applyFont="1" applyFill="1" applyBorder="1" applyAlignment="1" applyProtection="1">
      <alignment horizontal="center" vertical="center" wrapText="1"/>
      <protection hidden="1"/>
    </xf>
    <xf numFmtId="0" fontId="12" fillId="8" borderId="26" xfId="0" applyFont="1" applyFill="1" applyBorder="1" applyAlignment="1" applyProtection="1">
      <alignment horizontal="center" vertical="center" wrapText="1"/>
      <protection hidden="1"/>
    </xf>
    <xf numFmtId="0" fontId="60" fillId="9" borderId="61" xfId="0" applyFont="1" applyFill="1" applyBorder="1" applyAlignment="1" applyProtection="1">
      <alignment horizontal="center" vertical="center"/>
      <protection hidden="1"/>
    </xf>
    <xf numFmtId="0" fontId="81" fillId="31" borderId="35" xfId="0" applyFont="1" applyFill="1" applyBorder="1" applyAlignment="1" applyProtection="1">
      <alignment horizontal="center" vertical="center" wrapText="1"/>
      <protection hidden="1"/>
    </xf>
    <xf numFmtId="0" fontId="81" fillId="31" borderId="36" xfId="0" applyFont="1" applyFill="1" applyBorder="1" applyAlignment="1" applyProtection="1">
      <alignment horizontal="center" vertical="center" wrapText="1"/>
      <protection hidden="1"/>
    </xf>
    <xf numFmtId="0" fontId="81" fillId="31" borderId="37" xfId="0" applyFont="1" applyFill="1" applyBorder="1" applyAlignment="1" applyProtection="1">
      <alignment horizontal="center" vertical="center" wrapText="1"/>
      <protection hidden="1"/>
    </xf>
    <xf numFmtId="0" fontId="89" fillId="33" borderId="0" xfId="0" applyFont="1" applyFill="1" applyAlignment="1" applyProtection="1">
      <alignment horizontal="center" vertical="center" wrapText="1"/>
      <protection hidden="1"/>
    </xf>
    <xf numFmtId="0" fontId="90" fillId="33" borderId="0" xfId="0" applyFont="1" applyFill="1" applyAlignment="1" applyProtection="1">
      <alignment horizontal="center" vertical="center" wrapText="1"/>
      <protection hidden="1"/>
    </xf>
    <xf numFmtId="0" fontId="27" fillId="4" borderId="0" xfId="0" applyFont="1" applyFill="1" applyBorder="1" applyAlignment="1" applyProtection="1">
      <alignment horizontal="center"/>
      <protection hidden="1"/>
    </xf>
    <xf numFmtId="0" fontId="17" fillId="8" borderId="35" xfId="0" applyFont="1" applyFill="1" applyBorder="1" applyAlignment="1" applyProtection="1">
      <alignment horizontal="center"/>
      <protection hidden="1"/>
    </xf>
    <xf numFmtId="0" fontId="17" fillId="8" borderId="36" xfId="0" applyFont="1" applyFill="1" applyBorder="1" applyAlignment="1" applyProtection="1">
      <alignment horizontal="center"/>
      <protection hidden="1"/>
    </xf>
    <xf numFmtId="0" fontId="17" fillId="8" borderId="37" xfId="0" applyFont="1" applyFill="1" applyBorder="1" applyAlignment="1" applyProtection="1">
      <alignment horizontal="center"/>
      <protection hidden="1"/>
    </xf>
    <xf numFmtId="0" fontId="54" fillId="4" borderId="0" xfId="0" applyFont="1" applyFill="1" applyBorder="1" applyAlignment="1" applyProtection="1">
      <alignment horizontal="center"/>
      <protection hidden="1"/>
    </xf>
    <xf numFmtId="0" fontId="14" fillId="8" borderId="3" xfId="0" applyFont="1" applyFill="1" applyBorder="1" applyAlignment="1" applyProtection="1">
      <alignment horizontal="center" vertical="center"/>
      <protection hidden="1"/>
    </xf>
    <xf numFmtId="0" fontId="14" fillId="8" borderId="5" xfId="0" applyFont="1" applyFill="1" applyBorder="1" applyAlignment="1" applyProtection="1">
      <alignment horizontal="center" vertical="center"/>
      <protection hidden="1"/>
    </xf>
    <xf numFmtId="0" fontId="14" fillId="4" borderId="0" xfId="0" applyFont="1" applyFill="1" applyBorder="1" applyAlignment="1" applyProtection="1">
      <alignment horizontal="center" vertical="center"/>
      <protection hidden="1"/>
    </xf>
    <xf numFmtId="0" fontId="14" fillId="17" borderId="35" xfId="0" applyFont="1" applyFill="1" applyBorder="1" applyAlignment="1" applyProtection="1">
      <alignment horizontal="center" vertical="center"/>
      <protection hidden="1"/>
    </xf>
    <xf numFmtId="0" fontId="51" fillId="17" borderId="36" xfId="0" applyFont="1" applyFill="1" applyBorder="1" applyAlignment="1" applyProtection="1">
      <alignment horizontal="center" vertical="center"/>
      <protection hidden="1"/>
    </xf>
    <xf numFmtId="0" fontId="51" fillId="17" borderId="37" xfId="0" applyFont="1" applyFill="1" applyBorder="1" applyAlignment="1" applyProtection="1">
      <alignment horizontal="center" vertical="center"/>
      <protection hidden="1"/>
    </xf>
    <xf numFmtId="0" fontId="51" fillId="17" borderId="35" xfId="0" applyFont="1" applyFill="1" applyBorder="1" applyAlignment="1" applyProtection="1">
      <alignment horizontal="center" vertical="center"/>
      <protection hidden="1"/>
    </xf>
    <xf numFmtId="0" fontId="2" fillId="4" borderId="27" xfId="0" applyFont="1" applyFill="1" applyBorder="1" applyAlignment="1" applyProtection="1">
      <alignment horizontal="center" vertical="center" textRotation="90"/>
      <protection hidden="1"/>
    </xf>
    <xf numFmtId="0" fontId="1" fillId="4" borderId="27" xfId="0" applyFont="1" applyFill="1" applyBorder="1" applyAlignment="1" applyProtection="1">
      <alignment horizontal="center" vertical="center" textRotation="90"/>
      <protection hidden="1"/>
    </xf>
    <xf numFmtId="0" fontId="27" fillId="4" borderId="0" xfId="0" applyFont="1" applyFill="1" applyAlignment="1" applyProtection="1">
      <alignment horizontal="center" vertical="center"/>
      <protection hidden="1"/>
    </xf>
    <xf numFmtId="0" fontId="17" fillId="4" borderId="0" xfId="0" applyFont="1" applyFill="1" applyAlignment="1" applyProtection="1">
      <alignment horizontal="center" vertical="center"/>
      <protection hidden="1"/>
    </xf>
    <xf numFmtId="0" fontId="17" fillId="4" borderId="0" xfId="0" applyFont="1" applyFill="1" applyAlignment="1" applyProtection="1">
      <alignment horizontal="right" vertical="center"/>
      <protection hidden="1"/>
    </xf>
    <xf numFmtId="0" fontId="16" fillId="17" borderId="2" xfId="0" applyFont="1" applyFill="1" applyBorder="1" applyAlignment="1" applyProtection="1">
      <alignment horizontal="center" vertical="center"/>
      <protection hidden="1"/>
    </xf>
    <xf numFmtId="0" fontId="19" fillId="5" borderId="41" xfId="0" applyFont="1" applyFill="1" applyBorder="1" applyAlignment="1" applyProtection="1">
      <alignment horizontal="center" vertical="center" wrapText="1"/>
      <protection hidden="1"/>
    </xf>
    <xf numFmtId="0" fontId="19" fillId="5" borderId="66" xfId="0" applyFont="1" applyFill="1" applyBorder="1" applyAlignment="1" applyProtection="1">
      <alignment horizontal="center" vertical="center" wrapText="1"/>
      <protection hidden="1"/>
    </xf>
    <xf numFmtId="0" fontId="19" fillId="5" borderId="7" xfId="0" applyFont="1" applyFill="1" applyBorder="1" applyAlignment="1" applyProtection="1">
      <alignment horizontal="center" vertical="center" wrapText="1"/>
      <protection hidden="1"/>
    </xf>
    <xf numFmtId="0" fontId="19" fillId="5" borderId="24" xfId="0" applyFont="1" applyFill="1" applyBorder="1" applyAlignment="1" applyProtection="1">
      <alignment horizontal="center" vertical="center" wrapText="1"/>
      <protection hidden="1"/>
    </xf>
    <xf numFmtId="0" fontId="89" fillId="35" borderId="12" xfId="0" applyFont="1" applyFill="1" applyBorder="1" applyAlignment="1" applyProtection="1">
      <alignment horizontal="center" vertical="center" wrapText="1"/>
      <protection hidden="1"/>
    </xf>
    <xf numFmtId="0" fontId="89" fillId="35" borderId="13" xfId="0" applyFont="1" applyFill="1" applyBorder="1" applyAlignment="1" applyProtection="1">
      <alignment horizontal="center" vertical="center" wrapText="1"/>
      <protection hidden="1"/>
    </xf>
    <xf numFmtId="0" fontId="89" fillId="35" borderId="44" xfId="0" applyFont="1" applyFill="1" applyBorder="1" applyAlignment="1" applyProtection="1">
      <alignment horizontal="center" vertical="center" wrapText="1"/>
      <protection hidden="1"/>
    </xf>
    <xf numFmtId="0" fontId="19" fillId="5" borderId="4" xfId="0" applyFont="1" applyFill="1" applyBorder="1" applyAlignment="1" applyProtection="1">
      <alignment horizontal="center" vertical="center" wrapText="1"/>
      <protection hidden="1"/>
    </xf>
    <xf numFmtId="0" fontId="19" fillId="8" borderId="4" xfId="0" applyFont="1" applyFill="1" applyBorder="1" applyAlignment="1" applyProtection="1">
      <alignment horizontal="center" vertical="center" wrapText="1"/>
      <protection hidden="1"/>
    </xf>
    <xf numFmtId="0" fontId="89" fillId="35" borderId="15" xfId="0" applyFont="1" applyFill="1" applyBorder="1" applyAlignment="1" applyProtection="1">
      <alignment horizontal="center" vertical="center" wrapText="1"/>
      <protection hidden="1"/>
    </xf>
    <xf numFmtId="0" fontId="89" fillId="35" borderId="0" xfId="0" applyFont="1" applyFill="1" applyBorder="1" applyAlignment="1" applyProtection="1">
      <alignment horizontal="center" vertical="center" wrapText="1"/>
      <protection hidden="1"/>
    </xf>
    <xf numFmtId="0" fontId="89" fillId="35" borderId="27" xfId="0" applyFont="1" applyFill="1" applyBorder="1" applyAlignment="1" applyProtection="1">
      <alignment horizontal="center" vertical="center" wrapText="1"/>
      <protection hidden="1"/>
    </xf>
    <xf numFmtId="0" fontId="19" fillId="5" borderId="2" xfId="0" applyFont="1" applyFill="1" applyBorder="1" applyAlignment="1" applyProtection="1">
      <alignment horizontal="center" vertical="center" wrapText="1"/>
      <protection hidden="1"/>
    </xf>
    <xf numFmtId="0" fontId="19" fillId="8" borderId="2" xfId="0" applyFont="1" applyFill="1" applyBorder="1" applyAlignment="1" applyProtection="1">
      <alignment horizontal="center" vertical="center" wrapText="1"/>
      <protection hidden="1"/>
    </xf>
    <xf numFmtId="0" fontId="16" fillId="19" borderId="21" xfId="0" applyFont="1" applyFill="1" applyBorder="1" applyAlignment="1" applyProtection="1">
      <alignment horizontal="center" vertical="center" wrapText="1"/>
      <protection hidden="1"/>
    </xf>
    <xf numFmtId="0" fontId="16" fillId="19" borderId="51" xfId="0" applyFont="1" applyFill="1" applyBorder="1" applyAlignment="1" applyProtection="1">
      <alignment horizontal="center" vertical="center" wrapText="1"/>
      <protection hidden="1"/>
    </xf>
    <xf numFmtId="0" fontId="16" fillId="19" borderId="59" xfId="0" applyFont="1" applyFill="1" applyBorder="1" applyAlignment="1" applyProtection="1">
      <alignment horizontal="center" vertical="center" wrapText="1"/>
      <protection hidden="1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4" fillId="8" borderId="36" xfId="0" applyFont="1" applyFill="1" applyBorder="1" applyAlignment="1" applyProtection="1">
      <alignment horizontal="center" vertical="center" wrapTex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14" fillId="8" borderId="35" xfId="0" applyFont="1" applyFill="1" applyBorder="1" applyAlignment="1" applyProtection="1">
      <alignment horizontal="right" vertical="center" wrapText="1"/>
      <protection hidden="1"/>
    </xf>
    <xf numFmtId="0" fontId="14" fillId="8" borderId="36" xfId="0" applyFont="1" applyFill="1" applyBorder="1" applyAlignment="1" applyProtection="1">
      <alignment horizontal="right" vertical="center" wrapText="1"/>
      <protection hidden="1"/>
    </xf>
    <xf numFmtId="0" fontId="14" fillId="8" borderId="37" xfId="0" applyFont="1" applyFill="1" applyBorder="1" applyAlignment="1" applyProtection="1">
      <alignment horizontal="right" vertical="center" wrapText="1"/>
      <protection hidden="1"/>
    </xf>
    <xf numFmtId="0" fontId="19" fillId="26" borderId="4" xfId="0" applyFont="1" applyFill="1" applyBorder="1" applyAlignment="1" applyProtection="1">
      <alignment horizontal="center" vertical="center" textRotation="90" wrapText="1"/>
      <protection hidden="1"/>
    </xf>
    <xf numFmtId="0" fontId="19" fillId="26" borderId="2" xfId="0" applyFont="1" applyFill="1" applyBorder="1" applyAlignment="1" applyProtection="1">
      <alignment horizontal="center" vertical="center" textRotation="90" wrapText="1"/>
      <protection hidden="1"/>
    </xf>
    <xf numFmtId="2" fontId="19" fillId="26" borderId="4" xfId="0" applyNumberFormat="1" applyFont="1" applyFill="1" applyBorder="1" applyAlignment="1" applyProtection="1">
      <alignment horizontal="center" vertical="center" textRotation="90" wrapText="1"/>
      <protection hidden="1"/>
    </xf>
    <xf numFmtId="2" fontId="19" fillId="26" borderId="2" xfId="0" applyNumberFormat="1" applyFont="1" applyFill="1" applyBorder="1" applyAlignment="1" applyProtection="1">
      <alignment horizontal="center" vertical="center" textRotation="90" wrapText="1"/>
      <protection hidden="1"/>
    </xf>
    <xf numFmtId="0" fontId="19" fillId="26" borderId="17" xfId="0" applyFont="1" applyFill="1" applyBorder="1" applyAlignment="1" applyProtection="1">
      <alignment horizontal="center" vertical="center" textRotation="90" wrapText="1"/>
      <protection hidden="1"/>
    </xf>
    <xf numFmtId="0" fontId="19" fillId="26" borderId="19" xfId="0" applyFont="1" applyFill="1" applyBorder="1" applyAlignment="1" applyProtection="1">
      <alignment horizontal="center" vertical="center" textRotation="90" wrapText="1"/>
      <protection hidden="1"/>
    </xf>
    <xf numFmtId="0" fontId="26" fillId="8" borderId="30" xfId="0" applyFont="1" applyFill="1" applyBorder="1" applyAlignment="1" applyProtection="1">
      <alignment horizontal="center" vertical="center"/>
      <protection hidden="1"/>
    </xf>
    <xf numFmtId="0" fontId="26" fillId="8" borderId="29" xfId="0" applyFont="1" applyFill="1" applyBorder="1" applyAlignment="1" applyProtection="1">
      <alignment horizontal="center" vertical="center"/>
      <protection hidden="1"/>
    </xf>
    <xf numFmtId="0" fontId="17" fillId="25" borderId="35" xfId="0" applyFont="1" applyFill="1" applyBorder="1" applyAlignment="1" applyProtection="1">
      <alignment horizontal="center" vertical="center" wrapText="1"/>
      <protection hidden="1"/>
    </xf>
    <xf numFmtId="0" fontId="17" fillId="25" borderId="36" xfId="0" applyFont="1" applyFill="1" applyBorder="1" applyAlignment="1" applyProtection="1">
      <alignment horizontal="center" vertical="center" wrapText="1"/>
      <protection hidden="1"/>
    </xf>
    <xf numFmtId="0" fontId="17" fillId="25" borderId="37" xfId="0" applyFont="1" applyFill="1" applyBorder="1" applyAlignment="1" applyProtection="1">
      <alignment horizontal="center" vertical="center" wrapText="1"/>
      <protection hidden="1"/>
    </xf>
    <xf numFmtId="0" fontId="14" fillId="8" borderId="51" xfId="0" applyFont="1" applyFill="1" applyBorder="1" applyAlignment="1" applyProtection="1">
      <alignment horizontal="center" vertical="center" textRotation="90"/>
      <protection hidden="1"/>
    </xf>
    <xf numFmtId="0" fontId="14" fillId="8" borderId="1" xfId="0" applyFont="1" applyFill="1" applyBorder="1" applyAlignment="1" applyProtection="1">
      <alignment horizontal="center" vertical="center" textRotation="90"/>
      <protection hidden="1"/>
    </xf>
    <xf numFmtId="0" fontId="27" fillId="8" borderId="30" xfId="0" applyFont="1" applyFill="1" applyBorder="1" applyAlignment="1" applyProtection="1">
      <alignment horizontal="center" vertical="center"/>
      <protection hidden="1"/>
    </xf>
    <xf numFmtId="0" fontId="27" fillId="8" borderId="29" xfId="0" applyFont="1" applyFill="1" applyBorder="1" applyAlignment="1" applyProtection="1">
      <alignment horizontal="center" vertical="center"/>
      <protection hidden="1"/>
    </xf>
    <xf numFmtId="0" fontId="14" fillId="8" borderId="31" xfId="0" applyFont="1" applyFill="1" applyBorder="1" applyAlignment="1" applyProtection="1">
      <alignment horizontal="center" vertical="center" textRotation="90"/>
      <protection hidden="1"/>
    </xf>
    <xf numFmtId="0" fontId="14" fillId="8" borderId="11" xfId="0" applyFont="1" applyFill="1" applyBorder="1" applyAlignment="1" applyProtection="1">
      <alignment horizontal="center" vertical="center" textRotation="90"/>
      <protection hidden="1"/>
    </xf>
    <xf numFmtId="0" fontId="27" fillId="25" borderId="35" xfId="0" applyFont="1" applyFill="1" applyBorder="1" applyAlignment="1" applyProtection="1">
      <alignment horizontal="center" vertical="center" wrapText="1"/>
      <protection hidden="1"/>
    </xf>
    <xf numFmtId="0" fontId="27" fillId="25" borderId="36" xfId="0" applyFont="1" applyFill="1" applyBorder="1" applyAlignment="1" applyProtection="1">
      <alignment horizontal="center" vertical="center" wrapText="1"/>
      <protection hidden="1"/>
    </xf>
    <xf numFmtId="0" fontId="27" fillId="25" borderId="37" xfId="0" applyFont="1" applyFill="1" applyBorder="1" applyAlignment="1" applyProtection="1">
      <alignment horizontal="center" vertical="center" wrapText="1"/>
      <protection hidden="1"/>
    </xf>
    <xf numFmtId="0" fontId="69" fillId="8" borderId="35" xfId="0" applyFont="1" applyFill="1" applyBorder="1" applyAlignment="1" applyProtection="1">
      <alignment horizontal="center" vertical="center" wrapText="1"/>
      <protection hidden="1"/>
    </xf>
    <xf numFmtId="0" fontId="69" fillId="8" borderId="36" xfId="0" applyFont="1" applyFill="1" applyBorder="1" applyAlignment="1" applyProtection="1">
      <alignment horizontal="center" vertical="center" wrapText="1"/>
      <protection hidden="1"/>
    </xf>
    <xf numFmtId="0" fontId="69" fillId="8" borderId="37" xfId="0" applyFont="1" applyFill="1" applyBorder="1" applyAlignment="1" applyProtection="1">
      <alignment horizontal="center" vertical="center" wrapText="1"/>
      <protection hidden="1"/>
    </xf>
    <xf numFmtId="0" fontId="69" fillId="8" borderId="35" xfId="0" applyFont="1" applyFill="1" applyBorder="1" applyAlignment="1" applyProtection="1">
      <alignment horizontal="left" vertical="center" wrapText="1"/>
      <protection hidden="1"/>
    </xf>
    <xf numFmtId="0" fontId="69" fillId="8" borderId="36" xfId="0" applyFont="1" applyFill="1" applyBorder="1" applyAlignment="1" applyProtection="1">
      <alignment horizontal="left" vertical="center" wrapText="1"/>
      <protection hidden="1"/>
    </xf>
    <xf numFmtId="0" fontId="69" fillId="8" borderId="37" xfId="0" applyFont="1" applyFill="1" applyBorder="1" applyAlignment="1" applyProtection="1">
      <alignment horizontal="left" vertical="center" wrapText="1"/>
      <protection hidden="1"/>
    </xf>
    <xf numFmtId="0" fontId="14" fillId="8" borderId="28" xfId="0" applyFont="1" applyFill="1" applyBorder="1" applyAlignment="1" applyProtection="1">
      <alignment horizontal="center" vertical="center" textRotation="90"/>
      <protection hidden="1"/>
    </xf>
    <xf numFmtId="0" fontId="14" fillId="8" borderId="29" xfId="0" applyFont="1" applyFill="1" applyBorder="1" applyAlignment="1" applyProtection="1">
      <alignment horizontal="center" vertical="center" textRotation="90"/>
      <protection hidden="1"/>
    </xf>
    <xf numFmtId="0" fontId="14" fillId="8" borderId="46" xfId="0" applyFont="1" applyFill="1" applyBorder="1" applyAlignment="1" applyProtection="1">
      <alignment horizontal="center" vertical="center" textRotation="90"/>
      <protection hidden="1"/>
    </xf>
    <xf numFmtId="0" fontId="14" fillId="8" borderId="47" xfId="0" applyFont="1" applyFill="1" applyBorder="1" applyAlignment="1" applyProtection="1">
      <alignment horizontal="center" vertical="center" textRotation="90"/>
      <protection hidden="1"/>
    </xf>
    <xf numFmtId="0" fontId="49" fillId="35" borderId="15" xfId="0" applyFont="1" applyFill="1" applyBorder="1" applyAlignment="1" applyProtection="1">
      <alignment horizontal="center" vertical="center" wrapText="1"/>
      <protection hidden="1"/>
    </xf>
    <xf numFmtId="0" fontId="49" fillId="35" borderId="27" xfId="0" applyFont="1" applyFill="1" applyBorder="1" applyAlignment="1" applyProtection="1">
      <alignment horizontal="center" vertical="center" wrapText="1"/>
      <protection hidden="1"/>
    </xf>
    <xf numFmtId="0" fontId="27" fillId="8" borderId="35" xfId="0" applyFont="1" applyFill="1" applyBorder="1" applyAlignment="1" applyProtection="1">
      <alignment horizontal="right" vertical="center" wrapText="1"/>
      <protection hidden="1"/>
    </xf>
    <xf numFmtId="0" fontId="27" fillId="8" borderId="36" xfId="0" applyFont="1" applyFill="1" applyBorder="1" applyAlignment="1" applyProtection="1">
      <alignment horizontal="right" vertical="center" wrapText="1"/>
      <protection hidden="1"/>
    </xf>
    <xf numFmtId="0" fontId="49" fillId="35" borderId="12" xfId="0" applyFont="1" applyFill="1" applyBorder="1" applyAlignment="1" applyProtection="1">
      <alignment horizontal="center" vertical="center" wrapText="1"/>
      <protection hidden="1"/>
    </xf>
    <xf numFmtId="0" fontId="49" fillId="35" borderId="13" xfId="0" applyFont="1" applyFill="1" applyBorder="1" applyAlignment="1" applyProtection="1">
      <alignment horizontal="center" vertical="center" wrapText="1"/>
      <protection hidden="1"/>
    </xf>
    <xf numFmtId="0" fontId="49" fillId="35" borderId="44" xfId="0" applyFont="1" applyFill="1" applyBorder="1" applyAlignment="1" applyProtection="1">
      <alignment horizontal="center" vertical="center" wrapText="1"/>
      <protection hidden="1"/>
    </xf>
    <xf numFmtId="0" fontId="27" fillId="8" borderId="35" xfId="0" applyFont="1" applyFill="1" applyBorder="1" applyAlignment="1" applyProtection="1">
      <alignment horizontal="center" vertical="center" wrapText="1"/>
      <protection hidden="1"/>
    </xf>
    <xf numFmtId="0" fontId="27" fillId="8" borderId="36" xfId="0" applyFont="1" applyFill="1" applyBorder="1" applyAlignment="1" applyProtection="1">
      <alignment horizontal="center" vertical="center" wrapText="1"/>
      <protection hidden="1"/>
    </xf>
    <xf numFmtId="0" fontId="27" fillId="8" borderId="37" xfId="0" applyFont="1" applyFill="1" applyBorder="1" applyAlignment="1" applyProtection="1">
      <alignment horizontal="center" vertical="center" wrapText="1"/>
      <protection hidden="1"/>
    </xf>
    <xf numFmtId="0" fontId="16" fillId="19" borderId="31" xfId="0" applyFont="1" applyFill="1" applyBorder="1" applyAlignment="1" applyProtection="1">
      <alignment horizontal="center" vertical="center" wrapText="1"/>
      <protection hidden="1"/>
    </xf>
  </cellXfs>
  <cellStyles count="3">
    <cellStyle name="Hyperlink" xfId="1" builtinId="8"/>
    <cellStyle name="Normal" xfId="0" builtinId="0"/>
    <cellStyle name="Percent" xfId="2" builtinId="5"/>
  </cellStyles>
  <dxfs count="7"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</dxfs>
  <tableStyles count="0" defaultTableStyle="TableStyleMedium9" defaultPivotStyle="PivotStyleLight16"/>
  <colors>
    <mruColors>
      <color rgb="FF0858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99060</xdr:colOff>
      <xdr:row>7</xdr:row>
      <xdr:rowOff>38100</xdr:rowOff>
    </xdr:from>
    <xdr:to>
      <xdr:col>12</xdr:col>
      <xdr:colOff>0</xdr:colOff>
      <xdr:row>21</xdr:row>
      <xdr:rowOff>167640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5060" y="1318260"/>
          <a:ext cx="3086100" cy="2689860"/>
        </a:xfrm>
        <a:prstGeom prst="rect">
          <a:avLst/>
        </a:prstGeom>
      </xdr:spPr>
    </xdr:pic>
    <xdr:clientData/>
  </xdr:twoCellAnchor>
  <xdr:twoCellAnchor>
    <xdr:from>
      <xdr:col>10</xdr:col>
      <xdr:colOff>830580</xdr:colOff>
      <xdr:row>4</xdr:row>
      <xdr:rowOff>152400</xdr:rowOff>
    </xdr:from>
    <xdr:to>
      <xdr:col>11</xdr:col>
      <xdr:colOff>1356360</xdr:colOff>
      <xdr:row>6</xdr:row>
      <xdr:rowOff>91440</xdr:rowOff>
    </xdr:to>
    <xdr:sp macro="[0]!ThisWorkbook.ProtectAll" textlink="">
      <xdr:nvSpPr>
        <xdr:cNvPr id="3" name="Rounded Rectangle 2"/>
        <xdr:cNvSpPr/>
      </xdr:nvSpPr>
      <xdr:spPr>
        <a:xfrm>
          <a:off x="6926580" y="883920"/>
          <a:ext cx="16002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400" b="1">
              <a:solidFill>
                <a:schemeClr val="bg1"/>
              </a:solidFill>
            </a:rPr>
            <a:t>PROTECT</a:t>
          </a:r>
          <a:r>
            <a:rPr lang="en-IN" sz="1400" b="1" baseline="0">
              <a:solidFill>
                <a:schemeClr val="bg1"/>
              </a:solidFill>
            </a:rPr>
            <a:t> ALL</a:t>
          </a:r>
          <a:endParaRPr lang="en-IN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807720</xdr:colOff>
      <xdr:row>2</xdr:row>
      <xdr:rowOff>121920</xdr:rowOff>
    </xdr:from>
    <xdr:to>
      <xdr:col>11</xdr:col>
      <xdr:colOff>1333500</xdr:colOff>
      <xdr:row>4</xdr:row>
      <xdr:rowOff>60960</xdr:rowOff>
    </xdr:to>
    <xdr:sp macro="[0]!ThisWorkbook.UnprotectAll_AskPassword" textlink="">
      <xdr:nvSpPr>
        <xdr:cNvPr id="5" name="Rounded Rectangle 4"/>
        <xdr:cNvSpPr/>
      </xdr:nvSpPr>
      <xdr:spPr>
        <a:xfrm>
          <a:off x="6903720" y="487680"/>
          <a:ext cx="16002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400" b="1">
              <a:solidFill>
                <a:schemeClr val="bg1"/>
              </a:solidFill>
            </a:rPr>
            <a:t>UNPROTECT</a:t>
          </a:r>
          <a:r>
            <a:rPr lang="en-IN" sz="1400" b="1" baseline="0">
              <a:solidFill>
                <a:schemeClr val="bg1"/>
              </a:solidFill>
            </a:rPr>
            <a:t> ALL</a:t>
          </a:r>
          <a:endParaRPr lang="en-IN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242464</xdr:colOff>
      <xdr:row>0</xdr:row>
      <xdr:rowOff>276365</xdr:rowOff>
    </xdr:from>
    <xdr:to>
      <xdr:col>1</xdr:col>
      <xdr:colOff>1703687</xdr:colOff>
      <xdr:row>4</xdr:row>
      <xdr:rowOff>87870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7946" y="276365"/>
          <a:ext cx="1461223" cy="138436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228601</xdr:colOff>
      <xdr:row>1</xdr:row>
      <xdr:rowOff>390525</xdr:rowOff>
    </xdr:from>
    <xdr:to>
      <xdr:col>2</xdr:col>
      <xdr:colOff>819143</xdr:colOff>
      <xdr:row>4</xdr:row>
      <xdr:rowOff>86696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9101" y="638175"/>
          <a:ext cx="914392" cy="81059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101082</xdr:colOff>
      <xdr:row>1</xdr:row>
      <xdr:rowOff>295274</xdr:rowOff>
    </xdr:from>
    <xdr:to>
      <xdr:col>2</xdr:col>
      <xdr:colOff>781348</xdr:colOff>
      <xdr:row>4</xdr:row>
      <xdr:rowOff>133350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9202" y="539114"/>
          <a:ext cx="1017451" cy="94678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74595</xdr:colOff>
      <xdr:row>1</xdr:row>
      <xdr:rowOff>304797</xdr:rowOff>
    </xdr:from>
    <xdr:to>
      <xdr:col>2</xdr:col>
      <xdr:colOff>861137</xdr:colOff>
      <xdr:row>4</xdr:row>
      <xdr:rowOff>161818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5095" y="552447"/>
          <a:ext cx="1110392" cy="97144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84504</xdr:colOff>
      <xdr:row>1</xdr:row>
      <xdr:rowOff>321896</xdr:rowOff>
    </xdr:from>
    <xdr:to>
      <xdr:col>2</xdr:col>
      <xdr:colOff>793241</xdr:colOff>
      <xdr:row>4</xdr:row>
      <xdr:rowOff>122845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5004" y="569546"/>
          <a:ext cx="1032587" cy="91537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145464</xdr:colOff>
      <xdr:row>1</xdr:row>
      <xdr:rowOff>230456</xdr:rowOff>
    </xdr:from>
    <xdr:to>
      <xdr:col>2</xdr:col>
      <xdr:colOff>511301</xdr:colOff>
      <xdr:row>4</xdr:row>
      <xdr:rowOff>31405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5464" y="367616"/>
          <a:ext cx="1044017" cy="90584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19008</xdr:colOff>
      <xdr:row>1</xdr:row>
      <xdr:rowOff>11207</xdr:rowOff>
    </xdr:from>
    <xdr:to>
      <xdr:col>2</xdr:col>
      <xdr:colOff>546849</xdr:colOff>
      <xdr:row>3</xdr:row>
      <xdr:rowOff>143519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6561" y="280148"/>
          <a:ext cx="1155370" cy="11005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265479</xdr:colOff>
      <xdr:row>0</xdr:row>
      <xdr:rowOff>217121</xdr:rowOff>
    </xdr:from>
    <xdr:to>
      <xdr:col>2</xdr:col>
      <xdr:colOff>526541</xdr:colOff>
      <xdr:row>3</xdr:row>
      <xdr:rowOff>27595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5479" y="217121"/>
          <a:ext cx="1032587" cy="91537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19051</xdr:colOff>
      <xdr:row>2</xdr:row>
      <xdr:rowOff>200024</xdr:rowOff>
    </xdr:from>
    <xdr:to>
      <xdr:col>28</xdr:col>
      <xdr:colOff>123825</xdr:colOff>
      <xdr:row>7</xdr:row>
      <xdr:rowOff>123824</xdr:rowOff>
    </xdr:to>
    <xdr:pic>
      <xdr:nvPicPr>
        <xdr:cNvPr id="2" name="Picture 1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91351" y="466724"/>
          <a:ext cx="1163954" cy="123444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66675</xdr:colOff>
      <xdr:row>2</xdr:row>
      <xdr:rowOff>95250</xdr:rowOff>
    </xdr:from>
    <xdr:to>
      <xdr:col>7</xdr:col>
      <xdr:colOff>19050</xdr:colOff>
      <xdr:row>7</xdr:row>
      <xdr:rowOff>124554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28625" y="485775"/>
          <a:ext cx="1285875" cy="135327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129011</xdr:colOff>
      <xdr:row>2</xdr:row>
      <xdr:rowOff>95250</xdr:rowOff>
    </xdr:from>
    <xdr:to>
      <xdr:col>2</xdr:col>
      <xdr:colOff>774320</xdr:colOff>
      <xdr:row>2</xdr:row>
      <xdr:rowOff>97641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9011" y="243417"/>
          <a:ext cx="1045740" cy="82442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129011</xdr:colOff>
      <xdr:row>1</xdr:row>
      <xdr:rowOff>95250</xdr:rowOff>
    </xdr:from>
    <xdr:to>
      <xdr:col>3</xdr:col>
      <xdr:colOff>20786</xdr:colOff>
      <xdr:row>1</xdr:row>
      <xdr:rowOff>97641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9011" y="238125"/>
          <a:ext cx="1159659" cy="239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129011</xdr:colOff>
      <xdr:row>1</xdr:row>
      <xdr:rowOff>95250</xdr:rowOff>
    </xdr:from>
    <xdr:to>
      <xdr:col>3</xdr:col>
      <xdr:colOff>7240</xdr:colOff>
      <xdr:row>1</xdr:row>
      <xdr:rowOff>97641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9011" y="238125"/>
          <a:ext cx="1159659" cy="239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48596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4200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3</xdr:row>
      <xdr:rowOff>124796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5724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48596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4200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162896</xdr:rowOff>
    </xdr:to>
    <xdr:pic>
      <xdr:nvPicPr>
        <xdr:cNvPr id="5" name="Picture 4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676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6" name="Picture 5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8726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106311</xdr:rowOff>
    </xdr:to>
    <xdr:pic>
      <xdr:nvPicPr>
        <xdr:cNvPr id="7" name="Picture 6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11089"/>
        </a:xfrm>
        <a:prstGeom prst="rect">
          <a:avLst/>
        </a:prstGeom>
      </xdr:spPr>
    </xdr:pic>
    <xdr:clientData/>
  </xdr:twoCellAnchor>
  <xdr:twoCellAnchor editAs="oneCell">
    <xdr:from>
      <xdr:col>1</xdr:col>
      <xdr:colOff>49686</xdr:colOff>
      <xdr:row>0</xdr:row>
      <xdr:rowOff>219074</xdr:rowOff>
    </xdr:from>
    <xdr:to>
      <xdr:col>1</xdr:col>
      <xdr:colOff>49686</xdr:colOff>
      <xdr:row>5</xdr:row>
      <xdr:rowOff>123824</xdr:rowOff>
    </xdr:to>
    <xdr:pic>
      <xdr:nvPicPr>
        <xdr:cNvPr id="8" name="Picture 7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0206" y="219074"/>
          <a:ext cx="0" cy="151257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48596</xdr:rowOff>
    </xdr:to>
    <xdr:pic>
      <xdr:nvPicPr>
        <xdr:cNvPr id="9" name="Picture 8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4200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162896</xdr:rowOff>
    </xdr:to>
    <xdr:pic>
      <xdr:nvPicPr>
        <xdr:cNvPr id="10" name="Picture 9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676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11" name="Picture 10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8726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106311</xdr:rowOff>
    </xdr:to>
    <xdr:pic>
      <xdr:nvPicPr>
        <xdr:cNvPr id="12" name="Picture 1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1108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13" name="Picture 1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8726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106311</xdr:rowOff>
    </xdr:to>
    <xdr:pic>
      <xdr:nvPicPr>
        <xdr:cNvPr id="14" name="Picture 1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11089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1</xdr:row>
      <xdr:rowOff>523874</xdr:rowOff>
    </xdr:from>
    <xdr:to>
      <xdr:col>1</xdr:col>
      <xdr:colOff>1323975</xdr:colOff>
      <xdr:row>4</xdr:row>
      <xdr:rowOff>14159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0550" y="838199"/>
          <a:ext cx="1095375" cy="8618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halasangam.com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XFC28"/>
  <sheetViews>
    <sheetView showGridLines="0" showRowColHeaders="0" workbookViewId="0"/>
  </sheetViews>
  <sheetFormatPr defaultColWidth="0" defaultRowHeight="14.4" customHeight="1" zeroHeight="1" x14ac:dyDescent="0.3"/>
  <cols>
    <col min="1" max="1" width="8.88671875" style="231" customWidth="1"/>
    <col min="2" max="10" width="8.88671875" style="301" customWidth="1"/>
    <col min="11" max="11" width="15.6640625" style="301" customWidth="1"/>
    <col min="12" max="12" width="30.6640625" style="302" customWidth="1"/>
    <col min="13" max="16383" width="8.88671875" style="8" hidden="1"/>
    <col min="16384" max="16384" width="26.88671875" style="8" hidden="1" customWidth="1"/>
  </cols>
  <sheetData>
    <row r="1" spans="1:12" x14ac:dyDescent="0.3">
      <c r="A1" s="298"/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300"/>
    </row>
    <row r="2" spans="1:12" x14ac:dyDescent="0.3"/>
    <row r="3" spans="1:12" x14ac:dyDescent="0.3"/>
    <row r="4" spans="1:12" x14ac:dyDescent="0.3"/>
    <row r="5" spans="1:12" x14ac:dyDescent="0.3"/>
    <row r="6" spans="1:12" x14ac:dyDescent="0.3">
      <c r="D6" s="604" t="s">
        <v>243</v>
      </c>
      <c r="E6" s="604"/>
      <c r="F6" s="604"/>
      <c r="G6" s="604"/>
      <c r="H6" s="604"/>
      <c r="I6" s="604"/>
      <c r="J6" s="604"/>
    </row>
    <row r="7" spans="1:12" x14ac:dyDescent="0.3">
      <c r="D7" s="604"/>
      <c r="E7" s="604"/>
      <c r="F7" s="604"/>
      <c r="G7" s="604"/>
      <c r="H7" s="604"/>
      <c r="I7" s="604"/>
      <c r="J7" s="604"/>
    </row>
    <row r="8" spans="1:12" x14ac:dyDescent="0.3">
      <c r="D8" s="604"/>
      <c r="E8" s="604"/>
      <c r="F8" s="604"/>
      <c r="G8" s="604"/>
      <c r="H8" s="604"/>
      <c r="I8" s="604"/>
      <c r="J8" s="604"/>
    </row>
    <row r="9" spans="1:12" x14ac:dyDescent="0.3">
      <c r="D9" s="604"/>
      <c r="E9" s="604"/>
      <c r="F9" s="604"/>
      <c r="G9" s="604"/>
      <c r="H9" s="604"/>
      <c r="I9" s="604"/>
      <c r="J9" s="604"/>
    </row>
    <row r="10" spans="1:12" x14ac:dyDescent="0.3">
      <c r="D10" s="604"/>
      <c r="E10" s="604"/>
      <c r="F10" s="604"/>
      <c r="G10" s="604"/>
      <c r="H10" s="604"/>
      <c r="I10" s="604"/>
      <c r="J10" s="604"/>
    </row>
    <row r="11" spans="1:12" x14ac:dyDescent="0.3"/>
    <row r="12" spans="1:12" x14ac:dyDescent="0.3"/>
    <row r="13" spans="1:12" x14ac:dyDescent="0.3">
      <c r="D13" s="605" t="s">
        <v>244</v>
      </c>
      <c r="E13" s="605"/>
      <c r="F13" s="605"/>
      <c r="G13" s="605"/>
      <c r="H13" s="605"/>
      <c r="I13" s="605"/>
      <c r="J13" s="605"/>
    </row>
    <row r="14" spans="1:12" x14ac:dyDescent="0.3">
      <c r="D14" s="605"/>
      <c r="E14" s="605"/>
      <c r="F14" s="605"/>
      <c r="G14" s="605"/>
      <c r="H14" s="605"/>
      <c r="I14" s="605"/>
      <c r="J14" s="605"/>
    </row>
    <row r="15" spans="1:12" x14ac:dyDescent="0.3">
      <c r="D15" s="605"/>
      <c r="E15" s="605"/>
      <c r="F15" s="605"/>
      <c r="G15" s="605"/>
      <c r="H15" s="605"/>
      <c r="I15" s="605"/>
      <c r="J15" s="605"/>
    </row>
    <row r="16" spans="1:12" ht="14.4" customHeight="1" x14ac:dyDescent="0.3">
      <c r="D16" s="605"/>
      <c r="E16" s="605"/>
      <c r="F16" s="605"/>
      <c r="G16" s="605"/>
      <c r="H16" s="605"/>
      <c r="I16" s="605"/>
      <c r="J16" s="605"/>
    </row>
    <row r="17" spans="4:10" x14ac:dyDescent="0.3">
      <c r="D17" s="605"/>
      <c r="E17" s="605"/>
      <c r="F17" s="605"/>
      <c r="G17" s="605"/>
      <c r="H17" s="605"/>
      <c r="I17" s="605"/>
      <c r="J17" s="605"/>
    </row>
    <row r="18" spans="4:10" x14ac:dyDescent="0.3">
      <c r="D18" s="605"/>
      <c r="E18" s="605"/>
      <c r="F18" s="605"/>
      <c r="G18" s="605"/>
      <c r="H18" s="605"/>
      <c r="I18" s="605"/>
      <c r="J18" s="605"/>
    </row>
    <row r="19" spans="4:10" x14ac:dyDescent="0.3"/>
    <row r="20" spans="4:10" x14ac:dyDescent="0.3">
      <c r="D20" s="606" t="s">
        <v>245</v>
      </c>
      <c r="E20" s="606"/>
      <c r="F20" s="606"/>
      <c r="G20" s="606"/>
      <c r="H20" s="606"/>
      <c r="I20" s="606"/>
      <c r="J20" s="606"/>
    </row>
    <row r="21" spans="4:10" x14ac:dyDescent="0.3">
      <c r="D21" s="606"/>
      <c r="E21" s="606"/>
      <c r="F21" s="606"/>
      <c r="G21" s="606"/>
      <c r="H21" s="606"/>
      <c r="I21" s="606"/>
      <c r="J21" s="606"/>
    </row>
    <row r="22" spans="4:10" x14ac:dyDescent="0.3">
      <c r="D22" s="606"/>
      <c r="E22" s="606"/>
      <c r="F22" s="606"/>
      <c r="G22" s="606"/>
      <c r="H22" s="606"/>
      <c r="I22" s="606"/>
      <c r="J22" s="606"/>
    </row>
    <row r="23" spans="4:10" x14ac:dyDescent="0.3"/>
    <row r="24" spans="4:10" x14ac:dyDescent="0.3">
      <c r="D24" s="607" t="s">
        <v>246</v>
      </c>
      <c r="E24" s="607"/>
      <c r="F24" s="607"/>
      <c r="G24" s="607"/>
      <c r="H24" s="607"/>
      <c r="I24" s="607"/>
      <c r="J24" s="607"/>
    </row>
    <row r="25" spans="4:10" x14ac:dyDescent="0.3">
      <c r="D25" s="607"/>
      <c r="E25" s="607"/>
      <c r="F25" s="607"/>
      <c r="G25" s="607"/>
      <c r="H25" s="607"/>
      <c r="I25" s="607"/>
      <c r="J25" s="607"/>
    </row>
    <row r="26" spans="4:10" x14ac:dyDescent="0.3"/>
    <row r="27" spans="4:10" x14ac:dyDescent="0.3"/>
    <row r="28" spans="4:10" x14ac:dyDescent="0.3"/>
  </sheetData>
  <sheetProtection algorithmName="SHA-512" hashValue="QmbvMdzcvtA2hzalVxhk74uwBa6yHdQuA8OmczzQa7Nt5TzUeDl3b6kgbPSKw5cr/m6aSYphusK8aTNUd26KhQ==" saltValue="Y2McpeLwdjLYF9rlofYPuw==" spinCount="100000" sheet="1" objects="1" scenarios="1" selectLockedCells="1" selectUnlockedCells="1"/>
  <mergeCells count="4">
    <mergeCell ref="D6:J10"/>
    <mergeCell ref="D13:J18"/>
    <mergeCell ref="D20:J22"/>
    <mergeCell ref="D24:J25"/>
  </mergeCells>
  <hyperlinks>
    <hyperlink ref="D20:J22" r:id="rId1" display="http://www.shalasangam.com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FC26"/>
  <sheetViews>
    <sheetView zoomScaleNormal="100" workbookViewId="0">
      <selection activeCell="C3" sqref="C3:H3"/>
    </sheetView>
  </sheetViews>
  <sheetFormatPr defaultColWidth="0" defaultRowHeight="14.4" zeroHeight="1" x14ac:dyDescent="0.3"/>
  <cols>
    <col min="1" max="1" width="3.33203125" style="220" customWidth="1"/>
    <col min="2" max="2" width="27.33203125" style="28" bestFit="1" customWidth="1"/>
    <col min="3" max="3" width="20.5546875" style="28" customWidth="1"/>
    <col min="4" max="4" width="15.5546875" style="28" customWidth="1"/>
    <col min="5" max="5" width="13.5546875" style="28" customWidth="1"/>
    <col min="6" max="6" width="24.109375" style="28" customWidth="1"/>
    <col min="7" max="7" width="30.44140625" style="28" customWidth="1"/>
    <col min="8" max="9" width="15.5546875" style="28" customWidth="1"/>
    <col min="10" max="10" width="3.109375" style="220" customWidth="1"/>
    <col min="11" max="16383" width="9.109375" style="1" hidden="1"/>
    <col min="16384" max="16384" width="3.5546875" style="1" hidden="1" customWidth="1"/>
  </cols>
  <sheetData>
    <row r="1" spans="1:12" s="220" customFormat="1" ht="22.95" customHeight="1" thickBot="1" x14ac:dyDescent="0.35">
      <c r="A1" s="219"/>
      <c r="B1" s="218"/>
      <c r="C1" s="619" t="s">
        <v>312</v>
      </c>
      <c r="D1" s="619"/>
      <c r="E1" s="619"/>
      <c r="F1" s="619"/>
      <c r="G1" s="283"/>
      <c r="H1" s="289" t="s">
        <v>242</v>
      </c>
      <c r="I1" s="283"/>
      <c r="J1" s="284"/>
    </row>
    <row r="2" spans="1:12" s="3" customFormat="1" ht="48.75" customHeight="1" thickBot="1" x14ac:dyDescent="0.35">
      <c r="A2" s="219"/>
      <c r="B2" s="639" t="s">
        <v>238</v>
      </c>
      <c r="C2" s="640"/>
      <c r="D2" s="640"/>
      <c r="E2" s="640"/>
      <c r="F2" s="640"/>
      <c r="G2" s="640"/>
      <c r="H2" s="640"/>
      <c r="I2" s="641"/>
      <c r="J2" s="285"/>
      <c r="K2" s="4"/>
      <c r="L2" s="4"/>
    </row>
    <row r="3" spans="1:12" s="3" customFormat="1" ht="30.75" customHeight="1" x14ac:dyDescent="0.45">
      <c r="A3" s="219"/>
      <c r="B3" s="36"/>
      <c r="C3" s="642" t="s">
        <v>294</v>
      </c>
      <c r="D3" s="642"/>
      <c r="E3" s="642"/>
      <c r="F3" s="642"/>
      <c r="G3" s="642"/>
      <c r="H3" s="642"/>
      <c r="I3" s="37"/>
      <c r="J3" s="286"/>
    </row>
    <row r="4" spans="1:12" s="3" customFormat="1" ht="21.75" customHeight="1" thickBot="1" x14ac:dyDescent="0.55000000000000004">
      <c r="A4" s="219"/>
      <c r="B4" s="676" t="s">
        <v>264</v>
      </c>
      <c r="C4" s="677"/>
      <c r="D4" s="677"/>
      <c r="E4" s="677"/>
      <c r="F4" s="677"/>
      <c r="G4" s="677"/>
      <c r="H4" s="677"/>
      <c r="I4" s="678"/>
      <c r="J4" s="286"/>
    </row>
    <row r="5" spans="1:12" s="3" customFormat="1" ht="25.5" customHeight="1" thickBot="1" x14ac:dyDescent="0.35">
      <c r="A5" s="219"/>
      <c r="B5" s="482" t="s">
        <v>169</v>
      </c>
      <c r="C5" s="484" t="s">
        <v>292</v>
      </c>
      <c r="D5" s="486" t="s">
        <v>170</v>
      </c>
      <c r="E5" s="652" t="s">
        <v>289</v>
      </c>
      <c r="F5" s="653"/>
      <c r="G5" s="654"/>
      <c r="H5" s="655" t="s">
        <v>171</v>
      </c>
      <c r="I5" s="657" t="s">
        <v>291</v>
      </c>
      <c r="J5" s="287"/>
    </row>
    <row r="6" spans="1:12" s="3" customFormat="1" ht="25.5" customHeight="1" thickBot="1" x14ac:dyDescent="0.35">
      <c r="A6" s="219"/>
      <c r="B6" s="483" t="s">
        <v>172</v>
      </c>
      <c r="C6" s="485" t="s">
        <v>293</v>
      </c>
      <c r="D6" s="487" t="s">
        <v>173</v>
      </c>
      <c r="E6" s="659" t="s">
        <v>290</v>
      </c>
      <c r="F6" s="660"/>
      <c r="G6" s="661"/>
      <c r="H6" s="656"/>
      <c r="I6" s="658"/>
      <c r="J6" s="287"/>
    </row>
    <row r="7" spans="1:12" s="3" customFormat="1" ht="39" customHeight="1" x14ac:dyDescent="0.3">
      <c r="A7" s="219"/>
      <c r="B7" s="679" t="s">
        <v>76</v>
      </c>
      <c r="C7" s="680"/>
      <c r="D7" s="681" t="s">
        <v>77</v>
      </c>
      <c r="E7" s="681"/>
      <c r="F7" s="682"/>
      <c r="G7" s="481" t="s">
        <v>83</v>
      </c>
      <c r="H7" s="665" t="s">
        <v>174</v>
      </c>
      <c r="I7" s="666"/>
      <c r="J7" s="286"/>
    </row>
    <row r="8" spans="1:12" s="3" customFormat="1" ht="16.5" customHeight="1" x14ac:dyDescent="0.3">
      <c r="A8" s="219"/>
      <c r="B8" s="683">
        <v>9</v>
      </c>
      <c r="C8" s="686" t="s">
        <v>145</v>
      </c>
      <c r="D8" s="662"/>
      <c r="E8" s="689"/>
      <c r="F8" s="690"/>
      <c r="G8" s="662"/>
      <c r="H8" s="663"/>
      <c r="I8" s="664"/>
      <c r="J8" s="286"/>
    </row>
    <row r="9" spans="1:12" s="3" customFormat="1" ht="11.25" customHeight="1" x14ac:dyDescent="0.3">
      <c r="A9" s="219"/>
      <c r="B9" s="684"/>
      <c r="C9" s="687"/>
      <c r="D9" s="662"/>
      <c r="E9" s="689"/>
      <c r="F9" s="690"/>
      <c r="G9" s="662"/>
      <c r="H9" s="663"/>
      <c r="I9" s="664"/>
      <c r="J9" s="286"/>
    </row>
    <row r="10" spans="1:12" s="3" customFormat="1" ht="8.25" customHeight="1" x14ac:dyDescent="0.3">
      <c r="A10" s="219"/>
      <c r="B10" s="685"/>
      <c r="C10" s="688"/>
      <c r="D10" s="662"/>
      <c r="E10" s="689"/>
      <c r="F10" s="690"/>
      <c r="G10" s="662"/>
      <c r="H10" s="663"/>
      <c r="I10" s="664"/>
      <c r="J10" s="286"/>
    </row>
    <row r="11" spans="1:12" s="3" customFormat="1" ht="25.5" customHeight="1" x14ac:dyDescent="0.3">
      <c r="A11" s="219"/>
      <c r="B11" s="643" t="s">
        <v>78</v>
      </c>
      <c r="C11" s="644"/>
      <c r="D11" s="670" t="s">
        <v>79</v>
      </c>
      <c r="E11" s="670"/>
      <c r="F11" s="671"/>
      <c r="G11" s="669" t="s">
        <v>82</v>
      </c>
      <c r="H11" s="670"/>
      <c r="I11" s="671"/>
      <c r="J11" s="286"/>
    </row>
    <row r="12" spans="1:12" s="3" customFormat="1" ht="25.5" customHeight="1" thickBot="1" x14ac:dyDescent="0.35">
      <c r="A12" s="219"/>
      <c r="B12" s="672" t="s">
        <v>0</v>
      </c>
      <c r="C12" s="673"/>
      <c r="D12" s="674" t="s">
        <v>296</v>
      </c>
      <c r="E12" s="674"/>
      <c r="F12" s="675"/>
      <c r="G12" s="342" t="s">
        <v>0</v>
      </c>
      <c r="H12" s="608" t="s">
        <v>92</v>
      </c>
      <c r="I12" s="609"/>
      <c r="J12" s="286"/>
    </row>
    <row r="13" spans="1:12" s="3" customFormat="1" ht="25.5" customHeight="1" x14ac:dyDescent="0.3">
      <c r="A13" s="219"/>
      <c r="B13" s="628" t="s">
        <v>299</v>
      </c>
      <c r="C13" s="491" t="s">
        <v>1</v>
      </c>
      <c r="D13" s="637" t="s">
        <v>296</v>
      </c>
      <c r="E13" s="637"/>
      <c r="F13" s="638"/>
      <c r="G13" s="630" t="s">
        <v>301</v>
      </c>
      <c r="H13" s="608" t="s">
        <v>91</v>
      </c>
      <c r="I13" s="609"/>
      <c r="J13" s="286"/>
    </row>
    <row r="14" spans="1:12" s="3" customFormat="1" ht="25.5" customHeight="1" thickBot="1" x14ac:dyDescent="0.35">
      <c r="A14" s="219"/>
      <c r="B14" s="629"/>
      <c r="C14" s="492" t="s">
        <v>297</v>
      </c>
      <c r="D14" s="620" t="s">
        <v>296</v>
      </c>
      <c r="E14" s="620"/>
      <c r="F14" s="621"/>
      <c r="G14" s="631"/>
      <c r="H14" s="608" t="s">
        <v>2</v>
      </c>
      <c r="I14" s="609"/>
      <c r="J14" s="286"/>
    </row>
    <row r="15" spans="1:12" s="3" customFormat="1" ht="25.5" customHeight="1" x14ac:dyDescent="0.3">
      <c r="A15" s="219"/>
      <c r="B15" s="695" t="s">
        <v>62</v>
      </c>
      <c r="C15" s="696"/>
      <c r="D15" s="697" t="s">
        <v>296</v>
      </c>
      <c r="E15" s="697"/>
      <c r="F15" s="698"/>
      <c r="G15" s="343" t="s">
        <v>80</v>
      </c>
      <c r="H15" s="608" t="s">
        <v>88</v>
      </c>
      <c r="I15" s="609"/>
      <c r="J15" s="286"/>
    </row>
    <row r="16" spans="1:12" s="3" customFormat="1" ht="25.5" customHeight="1" x14ac:dyDescent="0.3">
      <c r="A16" s="219"/>
      <c r="B16" s="699" t="s">
        <v>63</v>
      </c>
      <c r="C16" s="700"/>
      <c r="D16" s="701" t="s">
        <v>296</v>
      </c>
      <c r="E16" s="701"/>
      <c r="F16" s="702"/>
      <c r="G16" s="343" t="s">
        <v>81</v>
      </c>
      <c r="H16" s="608" t="s">
        <v>89</v>
      </c>
      <c r="I16" s="609"/>
      <c r="J16" s="286"/>
    </row>
    <row r="17" spans="1:10" s="3" customFormat="1" ht="25.5" customHeight="1" thickBot="1" x14ac:dyDescent="0.35">
      <c r="A17" s="219"/>
      <c r="B17" s="672" t="s">
        <v>3</v>
      </c>
      <c r="C17" s="673"/>
      <c r="D17" s="701" t="s">
        <v>296</v>
      </c>
      <c r="E17" s="701"/>
      <c r="F17" s="702"/>
      <c r="G17" s="343" t="s">
        <v>129</v>
      </c>
      <c r="H17" s="608"/>
      <c r="I17" s="609"/>
      <c r="J17" s="286"/>
    </row>
    <row r="18" spans="1:10" s="3" customFormat="1" ht="25.5" hidden="1" customHeight="1" thickBot="1" x14ac:dyDescent="0.35">
      <c r="A18" s="219"/>
      <c r="B18" s="691" t="s">
        <v>111</v>
      </c>
      <c r="C18" s="692"/>
      <c r="D18" s="693"/>
      <c r="E18" s="693"/>
      <c r="F18" s="694"/>
      <c r="G18" s="344" t="s">
        <v>111</v>
      </c>
      <c r="H18" s="667" t="s">
        <v>90</v>
      </c>
      <c r="I18" s="668"/>
      <c r="J18" s="286"/>
    </row>
    <row r="19" spans="1:10" s="3" customFormat="1" ht="16.2" customHeight="1" thickBot="1" x14ac:dyDescent="0.35">
      <c r="A19" s="219"/>
      <c r="B19" s="634" t="s">
        <v>300</v>
      </c>
      <c r="C19" s="635"/>
      <c r="D19" s="635"/>
      <c r="E19" s="635"/>
      <c r="F19" s="636"/>
      <c r="G19" s="610" t="s">
        <v>302</v>
      </c>
      <c r="H19" s="611"/>
      <c r="I19" s="612"/>
      <c r="J19" s="286"/>
    </row>
    <row r="20" spans="1:10" s="490" customFormat="1" ht="20.399999999999999" x14ac:dyDescent="0.3">
      <c r="A20" s="488"/>
      <c r="B20" s="632" t="s">
        <v>272</v>
      </c>
      <c r="C20" s="633"/>
      <c r="D20" s="637" t="s">
        <v>296</v>
      </c>
      <c r="E20" s="637"/>
      <c r="F20" s="638"/>
      <c r="G20" s="613"/>
      <c r="H20" s="614"/>
      <c r="I20" s="615"/>
      <c r="J20" s="489"/>
    </row>
    <row r="21" spans="1:10" s="490" customFormat="1" ht="20.399999999999999" x14ac:dyDescent="0.3">
      <c r="A21" s="488"/>
      <c r="B21" s="622" t="s">
        <v>111</v>
      </c>
      <c r="C21" s="623"/>
      <c r="D21" s="624" t="s">
        <v>296</v>
      </c>
      <c r="E21" s="624"/>
      <c r="F21" s="625"/>
      <c r="G21" s="613"/>
      <c r="H21" s="614"/>
      <c r="I21" s="615"/>
      <c r="J21" s="489"/>
    </row>
    <row r="22" spans="1:10" s="490" customFormat="1" ht="21" thickBot="1" x14ac:dyDescent="0.35">
      <c r="A22" s="488"/>
      <c r="B22" s="626" t="s">
        <v>298</v>
      </c>
      <c r="C22" s="627"/>
      <c r="D22" s="620" t="s">
        <v>296</v>
      </c>
      <c r="E22" s="620"/>
      <c r="F22" s="621"/>
      <c r="G22" s="616"/>
      <c r="H22" s="617"/>
      <c r="I22" s="618"/>
      <c r="J22" s="489"/>
    </row>
    <row r="23" spans="1:10" s="220" customFormat="1" ht="27.75" customHeight="1" thickBot="1" x14ac:dyDescent="0.35">
      <c r="A23" s="219"/>
      <c r="B23" s="328" t="s">
        <v>267</v>
      </c>
      <c r="C23" s="334" t="s">
        <v>265</v>
      </c>
      <c r="D23" s="221" t="s">
        <v>168</v>
      </c>
      <c r="E23" s="651" t="s">
        <v>295</v>
      </c>
      <c r="F23" s="651"/>
      <c r="G23" s="648" t="s">
        <v>241</v>
      </c>
      <c r="H23" s="649"/>
      <c r="I23" s="650"/>
      <c r="J23" s="286"/>
    </row>
    <row r="24" spans="1:10" s="220" customFormat="1" ht="28.2" thickBot="1" x14ac:dyDescent="0.35">
      <c r="A24" s="219"/>
      <c r="B24" s="329" t="s">
        <v>207</v>
      </c>
      <c r="C24" s="288" t="s">
        <v>266</v>
      </c>
      <c r="D24" s="290"/>
      <c r="E24" s="290"/>
      <c r="F24" s="290"/>
      <c r="G24" s="645" t="s">
        <v>240</v>
      </c>
      <c r="H24" s="646"/>
      <c r="I24" s="647"/>
      <c r="J24" s="218"/>
    </row>
    <row r="25" spans="1:10" s="219" customFormat="1" ht="14.4" customHeight="1" x14ac:dyDescent="0.3">
      <c r="B25" s="472"/>
      <c r="C25" s="221"/>
      <c r="D25" s="221"/>
      <c r="E25" s="221"/>
      <c r="F25" s="221"/>
      <c r="G25" s="473"/>
      <c r="H25" s="473"/>
      <c r="I25" s="473"/>
    </row>
    <row r="26" spans="1:10" customFormat="1" hidden="1" x14ac:dyDescent="0.3"/>
  </sheetData>
  <sheetProtection algorithmName="SHA-512" hashValue="GX0ojUfvOt9ZqG4huAwOEBjYk+WPdtINv//VA11C58dmBhGfFDc8cYC37GeNaogrQN6yIsFvAxNh0T1bYBJhtA==" saltValue="YwV74ITjvSOE6w0lGEx62w==" spinCount="100000" sheet="1" objects="1" scenarios="1" selectLockedCells="1"/>
  <mergeCells count="51">
    <mergeCell ref="B18:C18"/>
    <mergeCell ref="D18:F18"/>
    <mergeCell ref="B15:C15"/>
    <mergeCell ref="D15:F15"/>
    <mergeCell ref="B16:C16"/>
    <mergeCell ref="D16:F16"/>
    <mergeCell ref="B17:C17"/>
    <mergeCell ref="D17:F17"/>
    <mergeCell ref="D11:F11"/>
    <mergeCell ref="B12:C12"/>
    <mergeCell ref="D12:F12"/>
    <mergeCell ref="D13:F13"/>
    <mergeCell ref="B4:I4"/>
    <mergeCell ref="B7:C7"/>
    <mergeCell ref="D7:F7"/>
    <mergeCell ref="H12:I12"/>
    <mergeCell ref="B8:B10"/>
    <mergeCell ref="C8:C10"/>
    <mergeCell ref="D8:F10"/>
    <mergeCell ref="G24:I24"/>
    <mergeCell ref="G23:I23"/>
    <mergeCell ref="E23:F23"/>
    <mergeCell ref="E5:G5"/>
    <mergeCell ref="H5:H6"/>
    <mergeCell ref="I5:I6"/>
    <mergeCell ref="E6:G6"/>
    <mergeCell ref="G8:G10"/>
    <mergeCell ref="H8:I10"/>
    <mergeCell ref="H7:I7"/>
    <mergeCell ref="H16:I16"/>
    <mergeCell ref="H17:I17"/>
    <mergeCell ref="H18:I18"/>
    <mergeCell ref="G11:I11"/>
    <mergeCell ref="H13:I13"/>
    <mergeCell ref="H15:I15"/>
    <mergeCell ref="H14:I14"/>
    <mergeCell ref="G19:I22"/>
    <mergeCell ref="C1:F1"/>
    <mergeCell ref="D14:F14"/>
    <mergeCell ref="B21:C21"/>
    <mergeCell ref="D21:F21"/>
    <mergeCell ref="B22:C22"/>
    <mergeCell ref="D22:F22"/>
    <mergeCell ref="B13:B14"/>
    <mergeCell ref="G13:G14"/>
    <mergeCell ref="B20:C20"/>
    <mergeCell ref="B19:F19"/>
    <mergeCell ref="D20:F20"/>
    <mergeCell ref="B2:I2"/>
    <mergeCell ref="C3:H3"/>
    <mergeCell ref="B11:C11"/>
  </mergeCells>
  <hyperlinks>
    <hyperlink ref="G12" location="ENGLISH!A1" display="ENGLISH"/>
    <hyperlink ref="G13" location="'HINDI-SKT'!A1" display="HINDI"/>
    <hyperlink ref="G18" location="IT!A1" display="IT"/>
    <hyperlink ref="H12:I12" location="DATA!A1" display="STUDENT DETAILS"/>
    <hyperlink ref="H13:I13" location="'CO-SCHOLOSTIC'!A1" display="CO-SCHOLOSTIC"/>
    <hyperlink ref="H18:I18" location="'RESULT SHEET'!A1" display="RESULT SHEET "/>
    <hyperlink ref="G15" location="IT!A1" display="IT"/>
    <hyperlink ref="G16" location="SST!A1" display="SOCIAL SCIENCE "/>
    <hyperlink ref="G17" location="'CO-SCHOLOSTIC'!A1" display="CO-SCHOLOSTIC"/>
    <hyperlink ref="G19" location="VOCATIONAL!A1" display="SOCIAL SCIENCE "/>
  </hyperlinks>
  <pageMargins left="0.26" right="0.03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S50"/>
  <sheetViews>
    <sheetView workbookViewId="0">
      <pane ySplit="4" topLeftCell="A5" activePane="bottomLeft" state="frozen"/>
      <selection activeCell="K14" sqref="K14:Y14"/>
      <selection pane="bottomLeft" activeCell="B3" sqref="B3:R3"/>
    </sheetView>
  </sheetViews>
  <sheetFormatPr defaultColWidth="0" defaultRowHeight="13.8" zeroHeight="1" x14ac:dyDescent="0.25"/>
  <cols>
    <col min="1" max="1" width="2.33203125" style="43" customWidth="1"/>
    <col min="2" max="2" width="7.6640625" style="43" bestFit="1" customWidth="1"/>
    <col min="3" max="3" width="13" style="43" customWidth="1"/>
    <col min="4" max="4" width="13.5546875" style="43" customWidth="1"/>
    <col min="5" max="5" width="32.109375" style="43" customWidth="1"/>
    <col min="6" max="6" width="37.44140625" style="43" customWidth="1"/>
    <col min="7" max="7" width="29.109375" style="43" customWidth="1"/>
    <col min="8" max="8" width="11.5546875" style="43" customWidth="1"/>
    <col min="9" max="9" width="12.44140625" style="43" bestFit="1" customWidth="1"/>
    <col min="10" max="10" width="13.6640625" style="43" bestFit="1" customWidth="1"/>
    <col min="11" max="11" width="21.6640625" style="43" hidden="1" customWidth="1"/>
    <col min="12" max="12" width="13.44140625" style="43" hidden="1" customWidth="1"/>
    <col min="13" max="13" width="17.88671875" style="43" hidden="1" customWidth="1"/>
    <col min="14" max="14" width="15.33203125" style="43" hidden="1" customWidth="1"/>
    <col min="15" max="15" width="12.88671875" style="43" hidden="1" customWidth="1"/>
    <col min="16" max="16" width="16.44140625" style="43" hidden="1" customWidth="1"/>
    <col min="17" max="17" width="6.5546875" style="43" hidden="1" customWidth="1"/>
    <col min="18" max="18" width="11.6640625" style="43" hidden="1" customWidth="1"/>
    <col min="19" max="19" width="2.88671875" style="704" customWidth="1"/>
    <col min="20" max="16384" width="9.109375" style="704" hidden="1"/>
  </cols>
  <sheetData>
    <row r="1" spans="1:18" ht="15" customHeight="1" x14ac:dyDescent="0.25">
      <c r="A1" s="38" t="s">
        <v>24</v>
      </c>
      <c r="B1" s="704"/>
      <c r="C1" s="704"/>
      <c r="D1" s="704"/>
      <c r="E1" s="704"/>
      <c r="F1" s="704"/>
      <c r="G1" s="704"/>
      <c r="H1" s="704"/>
      <c r="I1" s="704"/>
      <c r="J1" s="704"/>
      <c r="K1" s="704"/>
      <c r="L1" s="704"/>
      <c r="M1" s="704"/>
      <c r="N1" s="704"/>
      <c r="O1" s="704"/>
      <c r="P1" s="704"/>
      <c r="Q1" s="704"/>
      <c r="R1" s="704"/>
    </row>
    <row r="2" spans="1:18" ht="22.8" x14ac:dyDescent="0.4">
      <c r="A2" s="704"/>
      <c r="B2" s="705" t="str">
        <f>"SWAMI VIVEKANAND GOVT. MODEL SCHOOL,"&amp;DASHBOARD!C3</f>
        <v>SWAMI VIVEKANAND GOVT. MODEL SCHOOL,XXXX,  BLOCK-XXXX (RAJSAMAND)</v>
      </c>
      <c r="C2" s="705"/>
      <c r="D2" s="705"/>
      <c r="E2" s="705"/>
      <c r="F2" s="705"/>
      <c r="G2" s="705"/>
      <c r="H2" s="705"/>
      <c r="I2" s="705"/>
      <c r="J2" s="705"/>
      <c r="K2" s="705"/>
      <c r="L2" s="705"/>
      <c r="M2" s="705"/>
      <c r="N2" s="705"/>
      <c r="O2" s="705"/>
      <c r="P2" s="705"/>
      <c r="Q2" s="705"/>
      <c r="R2" s="705"/>
    </row>
    <row r="3" spans="1:18" ht="17.399999999999999" x14ac:dyDescent="0.3">
      <c r="A3" s="704"/>
      <c r="B3" s="703" t="str">
        <f>"     MASTER DATA SHEET    "&amp;DASHBOARD!B4</f>
        <v xml:space="preserve">     MASTER DATA SHEET    SESSION  -  2025-26</v>
      </c>
      <c r="C3" s="703"/>
      <c r="D3" s="703"/>
      <c r="E3" s="703"/>
      <c r="F3" s="703"/>
      <c r="G3" s="703"/>
      <c r="H3" s="703"/>
      <c r="I3" s="703"/>
      <c r="J3" s="703"/>
      <c r="K3" s="703"/>
      <c r="L3" s="703"/>
      <c r="M3" s="703"/>
      <c r="N3" s="703"/>
      <c r="O3" s="703"/>
      <c r="P3" s="703"/>
      <c r="Q3" s="703"/>
      <c r="R3" s="703"/>
    </row>
    <row r="4" spans="1:18" ht="17.399999999999999" x14ac:dyDescent="0.3">
      <c r="A4" s="704"/>
      <c r="B4" s="39" t="s">
        <v>4</v>
      </c>
      <c r="C4" s="40" t="s">
        <v>5</v>
      </c>
      <c r="D4" s="39" t="s">
        <v>6</v>
      </c>
      <c r="E4" s="39" t="s">
        <v>7</v>
      </c>
      <c r="F4" s="39" t="s">
        <v>8</v>
      </c>
      <c r="G4" s="39" t="s">
        <v>9</v>
      </c>
      <c r="H4" s="39" t="s">
        <v>10</v>
      </c>
      <c r="I4" s="39" t="s">
        <v>11</v>
      </c>
      <c r="J4" s="39" t="s">
        <v>12</v>
      </c>
      <c r="K4" s="39" t="s">
        <v>13</v>
      </c>
      <c r="L4" s="39" t="s">
        <v>14</v>
      </c>
      <c r="M4" s="39" t="s">
        <v>15</v>
      </c>
      <c r="N4" s="39" t="s">
        <v>16</v>
      </c>
      <c r="O4" s="39" t="s">
        <v>17</v>
      </c>
      <c r="P4" s="39" t="s">
        <v>18</v>
      </c>
      <c r="Q4" s="39" t="s">
        <v>19</v>
      </c>
      <c r="R4" s="39" t="s">
        <v>20</v>
      </c>
    </row>
    <row r="5" spans="1:18" x14ac:dyDescent="0.3">
      <c r="A5" s="704"/>
      <c r="B5" s="96">
        <v>1</v>
      </c>
      <c r="C5" s="96">
        <f>IF('MAIN DATA'!C5="","",'MAIN DATA'!C5)</f>
        <v>901</v>
      </c>
      <c r="D5" s="96">
        <f>IF('MAIN DATA'!D5="","",'MAIN DATA'!D5)</f>
        <v>974</v>
      </c>
      <c r="E5" s="97" t="str">
        <f>UPPER('MAIN DATA'!E5)</f>
        <v>ARTI PRAJAPAT</v>
      </c>
      <c r="F5" s="97" t="str">
        <f>UPPER('MAIN DATA'!F5)</f>
        <v>MR PRABHU LAL</v>
      </c>
      <c r="G5" s="97" t="str">
        <f>UPPER('MAIN DATA'!G5)</f>
        <v>MRS PREM DEVI</v>
      </c>
      <c r="H5" s="277">
        <f>IF('MAIN DATA'!H5="","",'MAIN DATA'!H5)</f>
        <v>40203</v>
      </c>
      <c r="I5" s="97" t="str">
        <f>UPPER('MAIN DATA'!I5)</f>
        <v>GIRL</v>
      </c>
      <c r="J5" s="97" t="str">
        <f>UPPER('MAIN DATA'!J5)</f>
        <v>OBC</v>
      </c>
      <c r="K5" s="97"/>
      <c r="L5" s="156"/>
      <c r="M5" s="156"/>
      <c r="N5" s="96"/>
      <c r="O5" s="96"/>
      <c r="P5" s="96"/>
      <c r="Q5" s="96"/>
      <c r="R5" s="96"/>
    </row>
    <row r="6" spans="1:18" x14ac:dyDescent="0.3">
      <c r="A6" s="704"/>
      <c r="B6" s="96">
        <v>2</v>
      </c>
      <c r="C6" s="96">
        <f>IF('MAIN DATA'!C6="","",'MAIN DATA'!C6)</f>
        <v>902</v>
      </c>
      <c r="D6" s="96">
        <f>IF('MAIN DATA'!D6="","",'MAIN DATA'!D6)</f>
        <v>971</v>
      </c>
      <c r="E6" s="97" t="str">
        <f>UPPER('MAIN DATA'!E6)</f>
        <v>ARVIND SINGH BALLA</v>
      </c>
      <c r="F6" s="97" t="str">
        <f>UPPER('MAIN DATA'!F6)</f>
        <v>INDRA SINGH BALLA</v>
      </c>
      <c r="G6" s="97" t="str">
        <f>UPPER('MAIN DATA'!G6)</f>
        <v>MEENA KANWAR BALLA</v>
      </c>
      <c r="H6" s="277">
        <f>IF('MAIN DATA'!H6="","",'MAIN DATA'!H6)</f>
        <v>40292</v>
      </c>
      <c r="I6" s="97" t="str">
        <f>UPPER('MAIN DATA'!I6)</f>
        <v>BOY</v>
      </c>
      <c r="J6" s="97" t="str">
        <f>UPPER('MAIN DATA'!J6)</f>
        <v>GEN</v>
      </c>
      <c r="K6" s="97"/>
      <c r="L6" s="96"/>
      <c r="M6" s="156"/>
      <c r="N6" s="96"/>
      <c r="O6" s="96"/>
      <c r="P6" s="96"/>
      <c r="Q6" s="96"/>
      <c r="R6" s="96"/>
    </row>
    <row r="7" spans="1:18" x14ac:dyDescent="0.3">
      <c r="A7" s="704"/>
      <c r="B7" s="96">
        <v>3</v>
      </c>
      <c r="C7" s="96" t="str">
        <f>IF('MAIN DATA'!C7="","",'MAIN DATA'!C7)</f>
        <v>TC</v>
      </c>
      <c r="D7" s="96">
        <f>IF('MAIN DATA'!D7="","",'MAIN DATA'!D7)</f>
        <v>1370</v>
      </c>
      <c r="E7" s="97" t="str">
        <f>UPPER('MAIN DATA'!E7)</f>
        <v>BHAVESH SINGH RAO</v>
      </c>
      <c r="F7" s="97" t="str">
        <f>UPPER('MAIN DATA'!F7)</f>
        <v>FATEH SINGH RAO</v>
      </c>
      <c r="G7" s="97" t="str">
        <f>UPPER('MAIN DATA'!G7)</f>
        <v>GANGA KUNWAR</v>
      </c>
      <c r="H7" s="277">
        <f>IF('MAIN DATA'!H7="","",'MAIN DATA'!H7)</f>
        <v>40431</v>
      </c>
      <c r="I7" s="97" t="str">
        <f>UPPER('MAIN DATA'!I7)</f>
        <v>BOY</v>
      </c>
      <c r="J7" s="97" t="str">
        <f>UPPER('MAIN DATA'!J7)</f>
        <v>OBC</v>
      </c>
      <c r="K7" s="97"/>
      <c r="L7" s="96"/>
      <c r="M7" s="156"/>
      <c r="N7" s="96"/>
      <c r="O7" s="96"/>
      <c r="P7" s="96"/>
      <c r="Q7" s="96"/>
      <c r="R7" s="96"/>
    </row>
    <row r="8" spans="1:18" x14ac:dyDescent="0.3">
      <c r="A8" s="704"/>
      <c r="B8" s="96">
        <v>4</v>
      </c>
      <c r="C8" s="96" t="str">
        <f>IF('MAIN DATA'!C8="","",'MAIN DATA'!C8)</f>
        <v/>
      </c>
      <c r="D8" s="96" t="str">
        <f>IF('MAIN DATA'!D8="","",'MAIN DATA'!D8)</f>
        <v/>
      </c>
      <c r="E8" s="97" t="str">
        <f>UPPER('MAIN DATA'!E8)</f>
        <v/>
      </c>
      <c r="F8" s="97" t="str">
        <f>UPPER('MAIN DATA'!F8)</f>
        <v/>
      </c>
      <c r="G8" s="97" t="str">
        <f>UPPER('MAIN DATA'!G8)</f>
        <v/>
      </c>
      <c r="H8" s="277" t="str">
        <f>IF('MAIN DATA'!H8="","",'MAIN DATA'!H8)</f>
        <v/>
      </c>
      <c r="I8" s="97" t="str">
        <f>UPPER('MAIN DATA'!I8)</f>
        <v/>
      </c>
      <c r="J8" s="97" t="str">
        <f>UPPER('MAIN DATA'!J8)</f>
        <v/>
      </c>
      <c r="K8" s="97"/>
      <c r="L8" s="96"/>
      <c r="M8" s="156"/>
      <c r="N8" s="96"/>
      <c r="O8" s="96"/>
      <c r="P8" s="96"/>
      <c r="Q8" s="96"/>
      <c r="R8" s="96"/>
    </row>
    <row r="9" spans="1:18" x14ac:dyDescent="0.3">
      <c r="A9" s="704"/>
      <c r="B9" s="96">
        <v>5</v>
      </c>
      <c r="C9" s="96" t="str">
        <f>IF('MAIN DATA'!C9="","",'MAIN DATA'!C9)</f>
        <v/>
      </c>
      <c r="D9" s="96" t="str">
        <f>IF('MAIN DATA'!D9="","",'MAIN DATA'!D9)</f>
        <v/>
      </c>
      <c r="E9" s="97" t="str">
        <f>UPPER('MAIN DATA'!E9)</f>
        <v/>
      </c>
      <c r="F9" s="97" t="str">
        <f>UPPER('MAIN DATA'!F9)</f>
        <v/>
      </c>
      <c r="G9" s="97" t="str">
        <f>UPPER('MAIN DATA'!G9)</f>
        <v/>
      </c>
      <c r="H9" s="277" t="str">
        <f>IF('MAIN DATA'!H9="","",'MAIN DATA'!H9)</f>
        <v/>
      </c>
      <c r="I9" s="97" t="str">
        <f>UPPER('MAIN DATA'!I9)</f>
        <v/>
      </c>
      <c r="J9" s="97" t="str">
        <f>UPPER('MAIN DATA'!J9)</f>
        <v/>
      </c>
      <c r="K9" s="97"/>
      <c r="L9" s="96"/>
      <c r="M9" s="156"/>
      <c r="N9" s="96"/>
      <c r="O9" s="96"/>
      <c r="P9" s="96"/>
      <c r="Q9" s="96"/>
      <c r="R9" s="96"/>
    </row>
    <row r="10" spans="1:18" x14ac:dyDescent="0.3">
      <c r="A10" s="704"/>
      <c r="B10" s="96">
        <v>6</v>
      </c>
      <c r="C10" s="96" t="str">
        <f>IF('MAIN DATA'!C10="","",'MAIN DATA'!C10)</f>
        <v/>
      </c>
      <c r="D10" s="96" t="str">
        <f>IF('MAIN DATA'!D10="","",'MAIN DATA'!D10)</f>
        <v/>
      </c>
      <c r="E10" s="97" t="str">
        <f>UPPER('MAIN DATA'!E10)</f>
        <v/>
      </c>
      <c r="F10" s="97" t="str">
        <f>UPPER('MAIN DATA'!F10)</f>
        <v/>
      </c>
      <c r="G10" s="97" t="str">
        <f>UPPER('MAIN DATA'!G10)</f>
        <v/>
      </c>
      <c r="H10" s="277" t="str">
        <f>IF('MAIN DATA'!H10="","",'MAIN DATA'!H10)</f>
        <v/>
      </c>
      <c r="I10" s="97" t="str">
        <f>UPPER('MAIN DATA'!I10)</f>
        <v/>
      </c>
      <c r="J10" s="97" t="str">
        <f>UPPER('MAIN DATA'!J10)</f>
        <v/>
      </c>
      <c r="K10" s="97"/>
      <c r="L10" s="96"/>
      <c r="M10" s="156"/>
      <c r="N10" s="96"/>
      <c r="O10" s="96"/>
      <c r="P10" s="96"/>
      <c r="Q10" s="96"/>
      <c r="R10" s="96"/>
    </row>
    <row r="11" spans="1:18" x14ac:dyDescent="0.3">
      <c r="A11" s="704"/>
      <c r="B11" s="96">
        <v>7</v>
      </c>
      <c r="C11" s="96" t="str">
        <f>IF('MAIN DATA'!C11="","",'MAIN DATA'!C11)</f>
        <v/>
      </c>
      <c r="D11" s="96" t="str">
        <f>IF('MAIN DATA'!D11="","",'MAIN DATA'!D11)</f>
        <v/>
      </c>
      <c r="E11" s="97" t="str">
        <f>UPPER('MAIN DATA'!E11)</f>
        <v/>
      </c>
      <c r="F11" s="97" t="str">
        <f>UPPER('MAIN DATA'!F11)</f>
        <v/>
      </c>
      <c r="G11" s="97" t="str">
        <f>UPPER('MAIN DATA'!G11)</f>
        <v/>
      </c>
      <c r="H11" s="277" t="str">
        <f>IF('MAIN DATA'!H11="","",'MAIN DATA'!H11)</f>
        <v/>
      </c>
      <c r="I11" s="97" t="str">
        <f>UPPER('MAIN DATA'!I11)</f>
        <v/>
      </c>
      <c r="J11" s="97" t="str">
        <f>UPPER('MAIN DATA'!J11)</f>
        <v/>
      </c>
      <c r="K11" s="97"/>
      <c r="L11" s="96"/>
      <c r="M11" s="156"/>
      <c r="N11" s="96"/>
      <c r="O11" s="96"/>
      <c r="P11" s="96"/>
      <c r="Q11" s="96"/>
      <c r="R11" s="96"/>
    </row>
    <row r="12" spans="1:18" x14ac:dyDescent="0.3">
      <c r="A12" s="704"/>
      <c r="B12" s="96">
        <v>8</v>
      </c>
      <c r="C12" s="96" t="str">
        <f>IF('MAIN DATA'!C12="","",'MAIN DATA'!C12)</f>
        <v/>
      </c>
      <c r="D12" s="96" t="str">
        <f>IF('MAIN DATA'!D12="","",'MAIN DATA'!D12)</f>
        <v/>
      </c>
      <c r="E12" s="97" t="str">
        <f>UPPER('MAIN DATA'!E12)</f>
        <v/>
      </c>
      <c r="F12" s="97" t="str">
        <f>UPPER('MAIN DATA'!F12)</f>
        <v/>
      </c>
      <c r="G12" s="97" t="str">
        <f>UPPER('MAIN DATA'!G12)</f>
        <v/>
      </c>
      <c r="H12" s="277" t="str">
        <f>IF('MAIN DATA'!H12="","",'MAIN DATA'!H12)</f>
        <v/>
      </c>
      <c r="I12" s="97" t="str">
        <f>UPPER('MAIN DATA'!I12)</f>
        <v/>
      </c>
      <c r="J12" s="97" t="str">
        <f>UPPER('MAIN DATA'!J12)</f>
        <v/>
      </c>
      <c r="K12" s="97"/>
      <c r="L12" s="96"/>
      <c r="M12" s="156"/>
      <c r="N12" s="96"/>
      <c r="O12" s="96"/>
      <c r="P12" s="96"/>
      <c r="Q12" s="96"/>
      <c r="R12" s="96"/>
    </row>
    <row r="13" spans="1:18" x14ac:dyDescent="0.3">
      <c r="A13" s="704"/>
      <c r="B13" s="96">
        <v>9</v>
      </c>
      <c r="C13" s="96" t="str">
        <f>IF('MAIN DATA'!C13="","",'MAIN DATA'!C13)</f>
        <v/>
      </c>
      <c r="D13" s="96" t="str">
        <f>IF('MAIN DATA'!D13="","",'MAIN DATA'!D13)</f>
        <v/>
      </c>
      <c r="E13" s="97" t="str">
        <f>UPPER('MAIN DATA'!E13)</f>
        <v/>
      </c>
      <c r="F13" s="97" t="str">
        <f>UPPER('MAIN DATA'!F13)</f>
        <v/>
      </c>
      <c r="G13" s="97" t="str">
        <f>UPPER('MAIN DATA'!G13)</f>
        <v/>
      </c>
      <c r="H13" s="277" t="str">
        <f>IF('MAIN DATA'!H13="","",'MAIN DATA'!H13)</f>
        <v/>
      </c>
      <c r="I13" s="97" t="str">
        <f>UPPER('MAIN DATA'!I13)</f>
        <v/>
      </c>
      <c r="J13" s="97" t="str">
        <f>UPPER('MAIN DATA'!J13)</f>
        <v/>
      </c>
      <c r="K13" s="97"/>
      <c r="L13" s="96"/>
      <c r="M13" s="156"/>
      <c r="N13" s="96"/>
      <c r="O13" s="96"/>
      <c r="P13" s="96"/>
      <c r="Q13" s="96"/>
      <c r="R13" s="96"/>
    </row>
    <row r="14" spans="1:18" x14ac:dyDescent="0.3">
      <c r="A14" s="704"/>
      <c r="B14" s="96">
        <v>10</v>
      </c>
      <c r="C14" s="96" t="str">
        <f>IF('MAIN DATA'!C14="","",'MAIN DATA'!C14)</f>
        <v/>
      </c>
      <c r="D14" s="96" t="str">
        <f>IF('MAIN DATA'!D14="","",'MAIN DATA'!D14)</f>
        <v/>
      </c>
      <c r="E14" s="97" t="str">
        <f>UPPER('MAIN DATA'!E14)</f>
        <v/>
      </c>
      <c r="F14" s="97" t="str">
        <f>UPPER('MAIN DATA'!F14)</f>
        <v/>
      </c>
      <c r="G14" s="97" t="str">
        <f>UPPER('MAIN DATA'!G14)</f>
        <v/>
      </c>
      <c r="H14" s="277" t="str">
        <f>IF('MAIN DATA'!H14="","",'MAIN DATA'!H14)</f>
        <v/>
      </c>
      <c r="I14" s="97" t="str">
        <f>UPPER('MAIN DATA'!I14)</f>
        <v/>
      </c>
      <c r="J14" s="97" t="str">
        <f>UPPER('MAIN DATA'!J14)</f>
        <v/>
      </c>
      <c r="K14" s="97"/>
      <c r="L14" s="96"/>
      <c r="M14" s="156"/>
      <c r="N14" s="96"/>
      <c r="O14" s="96"/>
      <c r="P14" s="96"/>
      <c r="Q14" s="96"/>
      <c r="R14" s="96"/>
    </row>
    <row r="15" spans="1:18" x14ac:dyDescent="0.3">
      <c r="A15" s="704"/>
      <c r="B15" s="96">
        <v>11</v>
      </c>
      <c r="C15" s="96" t="str">
        <f>IF('MAIN DATA'!C15="","",'MAIN DATA'!C15)</f>
        <v/>
      </c>
      <c r="D15" s="96" t="str">
        <f>IF('MAIN DATA'!D15="","",'MAIN DATA'!D15)</f>
        <v/>
      </c>
      <c r="E15" s="97" t="str">
        <f>UPPER('MAIN DATA'!E15)</f>
        <v/>
      </c>
      <c r="F15" s="97" t="str">
        <f>UPPER('MAIN DATA'!F15)</f>
        <v/>
      </c>
      <c r="G15" s="97" t="str">
        <f>UPPER('MAIN DATA'!G15)</f>
        <v/>
      </c>
      <c r="H15" s="277" t="str">
        <f>IF('MAIN DATA'!H15="","",'MAIN DATA'!H15)</f>
        <v/>
      </c>
      <c r="I15" s="97" t="str">
        <f>UPPER('MAIN DATA'!I15)</f>
        <v/>
      </c>
      <c r="J15" s="97" t="str">
        <f>UPPER('MAIN DATA'!J15)</f>
        <v/>
      </c>
      <c r="K15" s="97"/>
      <c r="L15" s="96"/>
      <c r="M15" s="156"/>
      <c r="N15" s="96"/>
      <c r="O15" s="96"/>
      <c r="P15" s="96"/>
      <c r="Q15" s="96"/>
      <c r="R15" s="96"/>
    </row>
    <row r="16" spans="1:18" x14ac:dyDescent="0.3">
      <c r="A16" s="704"/>
      <c r="B16" s="96">
        <v>12</v>
      </c>
      <c r="C16" s="96" t="str">
        <f>IF('MAIN DATA'!C16="","",'MAIN DATA'!C16)</f>
        <v/>
      </c>
      <c r="D16" s="96" t="str">
        <f>IF('MAIN DATA'!D16="","",'MAIN DATA'!D16)</f>
        <v/>
      </c>
      <c r="E16" s="97" t="str">
        <f>UPPER('MAIN DATA'!E16)</f>
        <v/>
      </c>
      <c r="F16" s="97" t="str">
        <f>UPPER('MAIN DATA'!F16)</f>
        <v/>
      </c>
      <c r="G16" s="97" t="str">
        <f>UPPER('MAIN DATA'!G16)</f>
        <v/>
      </c>
      <c r="H16" s="277" t="str">
        <f>IF('MAIN DATA'!H16="","",'MAIN DATA'!H16)</f>
        <v/>
      </c>
      <c r="I16" s="97" t="str">
        <f>UPPER('MAIN DATA'!I16)</f>
        <v/>
      </c>
      <c r="J16" s="97" t="str">
        <f>UPPER('MAIN DATA'!J16)</f>
        <v/>
      </c>
      <c r="K16" s="97"/>
      <c r="L16" s="96"/>
      <c r="M16" s="156"/>
      <c r="N16" s="96"/>
      <c r="O16" s="96"/>
      <c r="P16" s="96"/>
      <c r="Q16" s="96"/>
      <c r="R16" s="96"/>
    </row>
    <row r="17" spans="1:18" x14ac:dyDescent="0.3">
      <c r="A17" s="704"/>
      <c r="B17" s="96">
        <v>13</v>
      </c>
      <c r="C17" s="96" t="str">
        <f>IF('MAIN DATA'!C17="","",'MAIN DATA'!C17)</f>
        <v/>
      </c>
      <c r="D17" s="96" t="str">
        <f>IF('MAIN DATA'!D17="","",'MAIN DATA'!D17)</f>
        <v/>
      </c>
      <c r="E17" s="97" t="str">
        <f>UPPER('MAIN DATA'!E17)</f>
        <v/>
      </c>
      <c r="F17" s="97" t="str">
        <f>UPPER('MAIN DATA'!F17)</f>
        <v/>
      </c>
      <c r="G17" s="97" t="str">
        <f>UPPER('MAIN DATA'!G17)</f>
        <v/>
      </c>
      <c r="H17" s="277" t="str">
        <f>IF('MAIN DATA'!H17="","",'MAIN DATA'!H17)</f>
        <v/>
      </c>
      <c r="I17" s="97" t="str">
        <f>UPPER('MAIN DATA'!I17)</f>
        <v/>
      </c>
      <c r="J17" s="97" t="str">
        <f>UPPER('MAIN DATA'!J17)</f>
        <v/>
      </c>
      <c r="K17" s="97"/>
      <c r="L17" s="96"/>
      <c r="M17" s="156"/>
      <c r="N17" s="96"/>
      <c r="O17" s="96"/>
      <c r="P17" s="96"/>
      <c r="Q17" s="96"/>
      <c r="R17" s="96"/>
    </row>
    <row r="18" spans="1:18" x14ac:dyDescent="0.3">
      <c r="A18" s="704"/>
      <c r="B18" s="96">
        <v>14</v>
      </c>
      <c r="C18" s="96" t="str">
        <f>IF('MAIN DATA'!C18="","",'MAIN DATA'!C18)</f>
        <v/>
      </c>
      <c r="D18" s="96" t="str">
        <f>IF('MAIN DATA'!D18="","",'MAIN DATA'!D18)</f>
        <v/>
      </c>
      <c r="E18" s="97" t="str">
        <f>UPPER('MAIN DATA'!E18)</f>
        <v/>
      </c>
      <c r="F18" s="97" t="str">
        <f>UPPER('MAIN DATA'!F18)</f>
        <v/>
      </c>
      <c r="G18" s="97" t="str">
        <f>UPPER('MAIN DATA'!G18)</f>
        <v/>
      </c>
      <c r="H18" s="277" t="str">
        <f>IF('MAIN DATA'!H18="","",'MAIN DATA'!H18)</f>
        <v/>
      </c>
      <c r="I18" s="97" t="str">
        <f>UPPER('MAIN DATA'!I18)</f>
        <v/>
      </c>
      <c r="J18" s="97" t="str">
        <f>UPPER('MAIN DATA'!J18)</f>
        <v/>
      </c>
      <c r="K18" s="97"/>
      <c r="L18" s="96"/>
      <c r="M18" s="156"/>
      <c r="N18" s="96"/>
      <c r="O18" s="96"/>
      <c r="P18" s="96"/>
      <c r="Q18" s="96"/>
      <c r="R18" s="96"/>
    </row>
    <row r="19" spans="1:18" x14ac:dyDescent="0.3">
      <c r="A19" s="704"/>
      <c r="B19" s="96">
        <v>15</v>
      </c>
      <c r="C19" s="96" t="str">
        <f>IF('MAIN DATA'!C19="","",'MAIN DATA'!C19)</f>
        <v/>
      </c>
      <c r="D19" s="96" t="str">
        <f>IF('MAIN DATA'!D19="","",'MAIN DATA'!D19)</f>
        <v/>
      </c>
      <c r="E19" s="97" t="str">
        <f>UPPER('MAIN DATA'!E19)</f>
        <v/>
      </c>
      <c r="F19" s="97" t="str">
        <f>UPPER('MAIN DATA'!F19)</f>
        <v/>
      </c>
      <c r="G19" s="97" t="str">
        <f>UPPER('MAIN DATA'!G19)</f>
        <v/>
      </c>
      <c r="H19" s="277" t="str">
        <f>IF('MAIN DATA'!H19="","",'MAIN DATA'!H19)</f>
        <v/>
      </c>
      <c r="I19" s="97" t="str">
        <f>UPPER('MAIN DATA'!I19)</f>
        <v/>
      </c>
      <c r="J19" s="97" t="str">
        <f>UPPER('MAIN DATA'!J19)</f>
        <v/>
      </c>
      <c r="K19" s="97"/>
      <c r="L19" s="96"/>
      <c r="M19" s="156"/>
      <c r="N19" s="96"/>
      <c r="O19" s="96"/>
      <c r="P19" s="96"/>
      <c r="Q19" s="96"/>
      <c r="R19" s="96"/>
    </row>
    <row r="20" spans="1:18" x14ac:dyDescent="0.3">
      <c r="A20" s="704"/>
      <c r="B20" s="96">
        <v>16</v>
      </c>
      <c r="C20" s="96" t="str">
        <f>IF('MAIN DATA'!C20="","",'MAIN DATA'!C20)</f>
        <v/>
      </c>
      <c r="D20" s="96" t="str">
        <f>IF('MAIN DATA'!D20="","",'MAIN DATA'!D20)</f>
        <v/>
      </c>
      <c r="E20" s="97" t="str">
        <f>UPPER('MAIN DATA'!E20)</f>
        <v/>
      </c>
      <c r="F20" s="97" t="str">
        <f>UPPER('MAIN DATA'!F20)</f>
        <v/>
      </c>
      <c r="G20" s="97" t="str">
        <f>UPPER('MAIN DATA'!G20)</f>
        <v/>
      </c>
      <c r="H20" s="277" t="str">
        <f>IF('MAIN DATA'!H20="","",'MAIN DATA'!H20)</f>
        <v/>
      </c>
      <c r="I20" s="97" t="str">
        <f>UPPER('MAIN DATA'!I20)</f>
        <v/>
      </c>
      <c r="J20" s="97" t="str">
        <f>UPPER('MAIN DATA'!J20)</f>
        <v/>
      </c>
      <c r="K20" s="97"/>
      <c r="L20" s="96"/>
      <c r="M20" s="156"/>
      <c r="N20" s="96"/>
      <c r="O20" s="96"/>
      <c r="P20" s="96"/>
      <c r="Q20" s="96"/>
      <c r="R20" s="96"/>
    </row>
    <row r="21" spans="1:18" x14ac:dyDescent="0.3">
      <c r="A21" s="704"/>
      <c r="B21" s="96">
        <v>17</v>
      </c>
      <c r="C21" s="96" t="str">
        <f>IF('MAIN DATA'!C21="","",'MAIN DATA'!C21)</f>
        <v/>
      </c>
      <c r="D21" s="96" t="str">
        <f>IF('MAIN DATA'!D21="","",'MAIN DATA'!D21)</f>
        <v/>
      </c>
      <c r="E21" s="97" t="str">
        <f>UPPER('MAIN DATA'!E21)</f>
        <v/>
      </c>
      <c r="F21" s="97" t="str">
        <f>UPPER('MAIN DATA'!F21)</f>
        <v/>
      </c>
      <c r="G21" s="97" t="str">
        <f>UPPER('MAIN DATA'!G21)</f>
        <v/>
      </c>
      <c r="H21" s="277" t="str">
        <f>IF('MAIN DATA'!H21="","",'MAIN DATA'!H21)</f>
        <v/>
      </c>
      <c r="I21" s="97" t="str">
        <f>UPPER('MAIN DATA'!I21)</f>
        <v/>
      </c>
      <c r="J21" s="97" t="str">
        <f>UPPER('MAIN DATA'!J21)</f>
        <v/>
      </c>
      <c r="K21" s="97"/>
      <c r="L21" s="96"/>
      <c r="M21" s="156"/>
      <c r="N21" s="96"/>
      <c r="O21" s="96"/>
      <c r="P21" s="96"/>
      <c r="Q21" s="96"/>
      <c r="R21" s="96"/>
    </row>
    <row r="22" spans="1:18" x14ac:dyDescent="0.3">
      <c r="A22" s="704"/>
      <c r="B22" s="96">
        <v>18</v>
      </c>
      <c r="C22" s="96" t="str">
        <f>IF('MAIN DATA'!C22="","",'MAIN DATA'!C22)</f>
        <v/>
      </c>
      <c r="D22" s="96" t="str">
        <f>IF('MAIN DATA'!D22="","",'MAIN DATA'!D22)</f>
        <v/>
      </c>
      <c r="E22" s="97" t="str">
        <f>UPPER('MAIN DATA'!E22)</f>
        <v/>
      </c>
      <c r="F22" s="97" t="str">
        <f>UPPER('MAIN DATA'!F22)</f>
        <v/>
      </c>
      <c r="G22" s="97" t="str">
        <f>UPPER('MAIN DATA'!G22)</f>
        <v/>
      </c>
      <c r="H22" s="277" t="str">
        <f>IF('MAIN DATA'!H22="","",'MAIN DATA'!H22)</f>
        <v/>
      </c>
      <c r="I22" s="97" t="str">
        <f>UPPER('MAIN DATA'!I22)</f>
        <v/>
      </c>
      <c r="J22" s="97" t="str">
        <f>UPPER('MAIN DATA'!J22)</f>
        <v/>
      </c>
      <c r="K22" s="97"/>
      <c r="L22" s="96"/>
      <c r="M22" s="156"/>
      <c r="N22" s="96"/>
      <c r="O22" s="96"/>
      <c r="P22" s="96"/>
      <c r="Q22" s="96"/>
      <c r="R22" s="96"/>
    </row>
    <row r="23" spans="1:18" x14ac:dyDescent="0.3">
      <c r="A23" s="704"/>
      <c r="B23" s="96">
        <v>19</v>
      </c>
      <c r="C23" s="96" t="str">
        <f>IF('MAIN DATA'!C23="","",'MAIN DATA'!C23)</f>
        <v/>
      </c>
      <c r="D23" s="96" t="str">
        <f>IF('MAIN DATA'!D23="","",'MAIN DATA'!D23)</f>
        <v/>
      </c>
      <c r="E23" s="97" t="str">
        <f>UPPER('MAIN DATA'!E23)</f>
        <v/>
      </c>
      <c r="F23" s="97" t="str">
        <f>UPPER('MAIN DATA'!F23)</f>
        <v/>
      </c>
      <c r="G23" s="97" t="str">
        <f>UPPER('MAIN DATA'!G23)</f>
        <v/>
      </c>
      <c r="H23" s="277" t="str">
        <f>IF('MAIN DATA'!H23="","",'MAIN DATA'!H23)</f>
        <v/>
      </c>
      <c r="I23" s="97" t="str">
        <f>UPPER('MAIN DATA'!I23)</f>
        <v/>
      </c>
      <c r="J23" s="97" t="str">
        <f>UPPER('MAIN DATA'!J23)</f>
        <v/>
      </c>
      <c r="K23" s="97"/>
      <c r="L23" s="96"/>
      <c r="M23" s="156"/>
      <c r="N23" s="96"/>
      <c r="O23" s="96"/>
      <c r="P23" s="96"/>
      <c r="Q23" s="96"/>
      <c r="R23" s="96"/>
    </row>
    <row r="24" spans="1:18" x14ac:dyDescent="0.3">
      <c r="A24" s="704"/>
      <c r="B24" s="96">
        <v>20</v>
      </c>
      <c r="C24" s="96" t="str">
        <f>IF('MAIN DATA'!C24="","",'MAIN DATA'!C24)</f>
        <v/>
      </c>
      <c r="D24" s="96" t="str">
        <f>IF('MAIN DATA'!D24="","",'MAIN DATA'!D24)</f>
        <v/>
      </c>
      <c r="E24" s="97" t="str">
        <f>UPPER('MAIN DATA'!E24)</f>
        <v/>
      </c>
      <c r="F24" s="97" t="str">
        <f>UPPER('MAIN DATA'!F24)</f>
        <v/>
      </c>
      <c r="G24" s="97" t="str">
        <f>UPPER('MAIN DATA'!G24)</f>
        <v/>
      </c>
      <c r="H24" s="277" t="str">
        <f>IF('MAIN DATA'!H24="","",'MAIN DATA'!H24)</f>
        <v/>
      </c>
      <c r="I24" s="97" t="str">
        <f>UPPER('MAIN DATA'!I24)</f>
        <v/>
      </c>
      <c r="J24" s="97" t="str">
        <f>UPPER('MAIN DATA'!J24)</f>
        <v/>
      </c>
      <c r="K24" s="97"/>
      <c r="L24" s="96"/>
      <c r="M24" s="156"/>
      <c r="N24" s="96"/>
      <c r="O24" s="96"/>
      <c r="P24" s="96"/>
      <c r="Q24" s="96"/>
      <c r="R24" s="96"/>
    </row>
    <row r="25" spans="1:18" x14ac:dyDescent="0.3">
      <c r="A25" s="704"/>
      <c r="B25" s="96">
        <v>21</v>
      </c>
      <c r="C25" s="96" t="str">
        <f>IF('MAIN DATA'!C25="","",'MAIN DATA'!C25)</f>
        <v/>
      </c>
      <c r="D25" s="96" t="str">
        <f>IF('MAIN DATA'!D25="","",'MAIN DATA'!D25)</f>
        <v/>
      </c>
      <c r="E25" s="97" t="str">
        <f>UPPER('MAIN DATA'!E25)</f>
        <v/>
      </c>
      <c r="F25" s="97" t="str">
        <f>UPPER('MAIN DATA'!F25)</f>
        <v/>
      </c>
      <c r="G25" s="97" t="str">
        <f>UPPER('MAIN DATA'!G25)</f>
        <v/>
      </c>
      <c r="H25" s="277" t="str">
        <f>IF('MAIN DATA'!H25="","",'MAIN DATA'!H25)</f>
        <v/>
      </c>
      <c r="I25" s="97" t="str">
        <f>UPPER('MAIN DATA'!I25)</f>
        <v/>
      </c>
      <c r="J25" s="97" t="str">
        <f>UPPER('MAIN DATA'!J25)</f>
        <v/>
      </c>
      <c r="K25" s="97"/>
      <c r="L25" s="96"/>
      <c r="M25" s="156"/>
      <c r="N25" s="96"/>
      <c r="O25" s="96"/>
      <c r="P25" s="96"/>
      <c r="Q25" s="96"/>
      <c r="R25" s="96"/>
    </row>
    <row r="26" spans="1:18" x14ac:dyDescent="0.3">
      <c r="A26" s="704"/>
      <c r="B26" s="96">
        <v>22</v>
      </c>
      <c r="C26" s="96" t="str">
        <f>IF('MAIN DATA'!C26="","",'MAIN DATA'!C26)</f>
        <v/>
      </c>
      <c r="D26" s="96" t="str">
        <f>IF('MAIN DATA'!D26="","",'MAIN DATA'!D26)</f>
        <v/>
      </c>
      <c r="E26" s="97" t="str">
        <f>UPPER('MAIN DATA'!E26)</f>
        <v/>
      </c>
      <c r="F26" s="97" t="str">
        <f>UPPER('MAIN DATA'!F26)</f>
        <v/>
      </c>
      <c r="G26" s="97" t="str">
        <f>UPPER('MAIN DATA'!G26)</f>
        <v/>
      </c>
      <c r="H26" s="277" t="str">
        <f>IF('MAIN DATA'!H26="","",'MAIN DATA'!H26)</f>
        <v/>
      </c>
      <c r="I26" s="97" t="str">
        <f>UPPER('MAIN DATA'!I26)</f>
        <v/>
      </c>
      <c r="J26" s="97" t="str">
        <f>UPPER('MAIN DATA'!J26)</f>
        <v/>
      </c>
      <c r="K26" s="97"/>
      <c r="L26" s="96"/>
      <c r="M26" s="156"/>
      <c r="N26" s="96"/>
      <c r="O26" s="96"/>
      <c r="P26" s="96"/>
      <c r="Q26" s="96"/>
      <c r="R26" s="96"/>
    </row>
    <row r="27" spans="1:18" x14ac:dyDescent="0.3">
      <c r="A27" s="704"/>
      <c r="B27" s="96">
        <v>23</v>
      </c>
      <c r="C27" s="96" t="str">
        <f>IF('MAIN DATA'!C27="","",'MAIN DATA'!C27)</f>
        <v/>
      </c>
      <c r="D27" s="96" t="str">
        <f>IF('MAIN DATA'!D27="","",'MAIN DATA'!D27)</f>
        <v/>
      </c>
      <c r="E27" s="97" t="str">
        <f>UPPER('MAIN DATA'!E27)</f>
        <v/>
      </c>
      <c r="F27" s="97" t="str">
        <f>UPPER('MAIN DATA'!F27)</f>
        <v/>
      </c>
      <c r="G27" s="97" t="str">
        <f>UPPER('MAIN DATA'!G27)</f>
        <v/>
      </c>
      <c r="H27" s="277" t="str">
        <f>IF('MAIN DATA'!H27="","",'MAIN DATA'!H27)</f>
        <v/>
      </c>
      <c r="I27" s="97" t="str">
        <f>UPPER('MAIN DATA'!I27)</f>
        <v/>
      </c>
      <c r="J27" s="97" t="str">
        <f>UPPER('MAIN DATA'!J27)</f>
        <v/>
      </c>
      <c r="K27" s="97"/>
      <c r="L27" s="96"/>
      <c r="M27" s="156"/>
      <c r="N27" s="96"/>
      <c r="O27" s="96"/>
      <c r="P27" s="96"/>
      <c r="Q27" s="96"/>
      <c r="R27" s="96"/>
    </row>
    <row r="28" spans="1:18" x14ac:dyDescent="0.3">
      <c r="A28" s="704"/>
      <c r="B28" s="96">
        <v>24</v>
      </c>
      <c r="C28" s="96" t="str">
        <f>IF('MAIN DATA'!C28="","",'MAIN DATA'!C28)</f>
        <v/>
      </c>
      <c r="D28" s="96" t="str">
        <f>IF('MAIN DATA'!D28="","",'MAIN DATA'!D28)</f>
        <v/>
      </c>
      <c r="E28" s="97" t="str">
        <f>UPPER('MAIN DATA'!E28)</f>
        <v/>
      </c>
      <c r="F28" s="97" t="str">
        <f>UPPER('MAIN DATA'!F28)</f>
        <v/>
      </c>
      <c r="G28" s="97" t="str">
        <f>UPPER('MAIN DATA'!G28)</f>
        <v/>
      </c>
      <c r="H28" s="277" t="str">
        <f>IF('MAIN DATA'!H28="","",'MAIN DATA'!H28)</f>
        <v/>
      </c>
      <c r="I28" s="97" t="str">
        <f>UPPER('MAIN DATA'!I28)</f>
        <v/>
      </c>
      <c r="J28" s="97" t="str">
        <f>UPPER('MAIN DATA'!J28)</f>
        <v/>
      </c>
      <c r="K28" s="97"/>
      <c r="L28" s="96"/>
      <c r="M28" s="156"/>
      <c r="N28" s="96"/>
      <c r="O28" s="96"/>
      <c r="P28" s="96"/>
      <c r="Q28" s="96"/>
      <c r="R28" s="96"/>
    </row>
    <row r="29" spans="1:18" x14ac:dyDescent="0.3">
      <c r="A29" s="704"/>
      <c r="B29" s="96">
        <v>25</v>
      </c>
      <c r="C29" s="96" t="str">
        <f>IF('MAIN DATA'!C29="","",'MAIN DATA'!C29)</f>
        <v/>
      </c>
      <c r="D29" s="96" t="str">
        <f>IF('MAIN DATA'!D29="","",'MAIN DATA'!D29)</f>
        <v/>
      </c>
      <c r="E29" s="97" t="str">
        <f>UPPER('MAIN DATA'!E29)</f>
        <v/>
      </c>
      <c r="F29" s="97" t="str">
        <f>UPPER('MAIN DATA'!F29)</f>
        <v/>
      </c>
      <c r="G29" s="97" t="str">
        <f>UPPER('MAIN DATA'!G29)</f>
        <v/>
      </c>
      <c r="H29" s="277" t="str">
        <f>IF('MAIN DATA'!H29="","",'MAIN DATA'!H29)</f>
        <v/>
      </c>
      <c r="I29" s="97" t="str">
        <f>UPPER('MAIN DATA'!I29)</f>
        <v/>
      </c>
      <c r="J29" s="97" t="str">
        <f>UPPER('MAIN DATA'!J29)</f>
        <v/>
      </c>
      <c r="K29" s="97"/>
      <c r="L29" s="96"/>
      <c r="M29" s="156"/>
      <c r="N29" s="96"/>
      <c r="O29" s="96"/>
      <c r="P29" s="96"/>
      <c r="Q29" s="96"/>
      <c r="R29" s="96"/>
    </row>
    <row r="30" spans="1:18" x14ac:dyDescent="0.3">
      <c r="A30" s="704"/>
      <c r="B30" s="96">
        <v>26</v>
      </c>
      <c r="C30" s="96" t="str">
        <f>IF('MAIN DATA'!C30="","",'MAIN DATA'!C30)</f>
        <v/>
      </c>
      <c r="D30" s="96" t="str">
        <f>IF('MAIN DATA'!D30="","",'MAIN DATA'!D30)</f>
        <v/>
      </c>
      <c r="E30" s="97" t="str">
        <f>UPPER('MAIN DATA'!E30)</f>
        <v/>
      </c>
      <c r="F30" s="97" t="str">
        <f>UPPER('MAIN DATA'!F30)</f>
        <v/>
      </c>
      <c r="G30" s="97" t="str">
        <f>UPPER('MAIN DATA'!G30)</f>
        <v/>
      </c>
      <c r="H30" s="277" t="str">
        <f>IF('MAIN DATA'!H30="","",'MAIN DATA'!H30)</f>
        <v/>
      </c>
      <c r="I30" s="97" t="str">
        <f>UPPER('MAIN DATA'!I30)</f>
        <v/>
      </c>
      <c r="J30" s="97" t="str">
        <f>UPPER('MAIN DATA'!J30)</f>
        <v/>
      </c>
      <c r="K30" s="97"/>
      <c r="L30" s="96"/>
      <c r="M30" s="156"/>
      <c r="N30" s="96"/>
      <c r="O30" s="96"/>
      <c r="P30" s="96"/>
      <c r="Q30" s="96"/>
      <c r="R30" s="96"/>
    </row>
    <row r="31" spans="1:18" x14ac:dyDescent="0.3">
      <c r="A31" s="704"/>
      <c r="B31" s="96">
        <v>27</v>
      </c>
      <c r="C31" s="96" t="str">
        <f>IF('MAIN DATA'!C31="","",'MAIN DATA'!C31)</f>
        <v/>
      </c>
      <c r="D31" s="96" t="str">
        <f>IF('MAIN DATA'!D31="","",'MAIN DATA'!D31)</f>
        <v/>
      </c>
      <c r="E31" s="97" t="str">
        <f>UPPER('MAIN DATA'!E31)</f>
        <v/>
      </c>
      <c r="F31" s="97" t="str">
        <f>UPPER('MAIN DATA'!F31)</f>
        <v/>
      </c>
      <c r="G31" s="97" t="str">
        <f>UPPER('MAIN DATA'!G31)</f>
        <v/>
      </c>
      <c r="H31" s="277" t="str">
        <f>IF('MAIN DATA'!H31="","",'MAIN DATA'!H31)</f>
        <v/>
      </c>
      <c r="I31" s="97" t="str">
        <f>UPPER('MAIN DATA'!I31)</f>
        <v/>
      </c>
      <c r="J31" s="97" t="str">
        <f>UPPER('MAIN DATA'!J31)</f>
        <v/>
      </c>
      <c r="K31" s="97"/>
      <c r="L31" s="96"/>
      <c r="M31" s="156"/>
      <c r="N31" s="96"/>
      <c r="O31" s="96"/>
      <c r="P31" s="96"/>
      <c r="Q31" s="96"/>
      <c r="R31" s="96"/>
    </row>
    <row r="32" spans="1:18" x14ac:dyDescent="0.3">
      <c r="A32" s="704"/>
      <c r="B32" s="96">
        <v>28</v>
      </c>
      <c r="C32" s="96" t="str">
        <f>IF('MAIN DATA'!C32="","",'MAIN DATA'!C32)</f>
        <v/>
      </c>
      <c r="D32" s="96" t="str">
        <f>IF('MAIN DATA'!D32="","",'MAIN DATA'!D32)</f>
        <v/>
      </c>
      <c r="E32" s="97" t="str">
        <f>UPPER('MAIN DATA'!E32)</f>
        <v/>
      </c>
      <c r="F32" s="97" t="str">
        <f>UPPER('MAIN DATA'!F32)</f>
        <v/>
      </c>
      <c r="G32" s="97" t="str">
        <f>UPPER('MAIN DATA'!G32)</f>
        <v/>
      </c>
      <c r="H32" s="277" t="str">
        <f>IF('MAIN DATA'!H32="","",'MAIN DATA'!H32)</f>
        <v/>
      </c>
      <c r="I32" s="97" t="str">
        <f>UPPER('MAIN DATA'!I32)</f>
        <v/>
      </c>
      <c r="J32" s="97" t="str">
        <f>UPPER('MAIN DATA'!J32)</f>
        <v/>
      </c>
      <c r="K32" s="97"/>
      <c r="L32" s="96"/>
      <c r="M32" s="156"/>
      <c r="N32" s="96"/>
      <c r="O32" s="96"/>
      <c r="P32" s="96"/>
      <c r="Q32" s="96"/>
      <c r="R32" s="96"/>
    </row>
    <row r="33" spans="1:18" x14ac:dyDescent="0.3">
      <c r="A33" s="704"/>
      <c r="B33" s="96">
        <v>29</v>
      </c>
      <c r="C33" s="96" t="str">
        <f>IF('MAIN DATA'!C33="","",'MAIN DATA'!C33)</f>
        <v/>
      </c>
      <c r="D33" s="96" t="str">
        <f>IF('MAIN DATA'!D33="","",'MAIN DATA'!D33)</f>
        <v/>
      </c>
      <c r="E33" s="97" t="str">
        <f>UPPER('MAIN DATA'!E33)</f>
        <v/>
      </c>
      <c r="F33" s="97" t="str">
        <f>UPPER('MAIN DATA'!F33)</f>
        <v/>
      </c>
      <c r="G33" s="97" t="str">
        <f>UPPER('MAIN DATA'!G33)</f>
        <v/>
      </c>
      <c r="H33" s="277" t="str">
        <f>IF('MAIN DATA'!H33="","",'MAIN DATA'!H33)</f>
        <v/>
      </c>
      <c r="I33" s="97" t="str">
        <f>UPPER('MAIN DATA'!I33)</f>
        <v/>
      </c>
      <c r="J33" s="97" t="str">
        <f>UPPER('MAIN DATA'!J33)</f>
        <v/>
      </c>
      <c r="K33" s="97"/>
      <c r="L33" s="96"/>
      <c r="M33" s="156"/>
      <c r="N33" s="96"/>
      <c r="O33" s="96"/>
      <c r="P33" s="96"/>
      <c r="Q33" s="96"/>
      <c r="R33" s="96"/>
    </row>
    <row r="34" spans="1:18" x14ac:dyDescent="0.3">
      <c r="A34" s="704"/>
      <c r="B34" s="96">
        <v>30</v>
      </c>
      <c r="C34" s="96" t="str">
        <f>IF('MAIN DATA'!C34="","",'MAIN DATA'!C34)</f>
        <v/>
      </c>
      <c r="D34" s="96" t="str">
        <f>IF('MAIN DATA'!D34="","",'MAIN DATA'!D34)</f>
        <v/>
      </c>
      <c r="E34" s="97" t="str">
        <f>UPPER('MAIN DATA'!E34)</f>
        <v/>
      </c>
      <c r="F34" s="97" t="str">
        <f>UPPER('MAIN DATA'!F34)</f>
        <v/>
      </c>
      <c r="G34" s="97" t="str">
        <f>UPPER('MAIN DATA'!G34)</f>
        <v/>
      </c>
      <c r="H34" s="277" t="str">
        <f>IF('MAIN DATA'!H34="","",'MAIN DATA'!H34)</f>
        <v/>
      </c>
      <c r="I34" s="97" t="str">
        <f>UPPER('MAIN DATA'!I34)</f>
        <v/>
      </c>
      <c r="J34" s="97" t="str">
        <f>UPPER('MAIN DATA'!J34)</f>
        <v/>
      </c>
      <c r="K34" s="97"/>
      <c r="L34" s="96"/>
      <c r="M34" s="156"/>
      <c r="N34" s="96"/>
      <c r="O34" s="96"/>
      <c r="P34" s="96"/>
      <c r="Q34" s="96"/>
      <c r="R34" s="96"/>
    </row>
    <row r="35" spans="1:18" ht="15" customHeight="1" x14ac:dyDescent="0.3">
      <c r="A35" s="704"/>
      <c r="B35" s="96">
        <v>31</v>
      </c>
      <c r="C35" s="96" t="str">
        <f>IF('MAIN DATA'!C35="","",'MAIN DATA'!C35)</f>
        <v/>
      </c>
      <c r="D35" s="96" t="str">
        <f>IF('MAIN DATA'!D35="","",'MAIN DATA'!D35)</f>
        <v/>
      </c>
      <c r="E35" s="97" t="str">
        <f>UPPER('MAIN DATA'!E35)</f>
        <v/>
      </c>
      <c r="F35" s="97" t="str">
        <f>UPPER('MAIN DATA'!F35)</f>
        <v/>
      </c>
      <c r="G35" s="97" t="str">
        <f>UPPER('MAIN DATA'!G35)</f>
        <v/>
      </c>
      <c r="H35" s="277" t="str">
        <f>IF('MAIN DATA'!H35="","",'MAIN DATA'!H35)</f>
        <v/>
      </c>
      <c r="I35" s="97" t="str">
        <f>UPPER('MAIN DATA'!I35)</f>
        <v/>
      </c>
      <c r="J35" s="97" t="str">
        <f>UPPER('MAIN DATA'!J35)</f>
        <v/>
      </c>
      <c r="K35" s="96"/>
      <c r="L35" s="96"/>
      <c r="M35" s="156"/>
      <c r="N35" s="96"/>
      <c r="O35" s="96"/>
      <c r="P35" s="96"/>
      <c r="Q35" s="96"/>
      <c r="R35" s="96"/>
    </row>
    <row r="36" spans="1:18" ht="15" customHeight="1" x14ac:dyDescent="0.3">
      <c r="A36" s="704"/>
      <c r="B36" s="96">
        <v>32</v>
      </c>
      <c r="C36" s="96" t="str">
        <f>IF('MAIN DATA'!C36="","",'MAIN DATA'!C36)</f>
        <v/>
      </c>
      <c r="D36" s="96" t="str">
        <f>IF('MAIN DATA'!D36="","",'MAIN DATA'!D36)</f>
        <v/>
      </c>
      <c r="E36" s="97" t="str">
        <f>UPPER('MAIN DATA'!E36)</f>
        <v/>
      </c>
      <c r="F36" s="97" t="str">
        <f>UPPER('MAIN DATA'!F36)</f>
        <v/>
      </c>
      <c r="G36" s="97" t="str">
        <f>UPPER('MAIN DATA'!G36)</f>
        <v/>
      </c>
      <c r="H36" s="277" t="str">
        <f>IF('MAIN DATA'!H36="","",'MAIN DATA'!H36)</f>
        <v/>
      </c>
      <c r="I36" s="97" t="str">
        <f>UPPER('MAIN DATA'!I36)</f>
        <v/>
      </c>
      <c r="J36" s="97" t="str">
        <f>UPPER('MAIN DATA'!J36)</f>
        <v/>
      </c>
      <c r="K36" s="96"/>
      <c r="L36" s="96"/>
      <c r="M36" s="156"/>
      <c r="N36" s="96"/>
      <c r="O36" s="96"/>
      <c r="P36" s="96"/>
      <c r="Q36" s="96"/>
      <c r="R36" s="96"/>
    </row>
    <row r="37" spans="1:18" ht="15" customHeight="1" x14ac:dyDescent="0.3">
      <c r="A37" s="704"/>
      <c r="B37" s="96">
        <v>33</v>
      </c>
      <c r="C37" s="96" t="str">
        <f>IF('MAIN DATA'!C37="","",'MAIN DATA'!C37)</f>
        <v/>
      </c>
      <c r="D37" s="96" t="str">
        <f>IF('MAIN DATA'!D37="","",'MAIN DATA'!D37)</f>
        <v/>
      </c>
      <c r="E37" s="97" t="str">
        <f>UPPER('MAIN DATA'!E37)</f>
        <v/>
      </c>
      <c r="F37" s="97" t="str">
        <f>UPPER('MAIN DATA'!F37)</f>
        <v/>
      </c>
      <c r="G37" s="97" t="str">
        <f>UPPER('MAIN DATA'!G37)</f>
        <v/>
      </c>
      <c r="H37" s="277" t="str">
        <f>IF('MAIN DATA'!H37="","",'MAIN DATA'!H37)</f>
        <v/>
      </c>
      <c r="I37" s="97" t="str">
        <f>UPPER('MAIN DATA'!I37)</f>
        <v/>
      </c>
      <c r="J37" s="97" t="str">
        <f>UPPER('MAIN DATA'!J37)</f>
        <v/>
      </c>
      <c r="K37" s="96"/>
      <c r="L37" s="96"/>
      <c r="M37" s="156"/>
      <c r="N37" s="96"/>
      <c r="O37" s="96"/>
      <c r="P37" s="96"/>
      <c r="Q37" s="96"/>
      <c r="R37" s="96"/>
    </row>
    <row r="38" spans="1:18" ht="15" customHeight="1" x14ac:dyDescent="0.3">
      <c r="A38" s="704"/>
      <c r="B38" s="96">
        <v>34</v>
      </c>
      <c r="C38" s="96" t="str">
        <f>IF('MAIN DATA'!C38="","",'MAIN DATA'!C38)</f>
        <v/>
      </c>
      <c r="D38" s="96" t="str">
        <f>IF('MAIN DATA'!D38="","",'MAIN DATA'!D38)</f>
        <v/>
      </c>
      <c r="E38" s="97" t="str">
        <f>UPPER('MAIN DATA'!E38)</f>
        <v/>
      </c>
      <c r="F38" s="97" t="str">
        <f>UPPER('MAIN DATA'!F38)</f>
        <v/>
      </c>
      <c r="G38" s="97" t="str">
        <f>UPPER('MAIN DATA'!G38)</f>
        <v/>
      </c>
      <c r="H38" s="277" t="str">
        <f>IF('MAIN DATA'!H38="","",'MAIN DATA'!H38)</f>
        <v/>
      </c>
      <c r="I38" s="97" t="str">
        <f>UPPER('MAIN DATA'!I38)</f>
        <v/>
      </c>
      <c r="J38" s="97" t="str">
        <f>UPPER('MAIN DATA'!J38)</f>
        <v/>
      </c>
      <c r="K38" s="96"/>
      <c r="L38" s="96"/>
      <c r="M38" s="156"/>
      <c r="N38" s="96"/>
      <c r="O38" s="96"/>
      <c r="P38" s="96"/>
      <c r="Q38" s="96"/>
      <c r="R38" s="96"/>
    </row>
    <row r="39" spans="1:18" ht="15" customHeight="1" x14ac:dyDescent="0.3">
      <c r="A39" s="704"/>
      <c r="B39" s="96">
        <v>35</v>
      </c>
      <c r="C39" s="96" t="str">
        <f>IF('MAIN DATA'!C39="","",'MAIN DATA'!C39)</f>
        <v/>
      </c>
      <c r="D39" s="96" t="str">
        <f>IF('MAIN DATA'!D39="","",'MAIN DATA'!D39)</f>
        <v/>
      </c>
      <c r="E39" s="97" t="str">
        <f>UPPER('MAIN DATA'!E39)</f>
        <v/>
      </c>
      <c r="F39" s="97" t="str">
        <f>UPPER('MAIN DATA'!F39)</f>
        <v/>
      </c>
      <c r="G39" s="97" t="str">
        <f>UPPER('MAIN DATA'!G39)</f>
        <v/>
      </c>
      <c r="H39" s="277" t="str">
        <f>IF('MAIN DATA'!H39="","",'MAIN DATA'!H39)</f>
        <v/>
      </c>
      <c r="I39" s="97" t="str">
        <f>UPPER('MAIN DATA'!I39)</f>
        <v/>
      </c>
      <c r="J39" s="97" t="str">
        <f>UPPER('MAIN DATA'!J39)</f>
        <v/>
      </c>
      <c r="K39" s="96"/>
      <c r="L39" s="96"/>
      <c r="M39" s="156"/>
      <c r="N39" s="96"/>
      <c r="O39" s="96"/>
      <c r="P39" s="96"/>
      <c r="Q39" s="96"/>
      <c r="R39" s="96"/>
    </row>
    <row r="40" spans="1:18" ht="15" customHeight="1" x14ac:dyDescent="0.3">
      <c r="A40" s="704"/>
      <c r="B40" s="96">
        <v>36</v>
      </c>
      <c r="C40" s="96" t="str">
        <f>IF('MAIN DATA'!C40="","",'MAIN DATA'!C40)</f>
        <v/>
      </c>
      <c r="D40" s="96" t="str">
        <f>IF('MAIN DATA'!D40="","",'MAIN DATA'!D40)</f>
        <v/>
      </c>
      <c r="E40" s="97" t="str">
        <f>UPPER('MAIN DATA'!E40)</f>
        <v/>
      </c>
      <c r="F40" s="97" t="str">
        <f>UPPER('MAIN DATA'!F40)</f>
        <v/>
      </c>
      <c r="G40" s="97" t="str">
        <f>UPPER('MAIN DATA'!G40)</f>
        <v/>
      </c>
      <c r="H40" s="277" t="str">
        <f>IF('MAIN DATA'!H40="","",'MAIN DATA'!H40)</f>
        <v/>
      </c>
      <c r="I40" s="97" t="str">
        <f>UPPER('MAIN DATA'!I40)</f>
        <v/>
      </c>
      <c r="J40" s="97" t="str">
        <f>UPPER('MAIN DATA'!J40)</f>
        <v/>
      </c>
      <c r="K40" s="96"/>
      <c r="L40" s="96"/>
      <c r="M40" s="156"/>
      <c r="N40" s="96"/>
      <c r="O40" s="96"/>
      <c r="P40" s="96"/>
      <c r="Q40" s="96"/>
      <c r="R40" s="96"/>
    </row>
    <row r="41" spans="1:18" ht="15" customHeight="1" x14ac:dyDescent="0.3">
      <c r="A41" s="704"/>
      <c r="B41" s="96">
        <v>37</v>
      </c>
      <c r="C41" s="96" t="str">
        <f>IF('MAIN DATA'!C41="","",'MAIN DATA'!C41)</f>
        <v/>
      </c>
      <c r="D41" s="96" t="str">
        <f>IF('MAIN DATA'!D41="","",'MAIN DATA'!D41)</f>
        <v/>
      </c>
      <c r="E41" s="97" t="str">
        <f>UPPER('MAIN DATA'!E41)</f>
        <v/>
      </c>
      <c r="F41" s="97" t="str">
        <f>UPPER('MAIN DATA'!F41)</f>
        <v/>
      </c>
      <c r="G41" s="97" t="str">
        <f>UPPER('MAIN DATA'!G41)</f>
        <v/>
      </c>
      <c r="H41" s="277" t="str">
        <f>IF('MAIN DATA'!H41="","",'MAIN DATA'!H41)</f>
        <v/>
      </c>
      <c r="I41" s="97" t="str">
        <f>UPPER('MAIN DATA'!I41)</f>
        <v/>
      </c>
      <c r="J41" s="97" t="str">
        <f>UPPER('MAIN DATA'!J41)</f>
        <v/>
      </c>
      <c r="K41" s="96"/>
      <c r="L41" s="96"/>
      <c r="M41" s="156"/>
      <c r="N41" s="96"/>
      <c r="O41" s="96"/>
      <c r="P41" s="96"/>
      <c r="Q41" s="96"/>
      <c r="R41" s="96"/>
    </row>
    <row r="42" spans="1:18" ht="15" customHeight="1" x14ac:dyDescent="0.3">
      <c r="A42" s="704"/>
      <c r="B42" s="96">
        <v>38</v>
      </c>
      <c r="C42" s="96" t="str">
        <f>IF('MAIN DATA'!C42="","",'MAIN DATA'!C42)</f>
        <v/>
      </c>
      <c r="D42" s="96" t="str">
        <f>IF('MAIN DATA'!D42="","",'MAIN DATA'!D42)</f>
        <v/>
      </c>
      <c r="E42" s="97" t="str">
        <f>UPPER('MAIN DATA'!E42)</f>
        <v/>
      </c>
      <c r="F42" s="97" t="str">
        <f>UPPER('MAIN DATA'!F42)</f>
        <v/>
      </c>
      <c r="G42" s="97" t="str">
        <f>UPPER('MAIN DATA'!G42)</f>
        <v/>
      </c>
      <c r="H42" s="277" t="str">
        <f>IF('MAIN DATA'!H42="","",'MAIN DATA'!H42)</f>
        <v/>
      </c>
      <c r="I42" s="97" t="str">
        <f>UPPER('MAIN DATA'!I42)</f>
        <v/>
      </c>
      <c r="J42" s="97" t="str">
        <f>UPPER('MAIN DATA'!J42)</f>
        <v/>
      </c>
      <c r="K42" s="96"/>
      <c r="L42" s="96"/>
      <c r="M42" s="156"/>
      <c r="N42" s="96"/>
      <c r="O42" s="96"/>
      <c r="P42" s="96"/>
      <c r="Q42" s="96"/>
      <c r="R42" s="96"/>
    </row>
    <row r="43" spans="1:18" ht="15" customHeight="1" x14ac:dyDescent="0.3">
      <c r="A43" s="704"/>
      <c r="B43" s="96">
        <v>39</v>
      </c>
      <c r="C43" s="96" t="str">
        <f>IF('MAIN DATA'!C43="","",'MAIN DATA'!C43)</f>
        <v/>
      </c>
      <c r="D43" s="96" t="str">
        <f>IF('MAIN DATA'!D43="","",'MAIN DATA'!D43)</f>
        <v/>
      </c>
      <c r="E43" s="97" t="str">
        <f>UPPER('MAIN DATA'!E43)</f>
        <v/>
      </c>
      <c r="F43" s="97" t="str">
        <f>UPPER('MAIN DATA'!F43)</f>
        <v/>
      </c>
      <c r="G43" s="97" t="str">
        <f>UPPER('MAIN DATA'!G43)</f>
        <v/>
      </c>
      <c r="H43" s="277" t="str">
        <f>IF('MAIN DATA'!H43="","",'MAIN DATA'!H43)</f>
        <v/>
      </c>
      <c r="I43" s="97" t="str">
        <f>UPPER('MAIN DATA'!I43)</f>
        <v/>
      </c>
      <c r="J43" s="97" t="str">
        <f>UPPER('MAIN DATA'!J43)</f>
        <v/>
      </c>
      <c r="K43" s="96"/>
      <c r="L43" s="96"/>
      <c r="M43" s="156"/>
      <c r="N43" s="96"/>
      <c r="O43" s="96"/>
      <c r="P43" s="96"/>
      <c r="Q43" s="96"/>
      <c r="R43" s="96"/>
    </row>
    <row r="44" spans="1:18" ht="15" customHeight="1" x14ac:dyDescent="0.3">
      <c r="A44" s="704"/>
      <c r="B44" s="96">
        <v>40</v>
      </c>
      <c r="C44" s="96" t="str">
        <f>IF('MAIN DATA'!C44="","",'MAIN DATA'!C44)</f>
        <v/>
      </c>
      <c r="D44" s="96" t="str">
        <f>IF('MAIN DATA'!D44="","",'MAIN DATA'!D44)</f>
        <v/>
      </c>
      <c r="E44" s="97" t="str">
        <f>UPPER('MAIN DATA'!E44)</f>
        <v/>
      </c>
      <c r="F44" s="97" t="str">
        <f>UPPER('MAIN DATA'!F44)</f>
        <v/>
      </c>
      <c r="G44" s="97" t="str">
        <f>UPPER('MAIN DATA'!G44)</f>
        <v/>
      </c>
      <c r="H44" s="277" t="str">
        <f>IF('MAIN DATA'!H44="","",'MAIN DATA'!H44)</f>
        <v/>
      </c>
      <c r="I44" s="97" t="str">
        <f>UPPER('MAIN DATA'!I44)</f>
        <v/>
      </c>
      <c r="J44" s="97" t="str">
        <f>UPPER('MAIN DATA'!J44)</f>
        <v/>
      </c>
      <c r="K44" s="96"/>
      <c r="L44" s="96"/>
      <c r="M44" s="156"/>
      <c r="N44" s="96"/>
      <c r="O44" s="96"/>
      <c r="P44" s="96"/>
      <c r="Q44" s="96"/>
      <c r="R44" s="96"/>
    </row>
    <row r="45" spans="1:18" ht="15" customHeight="1" x14ac:dyDescent="0.3">
      <c r="A45" s="704"/>
      <c r="B45" s="96">
        <v>41</v>
      </c>
      <c r="C45" s="96" t="str">
        <f>IF('MAIN DATA'!C45="","",'MAIN DATA'!C45)</f>
        <v/>
      </c>
      <c r="D45" s="96" t="str">
        <f>IF('MAIN DATA'!D45="","",'MAIN DATA'!D45)</f>
        <v/>
      </c>
      <c r="E45" s="97" t="str">
        <f>UPPER('MAIN DATA'!E45)</f>
        <v/>
      </c>
      <c r="F45" s="97" t="str">
        <f>UPPER('MAIN DATA'!F45)</f>
        <v/>
      </c>
      <c r="G45" s="97" t="str">
        <f>UPPER('MAIN DATA'!G45)</f>
        <v/>
      </c>
      <c r="H45" s="277" t="str">
        <f>IF('MAIN DATA'!H45="","",'MAIN DATA'!H45)</f>
        <v/>
      </c>
      <c r="I45" s="97" t="str">
        <f>UPPER('MAIN DATA'!I45)</f>
        <v/>
      </c>
      <c r="J45" s="97" t="str">
        <f>UPPER('MAIN DATA'!J45)</f>
        <v/>
      </c>
      <c r="K45" s="96"/>
      <c r="L45" s="96"/>
      <c r="M45" s="156"/>
      <c r="N45" s="96"/>
      <c r="O45" s="96"/>
      <c r="P45" s="96"/>
      <c r="Q45" s="96"/>
      <c r="R45" s="96"/>
    </row>
    <row r="46" spans="1:18" ht="15" customHeight="1" x14ac:dyDescent="0.3">
      <c r="A46" s="704"/>
      <c r="B46" s="96">
        <v>42</v>
      </c>
      <c r="C46" s="96" t="str">
        <f>IF('MAIN DATA'!C46="","",'MAIN DATA'!C46)</f>
        <v/>
      </c>
      <c r="D46" s="96" t="str">
        <f>IF('MAIN DATA'!D46="","",'MAIN DATA'!D46)</f>
        <v/>
      </c>
      <c r="E46" s="97" t="str">
        <f>UPPER('MAIN DATA'!E46)</f>
        <v/>
      </c>
      <c r="F46" s="97" t="str">
        <f>UPPER('MAIN DATA'!F46)</f>
        <v/>
      </c>
      <c r="G46" s="97" t="str">
        <f>UPPER('MAIN DATA'!G46)</f>
        <v/>
      </c>
      <c r="H46" s="277" t="str">
        <f>IF('MAIN DATA'!H46="","",'MAIN DATA'!H46)</f>
        <v/>
      </c>
      <c r="I46" s="97" t="str">
        <f>UPPER('MAIN DATA'!I46)</f>
        <v/>
      </c>
      <c r="J46" s="97" t="str">
        <f>UPPER('MAIN DATA'!J46)</f>
        <v/>
      </c>
      <c r="K46" s="96"/>
      <c r="L46" s="96"/>
      <c r="M46" s="156"/>
      <c r="N46" s="96"/>
      <c r="O46" s="96"/>
      <c r="P46" s="96"/>
      <c r="Q46" s="96"/>
      <c r="R46" s="96"/>
    </row>
    <row r="47" spans="1:18" ht="15" customHeight="1" x14ac:dyDescent="0.3">
      <c r="A47" s="704"/>
      <c r="B47" s="96">
        <v>43</v>
      </c>
      <c r="C47" s="96" t="str">
        <f>IF('MAIN DATA'!C47="","",'MAIN DATA'!C47)</f>
        <v/>
      </c>
      <c r="D47" s="96" t="str">
        <f>IF('MAIN DATA'!D47="","",'MAIN DATA'!D47)</f>
        <v/>
      </c>
      <c r="E47" s="97" t="str">
        <f>UPPER('MAIN DATA'!E47)</f>
        <v/>
      </c>
      <c r="F47" s="97" t="str">
        <f>UPPER('MAIN DATA'!F47)</f>
        <v/>
      </c>
      <c r="G47" s="97" t="str">
        <f>UPPER('MAIN DATA'!G47)</f>
        <v/>
      </c>
      <c r="H47" s="277" t="str">
        <f>IF('MAIN DATA'!H47="","",'MAIN DATA'!H47)</f>
        <v/>
      </c>
      <c r="I47" s="97" t="str">
        <f>UPPER('MAIN DATA'!I47)</f>
        <v/>
      </c>
      <c r="J47" s="97" t="str">
        <f>UPPER('MAIN DATA'!J47)</f>
        <v/>
      </c>
      <c r="K47" s="96"/>
      <c r="L47" s="96"/>
      <c r="M47" s="156"/>
      <c r="N47" s="96"/>
      <c r="O47" s="96"/>
      <c r="P47" s="96"/>
      <c r="Q47" s="96"/>
      <c r="R47" s="96"/>
    </row>
    <row r="48" spans="1:18" ht="15" customHeight="1" x14ac:dyDescent="0.3">
      <c r="A48" s="704"/>
      <c r="B48" s="96">
        <v>44</v>
      </c>
      <c r="C48" s="96" t="str">
        <f>IF('MAIN DATA'!C48="","",'MAIN DATA'!C48)</f>
        <v/>
      </c>
      <c r="D48" s="96" t="str">
        <f>IF('MAIN DATA'!D48="","",'MAIN DATA'!D48)</f>
        <v/>
      </c>
      <c r="E48" s="97" t="str">
        <f>UPPER('MAIN DATA'!E48)</f>
        <v/>
      </c>
      <c r="F48" s="97" t="str">
        <f>UPPER('MAIN DATA'!F48)</f>
        <v/>
      </c>
      <c r="G48" s="97" t="str">
        <f>UPPER('MAIN DATA'!G48)</f>
        <v/>
      </c>
      <c r="H48" s="277" t="str">
        <f>IF('MAIN DATA'!H48="","",'MAIN DATA'!H48)</f>
        <v/>
      </c>
      <c r="I48" s="97" t="str">
        <f>UPPER('MAIN DATA'!I48)</f>
        <v/>
      </c>
      <c r="J48" s="97" t="str">
        <f>UPPER('MAIN DATA'!J48)</f>
        <v/>
      </c>
      <c r="K48" s="96"/>
      <c r="L48" s="96"/>
      <c r="M48" s="156"/>
      <c r="N48" s="96"/>
      <c r="O48" s="96"/>
      <c r="P48" s="96"/>
      <c r="Q48" s="96"/>
      <c r="R48" s="96"/>
    </row>
    <row r="49" spans="1:18" ht="15" customHeight="1" x14ac:dyDescent="0.3">
      <c r="A49" s="704"/>
      <c r="B49" s="96">
        <v>45</v>
      </c>
      <c r="C49" s="96" t="str">
        <f>IF('MAIN DATA'!C49="","",'MAIN DATA'!C49)</f>
        <v/>
      </c>
      <c r="D49" s="96" t="str">
        <f>IF('MAIN DATA'!D49="","",'MAIN DATA'!D49)</f>
        <v/>
      </c>
      <c r="E49" s="97" t="str">
        <f>UPPER('MAIN DATA'!E49)</f>
        <v/>
      </c>
      <c r="F49" s="97" t="str">
        <f>UPPER('MAIN DATA'!F52)</f>
        <v/>
      </c>
      <c r="G49" s="97" t="str">
        <f>UPPER('MAIN DATA'!G52)</f>
        <v/>
      </c>
      <c r="H49" s="277" t="str">
        <f>IF('MAIN DATA'!H49="","",'MAIN DATA'!H49)</f>
        <v/>
      </c>
      <c r="I49" s="97" t="str">
        <f>UPPER('MAIN DATA'!I49)</f>
        <v/>
      </c>
      <c r="J49" s="97" t="str">
        <f>UPPER('MAIN DATA'!J49)</f>
        <v/>
      </c>
      <c r="K49" s="96"/>
      <c r="L49" s="96"/>
      <c r="M49" s="96"/>
      <c r="N49" s="96"/>
      <c r="O49" s="96"/>
      <c r="P49" s="96"/>
      <c r="Q49" s="96"/>
      <c r="R49" s="96"/>
    </row>
    <row r="50" spans="1:18" ht="14.25" customHeight="1" x14ac:dyDescent="0.25">
      <c r="A50" s="704"/>
      <c r="B50" s="704"/>
      <c r="C50" s="704"/>
      <c r="D50" s="704"/>
      <c r="E50" s="704"/>
      <c r="F50" s="704"/>
      <c r="G50" s="704"/>
      <c r="H50" s="704"/>
      <c r="I50" s="704"/>
      <c r="J50" s="704"/>
      <c r="K50" s="704"/>
      <c r="L50" s="704"/>
      <c r="M50" s="704"/>
      <c r="N50" s="704"/>
      <c r="O50" s="704"/>
      <c r="P50" s="704"/>
      <c r="Q50" s="704"/>
      <c r="R50" s="704"/>
    </row>
  </sheetData>
  <sheetProtection algorithmName="SHA-512" hashValue="UU3IVbVD9fWHoPhNvpRSrP5vwkHIVRr9SqD7MvvDdVXwNa6L6tGDGu1uVareq6JC8Yy9zx+GUH9clHZ/TA+Zjg==" saltValue="8gIqLTN0VKEjXhzRP4IeEA==" spinCount="100000" sheet="1" objects="1" scenarios="1" selectLockedCells="1"/>
  <mergeCells count="6">
    <mergeCell ref="B3:R3"/>
    <mergeCell ref="B1:XFD1"/>
    <mergeCell ref="S2:XFD1048576"/>
    <mergeCell ref="A50:R50"/>
    <mergeCell ref="A2:A49"/>
    <mergeCell ref="B2:R2"/>
  </mergeCells>
  <hyperlinks>
    <hyperlink ref="A1" location="DASHBOARD!A1" display="D"/>
  </hyperlinks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S50"/>
  <sheetViews>
    <sheetView workbookViewId="0">
      <pane ySplit="4" topLeftCell="A5" activePane="bottomLeft" state="frozen"/>
      <selection activeCell="K14" sqref="K14:Y14"/>
      <selection pane="bottomLeft" activeCell="M6" sqref="M6"/>
    </sheetView>
  </sheetViews>
  <sheetFormatPr defaultColWidth="0" defaultRowHeight="15" customHeight="1" zeroHeight="1" x14ac:dyDescent="0.25"/>
  <cols>
    <col min="1" max="1" width="2.33203125" style="43" customWidth="1"/>
    <col min="2" max="2" width="7.6640625" style="43" bestFit="1" customWidth="1"/>
    <col min="3" max="3" width="13" style="43" customWidth="1"/>
    <col min="4" max="4" width="10.33203125" style="43" bestFit="1" customWidth="1"/>
    <col min="5" max="5" width="31.88671875" style="43" bestFit="1" customWidth="1"/>
    <col min="6" max="6" width="22.33203125" style="43" bestFit="1" customWidth="1"/>
    <col min="7" max="7" width="19.109375" style="43" bestFit="1" customWidth="1"/>
    <col min="8" max="8" width="11.5546875" style="43" customWidth="1"/>
    <col min="9" max="9" width="13.6640625" style="43" bestFit="1" customWidth="1"/>
    <col min="10" max="10" width="15.6640625" style="43" bestFit="1" customWidth="1"/>
    <col min="11" max="11" width="13.109375" style="43" bestFit="1" customWidth="1"/>
    <col min="12" max="12" width="16.109375" style="43" bestFit="1" customWidth="1"/>
    <col min="13" max="13" width="18.21875" style="43" bestFit="1" customWidth="1"/>
    <col min="14" max="14" width="16.21875" style="43" hidden="1" customWidth="1"/>
    <col min="15" max="15" width="9.21875" style="43" hidden="1" customWidth="1"/>
    <col min="16" max="16" width="17.88671875" style="43" hidden="1" customWidth="1"/>
    <col min="17" max="17" width="7.6640625" style="43" hidden="1" customWidth="1"/>
    <col min="18" max="18" width="12.88671875" style="43" hidden="1" customWidth="1"/>
    <col min="19" max="19" width="2.88671875" style="704" customWidth="1"/>
    <col min="20" max="16384" width="9.109375" style="704" hidden="1"/>
  </cols>
  <sheetData>
    <row r="1" spans="1:18" ht="15" customHeight="1" x14ac:dyDescent="0.25">
      <c r="A1" s="38" t="s">
        <v>24</v>
      </c>
      <c r="B1" s="704"/>
      <c r="C1" s="704"/>
      <c r="D1" s="704"/>
      <c r="E1" s="704"/>
      <c r="F1" s="704"/>
      <c r="G1" s="704"/>
      <c r="H1" s="704"/>
      <c r="I1" s="704"/>
      <c r="J1" s="704"/>
      <c r="K1" s="704"/>
      <c r="L1" s="704"/>
      <c r="M1" s="704"/>
      <c r="N1" s="704"/>
      <c r="O1" s="704"/>
      <c r="P1" s="704"/>
      <c r="Q1" s="704"/>
      <c r="R1" s="704"/>
    </row>
    <row r="2" spans="1:18" ht="24.6" x14ac:dyDescent="0.4">
      <c r="A2" s="704"/>
      <c r="B2" s="706" t="str">
        <f>"SWAMI VIVEKANAND GOVT. MODEL SCHOOL,"&amp;DASHBOARD!C3</f>
        <v>SWAMI VIVEKANAND GOVT. MODEL SCHOOL,XXXX,  BLOCK-XXXX (RAJSAMAND)</v>
      </c>
      <c r="C2" s="706"/>
      <c r="D2" s="706"/>
      <c r="E2" s="706"/>
      <c r="F2" s="706"/>
      <c r="G2" s="706"/>
      <c r="H2" s="706"/>
      <c r="I2" s="706"/>
      <c r="J2" s="706"/>
      <c r="K2" s="706"/>
      <c r="L2" s="706"/>
      <c r="M2" s="706"/>
      <c r="N2" s="706"/>
      <c r="O2" s="706"/>
      <c r="P2" s="706"/>
      <c r="Q2" s="706"/>
      <c r="R2" s="706"/>
    </row>
    <row r="3" spans="1:18" ht="20.399999999999999" x14ac:dyDescent="0.35">
      <c r="A3" s="704"/>
      <c r="B3" s="707" t="str">
        <f>"     MASTER DATA SHEET    "&amp;DASHBOARD!B4</f>
        <v xml:space="preserve">     MASTER DATA SHEET    SESSION  -  2025-26</v>
      </c>
      <c r="C3" s="707"/>
      <c r="D3" s="707"/>
      <c r="E3" s="707"/>
      <c r="F3" s="707"/>
      <c r="G3" s="707"/>
      <c r="H3" s="707"/>
      <c r="I3" s="707"/>
      <c r="J3" s="707"/>
      <c r="K3" s="707"/>
      <c r="L3" s="707"/>
      <c r="M3" s="707"/>
      <c r="N3" s="707"/>
      <c r="O3" s="707"/>
      <c r="P3" s="707"/>
      <c r="Q3" s="707"/>
      <c r="R3" s="707"/>
    </row>
    <row r="4" spans="1:18" ht="17.399999999999999" x14ac:dyDescent="0.3">
      <c r="A4" s="704"/>
      <c r="B4" s="39" t="s">
        <v>4</v>
      </c>
      <c r="C4" s="40" t="s">
        <v>5</v>
      </c>
      <c r="D4" s="39" t="s">
        <v>6</v>
      </c>
      <c r="E4" s="39" t="s">
        <v>7</v>
      </c>
      <c r="F4" s="39" t="s">
        <v>8</v>
      </c>
      <c r="G4" s="39" t="s">
        <v>9</v>
      </c>
      <c r="H4" s="39" t="s">
        <v>10</v>
      </c>
      <c r="I4" s="39" t="s">
        <v>11</v>
      </c>
      <c r="J4" s="39" t="s">
        <v>12</v>
      </c>
      <c r="K4" s="39" t="s">
        <v>14</v>
      </c>
      <c r="L4" s="39" t="s">
        <v>308</v>
      </c>
      <c r="M4" s="39" t="s">
        <v>309</v>
      </c>
      <c r="N4" s="39" t="s">
        <v>15</v>
      </c>
      <c r="O4" s="39" t="s">
        <v>17</v>
      </c>
      <c r="P4" s="39" t="s">
        <v>18</v>
      </c>
      <c r="Q4" s="39" t="s">
        <v>19</v>
      </c>
      <c r="R4" s="39" t="s">
        <v>20</v>
      </c>
    </row>
    <row r="5" spans="1:18" ht="13.8" x14ac:dyDescent="0.3">
      <c r="A5" s="704"/>
      <c r="B5" s="96">
        <v>1</v>
      </c>
      <c r="C5" s="41">
        <v>901</v>
      </c>
      <c r="D5" s="41">
        <v>974</v>
      </c>
      <c r="E5" s="278" t="s">
        <v>247</v>
      </c>
      <c r="F5" s="278" t="s">
        <v>248</v>
      </c>
      <c r="G5" s="278" t="s">
        <v>249</v>
      </c>
      <c r="H5" s="279">
        <v>40203</v>
      </c>
      <c r="I5" s="41" t="s">
        <v>199</v>
      </c>
      <c r="J5" s="41" t="s">
        <v>165</v>
      </c>
      <c r="K5" s="595"/>
      <c r="L5" s="596">
        <v>111111111111111</v>
      </c>
      <c r="M5" s="596">
        <v>222222222222222</v>
      </c>
      <c r="N5" s="96"/>
      <c r="O5" s="96"/>
      <c r="P5" s="96"/>
      <c r="Q5" s="96"/>
      <c r="R5" s="96"/>
    </row>
    <row r="6" spans="1:18" ht="13.8" x14ac:dyDescent="0.3">
      <c r="A6" s="704"/>
      <c r="B6" s="96">
        <v>2</v>
      </c>
      <c r="C6" s="41">
        <v>902</v>
      </c>
      <c r="D6" s="41">
        <v>971</v>
      </c>
      <c r="E6" s="278" t="s">
        <v>250</v>
      </c>
      <c r="F6" s="278" t="s">
        <v>251</v>
      </c>
      <c r="G6" s="278" t="s">
        <v>252</v>
      </c>
      <c r="H6" s="279">
        <v>40292</v>
      </c>
      <c r="I6" s="41" t="s">
        <v>198</v>
      </c>
      <c r="J6" s="41" t="s">
        <v>166</v>
      </c>
      <c r="K6" s="595"/>
      <c r="L6" s="41"/>
      <c r="M6" s="596"/>
      <c r="N6" s="96"/>
      <c r="O6" s="96"/>
      <c r="P6" s="96"/>
      <c r="Q6" s="96"/>
      <c r="R6" s="96"/>
    </row>
    <row r="7" spans="1:18" ht="13.8" x14ac:dyDescent="0.3">
      <c r="A7" s="704"/>
      <c r="B7" s="96">
        <v>3</v>
      </c>
      <c r="C7" s="41" t="s">
        <v>200</v>
      </c>
      <c r="D7" s="41">
        <v>1370</v>
      </c>
      <c r="E7" s="278" t="s">
        <v>253</v>
      </c>
      <c r="F7" s="278" t="s">
        <v>254</v>
      </c>
      <c r="G7" s="278" t="s">
        <v>255</v>
      </c>
      <c r="H7" s="279">
        <v>40431</v>
      </c>
      <c r="I7" s="41" t="s">
        <v>198</v>
      </c>
      <c r="J7" s="41" t="s">
        <v>165</v>
      </c>
      <c r="K7" s="595"/>
      <c r="L7" s="41"/>
      <c r="M7" s="596"/>
      <c r="N7" s="96"/>
      <c r="O7" s="96"/>
      <c r="P7" s="96"/>
      <c r="Q7" s="96"/>
      <c r="R7" s="96"/>
    </row>
    <row r="8" spans="1:18" ht="13.8" x14ac:dyDescent="0.3">
      <c r="A8" s="704"/>
      <c r="B8" s="96">
        <v>4</v>
      </c>
      <c r="C8" s="41"/>
      <c r="D8" s="41"/>
      <c r="E8" s="278"/>
      <c r="F8" s="278"/>
      <c r="G8" s="278"/>
      <c r="H8" s="279"/>
      <c r="I8" s="41"/>
      <c r="J8" s="41"/>
      <c r="K8" s="595"/>
      <c r="L8" s="41"/>
      <c r="M8" s="596"/>
      <c r="N8" s="96"/>
      <c r="O8" s="96"/>
      <c r="P8" s="96"/>
      <c r="Q8" s="96"/>
      <c r="R8" s="96"/>
    </row>
    <row r="9" spans="1:18" ht="13.8" x14ac:dyDescent="0.3">
      <c r="A9" s="704"/>
      <c r="B9" s="96">
        <v>5</v>
      </c>
      <c r="C9" s="41"/>
      <c r="D9" s="41"/>
      <c r="E9" s="278"/>
      <c r="F9" s="278"/>
      <c r="G9" s="278"/>
      <c r="H9" s="279"/>
      <c r="I9" s="41"/>
      <c r="J9" s="41"/>
      <c r="K9" s="595"/>
      <c r="L9" s="41"/>
      <c r="M9" s="596"/>
      <c r="N9" s="96"/>
      <c r="O9" s="96"/>
      <c r="P9" s="96"/>
      <c r="Q9" s="96"/>
      <c r="R9" s="96"/>
    </row>
    <row r="10" spans="1:18" ht="13.8" x14ac:dyDescent="0.3">
      <c r="A10" s="704"/>
      <c r="B10" s="96">
        <v>6</v>
      </c>
      <c r="C10" s="41"/>
      <c r="D10" s="41"/>
      <c r="E10" s="278"/>
      <c r="F10" s="278"/>
      <c r="G10" s="278"/>
      <c r="H10" s="279"/>
      <c r="I10" s="41"/>
      <c r="J10" s="41"/>
      <c r="K10" s="595"/>
      <c r="L10" s="41"/>
      <c r="M10" s="596"/>
      <c r="N10" s="96"/>
      <c r="O10" s="96"/>
      <c r="P10" s="96"/>
      <c r="Q10" s="96"/>
      <c r="R10" s="96"/>
    </row>
    <row r="11" spans="1:18" ht="13.8" x14ac:dyDescent="0.3">
      <c r="A11" s="704"/>
      <c r="B11" s="96">
        <v>7</v>
      </c>
      <c r="C11" s="41"/>
      <c r="D11" s="41"/>
      <c r="E11" s="278"/>
      <c r="F11" s="278"/>
      <c r="G11" s="278"/>
      <c r="H11" s="279"/>
      <c r="I11" s="41"/>
      <c r="J11" s="41"/>
      <c r="K11" s="595"/>
      <c r="L11" s="41"/>
      <c r="M11" s="596"/>
      <c r="N11" s="96"/>
      <c r="O11" s="96"/>
      <c r="P11" s="96"/>
      <c r="Q11" s="96"/>
      <c r="R11" s="96"/>
    </row>
    <row r="12" spans="1:18" ht="13.8" x14ac:dyDescent="0.3">
      <c r="A12" s="704"/>
      <c r="B12" s="96">
        <v>8</v>
      </c>
      <c r="C12" s="41"/>
      <c r="D12" s="41"/>
      <c r="E12" s="278"/>
      <c r="F12" s="278"/>
      <c r="G12" s="278"/>
      <c r="H12" s="279"/>
      <c r="I12" s="41"/>
      <c r="J12" s="41"/>
      <c r="K12" s="595"/>
      <c r="L12" s="41"/>
      <c r="M12" s="596"/>
      <c r="N12" s="96"/>
      <c r="O12" s="96"/>
      <c r="P12" s="96"/>
      <c r="Q12" s="96"/>
      <c r="R12" s="96"/>
    </row>
    <row r="13" spans="1:18" ht="13.8" x14ac:dyDescent="0.3">
      <c r="A13" s="704"/>
      <c r="B13" s="96">
        <v>9</v>
      </c>
      <c r="C13" s="41"/>
      <c r="D13" s="41"/>
      <c r="E13" s="278"/>
      <c r="F13" s="278"/>
      <c r="G13" s="278"/>
      <c r="H13" s="279"/>
      <c r="I13" s="41"/>
      <c r="J13" s="41"/>
      <c r="K13" s="595"/>
      <c r="L13" s="41"/>
      <c r="M13" s="596"/>
      <c r="N13" s="96"/>
      <c r="O13" s="96"/>
      <c r="P13" s="96"/>
      <c r="Q13" s="96"/>
      <c r="R13" s="96"/>
    </row>
    <row r="14" spans="1:18" ht="13.8" x14ac:dyDescent="0.3">
      <c r="A14" s="704"/>
      <c r="B14" s="96">
        <v>10</v>
      </c>
      <c r="C14" s="41"/>
      <c r="D14" s="41"/>
      <c r="E14" s="278"/>
      <c r="F14" s="278"/>
      <c r="G14" s="278"/>
      <c r="H14" s="279"/>
      <c r="I14" s="41"/>
      <c r="J14" s="41"/>
      <c r="K14" s="595"/>
      <c r="L14" s="41"/>
      <c r="M14" s="596"/>
      <c r="N14" s="96"/>
      <c r="O14" s="96"/>
      <c r="P14" s="96"/>
      <c r="Q14" s="96"/>
      <c r="R14" s="96"/>
    </row>
    <row r="15" spans="1:18" ht="13.8" x14ac:dyDescent="0.3">
      <c r="A15" s="704"/>
      <c r="B15" s="96">
        <v>11</v>
      </c>
      <c r="C15" s="41"/>
      <c r="D15" s="41"/>
      <c r="E15" s="278"/>
      <c r="F15" s="278"/>
      <c r="G15" s="278"/>
      <c r="H15" s="279"/>
      <c r="I15" s="41"/>
      <c r="J15" s="41"/>
      <c r="K15" s="595"/>
      <c r="L15" s="41"/>
      <c r="M15" s="596"/>
      <c r="N15" s="96"/>
      <c r="O15" s="96"/>
      <c r="P15" s="96"/>
      <c r="Q15" s="96"/>
      <c r="R15" s="96"/>
    </row>
    <row r="16" spans="1:18" ht="13.8" x14ac:dyDescent="0.3">
      <c r="A16" s="704"/>
      <c r="B16" s="96">
        <v>12</v>
      </c>
      <c r="C16" s="41"/>
      <c r="D16" s="41"/>
      <c r="E16" s="278"/>
      <c r="F16" s="278"/>
      <c r="G16" s="278"/>
      <c r="H16" s="279"/>
      <c r="I16" s="41"/>
      <c r="J16" s="41"/>
      <c r="K16" s="595"/>
      <c r="L16" s="41"/>
      <c r="M16" s="596"/>
      <c r="N16" s="96"/>
      <c r="O16" s="96"/>
      <c r="P16" s="96"/>
      <c r="Q16" s="96"/>
      <c r="R16" s="96"/>
    </row>
    <row r="17" spans="1:18" ht="13.8" x14ac:dyDescent="0.3">
      <c r="A17" s="704"/>
      <c r="B17" s="96">
        <v>13</v>
      </c>
      <c r="C17" s="41"/>
      <c r="D17" s="41"/>
      <c r="E17" s="278"/>
      <c r="F17" s="278"/>
      <c r="G17" s="278"/>
      <c r="H17" s="279"/>
      <c r="I17" s="41"/>
      <c r="J17" s="41"/>
      <c r="K17" s="595"/>
      <c r="L17" s="41"/>
      <c r="M17" s="596"/>
      <c r="N17" s="96"/>
      <c r="O17" s="96"/>
      <c r="P17" s="96"/>
      <c r="Q17" s="96"/>
      <c r="R17" s="96"/>
    </row>
    <row r="18" spans="1:18" ht="13.8" x14ac:dyDescent="0.3">
      <c r="A18" s="704"/>
      <c r="B18" s="96">
        <v>14</v>
      </c>
      <c r="C18" s="41"/>
      <c r="D18" s="41"/>
      <c r="E18" s="278"/>
      <c r="F18" s="278"/>
      <c r="G18" s="278"/>
      <c r="H18" s="279"/>
      <c r="I18" s="41"/>
      <c r="J18" s="41"/>
      <c r="K18" s="595"/>
      <c r="L18" s="41"/>
      <c r="M18" s="596"/>
      <c r="N18" s="96"/>
      <c r="O18" s="96"/>
      <c r="P18" s="96"/>
      <c r="Q18" s="96"/>
      <c r="R18" s="96"/>
    </row>
    <row r="19" spans="1:18" ht="13.8" x14ac:dyDescent="0.3">
      <c r="A19" s="704"/>
      <c r="B19" s="96">
        <v>15</v>
      </c>
      <c r="C19" s="41"/>
      <c r="D19" s="41"/>
      <c r="E19" s="278"/>
      <c r="F19" s="278"/>
      <c r="G19" s="278"/>
      <c r="H19" s="279"/>
      <c r="I19" s="41"/>
      <c r="J19" s="41"/>
      <c r="K19" s="595"/>
      <c r="L19" s="41"/>
      <c r="M19" s="596"/>
      <c r="N19" s="96"/>
      <c r="O19" s="96"/>
      <c r="P19" s="96"/>
      <c r="Q19" s="96"/>
      <c r="R19" s="96"/>
    </row>
    <row r="20" spans="1:18" ht="13.8" x14ac:dyDescent="0.3">
      <c r="A20" s="704"/>
      <c r="B20" s="96">
        <v>16</v>
      </c>
      <c r="C20" s="41"/>
      <c r="D20" s="41"/>
      <c r="E20" s="278"/>
      <c r="F20" s="278"/>
      <c r="G20" s="278"/>
      <c r="H20" s="279"/>
      <c r="I20" s="41"/>
      <c r="J20" s="41"/>
      <c r="K20" s="595"/>
      <c r="L20" s="41"/>
      <c r="M20" s="596"/>
      <c r="N20" s="96"/>
      <c r="O20" s="96"/>
      <c r="P20" s="96"/>
      <c r="Q20" s="96"/>
      <c r="R20" s="96"/>
    </row>
    <row r="21" spans="1:18" ht="13.8" x14ac:dyDescent="0.3">
      <c r="A21" s="704"/>
      <c r="B21" s="96">
        <v>17</v>
      </c>
      <c r="C21" s="41"/>
      <c r="D21" s="41"/>
      <c r="E21" s="278"/>
      <c r="F21" s="278"/>
      <c r="G21" s="278"/>
      <c r="H21" s="279"/>
      <c r="I21" s="41"/>
      <c r="J21" s="41"/>
      <c r="K21" s="595"/>
      <c r="L21" s="41"/>
      <c r="M21" s="596"/>
      <c r="N21" s="96"/>
      <c r="O21" s="96"/>
      <c r="P21" s="96"/>
      <c r="Q21" s="96"/>
      <c r="R21" s="96"/>
    </row>
    <row r="22" spans="1:18" ht="13.8" x14ac:dyDescent="0.3">
      <c r="A22" s="704"/>
      <c r="B22" s="96">
        <v>18</v>
      </c>
      <c r="C22" s="41"/>
      <c r="D22" s="41"/>
      <c r="E22" s="278"/>
      <c r="F22" s="278"/>
      <c r="G22" s="278"/>
      <c r="H22" s="279"/>
      <c r="I22" s="41"/>
      <c r="J22" s="41"/>
      <c r="K22" s="595"/>
      <c r="L22" s="41"/>
      <c r="M22" s="596"/>
      <c r="N22" s="96"/>
      <c r="O22" s="96"/>
      <c r="P22" s="96"/>
      <c r="Q22" s="96"/>
      <c r="R22" s="96"/>
    </row>
    <row r="23" spans="1:18" ht="13.8" x14ac:dyDescent="0.3">
      <c r="A23" s="704"/>
      <c r="B23" s="96">
        <v>19</v>
      </c>
      <c r="C23" s="41"/>
      <c r="D23" s="41"/>
      <c r="E23" s="278"/>
      <c r="F23" s="278"/>
      <c r="G23" s="278"/>
      <c r="H23" s="279"/>
      <c r="I23" s="41"/>
      <c r="J23" s="41"/>
      <c r="K23" s="595"/>
      <c r="L23" s="41"/>
      <c r="M23" s="596"/>
      <c r="N23" s="96"/>
      <c r="O23" s="96"/>
      <c r="P23" s="96"/>
      <c r="Q23" s="96"/>
      <c r="R23" s="96"/>
    </row>
    <row r="24" spans="1:18" ht="13.8" x14ac:dyDescent="0.3">
      <c r="A24" s="704"/>
      <c r="B24" s="96">
        <v>20</v>
      </c>
      <c r="C24" s="41"/>
      <c r="D24" s="41"/>
      <c r="E24" s="278"/>
      <c r="F24" s="278"/>
      <c r="G24" s="278"/>
      <c r="H24" s="279"/>
      <c r="I24" s="41"/>
      <c r="J24" s="41"/>
      <c r="K24" s="595"/>
      <c r="L24" s="41"/>
      <c r="M24" s="596"/>
      <c r="N24" s="96"/>
      <c r="O24" s="96"/>
      <c r="P24" s="96"/>
      <c r="Q24" s="96"/>
      <c r="R24" s="96"/>
    </row>
    <row r="25" spans="1:18" ht="13.8" x14ac:dyDescent="0.3">
      <c r="A25" s="704"/>
      <c r="B25" s="96">
        <v>21</v>
      </c>
      <c r="C25" s="41"/>
      <c r="D25" s="41"/>
      <c r="E25" s="278"/>
      <c r="F25" s="278"/>
      <c r="G25" s="278"/>
      <c r="H25" s="279"/>
      <c r="I25" s="41"/>
      <c r="J25" s="41"/>
      <c r="K25" s="595"/>
      <c r="L25" s="41"/>
      <c r="M25" s="596"/>
      <c r="N25" s="96"/>
      <c r="O25" s="96"/>
      <c r="P25" s="96"/>
      <c r="Q25" s="96"/>
      <c r="R25" s="96"/>
    </row>
    <row r="26" spans="1:18" ht="13.8" x14ac:dyDescent="0.3">
      <c r="A26" s="704"/>
      <c r="B26" s="96">
        <v>22</v>
      </c>
      <c r="C26" s="41"/>
      <c r="D26" s="41"/>
      <c r="E26" s="278"/>
      <c r="F26" s="278"/>
      <c r="G26" s="278"/>
      <c r="H26" s="279"/>
      <c r="I26" s="41"/>
      <c r="J26" s="41"/>
      <c r="K26" s="595"/>
      <c r="L26" s="41"/>
      <c r="M26" s="596"/>
      <c r="N26" s="96"/>
      <c r="O26" s="96"/>
      <c r="P26" s="96"/>
      <c r="Q26" s="96"/>
      <c r="R26" s="96"/>
    </row>
    <row r="27" spans="1:18" ht="13.8" x14ac:dyDescent="0.3">
      <c r="A27" s="704"/>
      <c r="B27" s="96">
        <v>23</v>
      </c>
      <c r="C27" s="41"/>
      <c r="D27" s="41"/>
      <c r="E27" s="278"/>
      <c r="F27" s="278"/>
      <c r="G27" s="278"/>
      <c r="H27" s="279"/>
      <c r="I27" s="41"/>
      <c r="J27" s="41"/>
      <c r="K27" s="595"/>
      <c r="L27" s="41"/>
      <c r="M27" s="596"/>
      <c r="N27" s="96"/>
      <c r="O27" s="96"/>
      <c r="P27" s="96"/>
      <c r="Q27" s="96"/>
      <c r="R27" s="96"/>
    </row>
    <row r="28" spans="1:18" ht="13.8" x14ac:dyDescent="0.3">
      <c r="A28" s="704"/>
      <c r="B28" s="96">
        <v>24</v>
      </c>
      <c r="C28" s="41"/>
      <c r="D28" s="41"/>
      <c r="E28" s="278"/>
      <c r="F28" s="278"/>
      <c r="G28" s="278"/>
      <c r="H28" s="279"/>
      <c r="I28" s="41"/>
      <c r="J28" s="41"/>
      <c r="K28" s="595"/>
      <c r="L28" s="41"/>
      <c r="M28" s="596"/>
      <c r="N28" s="96"/>
      <c r="O28" s="96"/>
      <c r="P28" s="96"/>
      <c r="Q28" s="96"/>
      <c r="R28" s="96"/>
    </row>
    <row r="29" spans="1:18" ht="13.8" x14ac:dyDescent="0.3">
      <c r="A29" s="704"/>
      <c r="B29" s="96">
        <v>25</v>
      </c>
      <c r="C29" s="41"/>
      <c r="D29" s="41"/>
      <c r="E29" s="278"/>
      <c r="F29" s="278"/>
      <c r="G29" s="278"/>
      <c r="H29" s="279"/>
      <c r="I29" s="41"/>
      <c r="J29" s="41"/>
      <c r="K29" s="595"/>
      <c r="L29" s="41"/>
      <c r="M29" s="596"/>
      <c r="N29" s="96"/>
      <c r="O29" s="96"/>
      <c r="P29" s="96"/>
      <c r="Q29" s="96"/>
      <c r="R29" s="96"/>
    </row>
    <row r="30" spans="1:18" ht="13.8" x14ac:dyDescent="0.3">
      <c r="A30" s="704"/>
      <c r="B30" s="96">
        <v>26</v>
      </c>
      <c r="C30" s="41"/>
      <c r="D30" s="41"/>
      <c r="E30" s="278"/>
      <c r="F30" s="278"/>
      <c r="G30" s="278"/>
      <c r="H30" s="279"/>
      <c r="I30" s="41"/>
      <c r="J30" s="41"/>
      <c r="K30" s="595"/>
      <c r="L30" s="41"/>
      <c r="M30" s="596"/>
      <c r="N30" s="96"/>
      <c r="O30" s="96"/>
      <c r="P30" s="96"/>
      <c r="Q30" s="96"/>
      <c r="R30" s="96"/>
    </row>
    <row r="31" spans="1:18" ht="13.8" x14ac:dyDescent="0.3">
      <c r="A31" s="704"/>
      <c r="B31" s="96">
        <v>27</v>
      </c>
      <c r="C31" s="41"/>
      <c r="D31" s="41"/>
      <c r="E31" s="278"/>
      <c r="F31" s="278"/>
      <c r="G31" s="278"/>
      <c r="H31" s="279"/>
      <c r="I31" s="41"/>
      <c r="J31" s="41"/>
      <c r="K31" s="595"/>
      <c r="L31" s="41"/>
      <c r="M31" s="596"/>
      <c r="N31" s="96"/>
      <c r="O31" s="96"/>
      <c r="P31" s="96"/>
      <c r="Q31" s="96"/>
      <c r="R31" s="96"/>
    </row>
    <row r="32" spans="1:18" ht="13.8" x14ac:dyDescent="0.3">
      <c r="A32" s="704"/>
      <c r="B32" s="96">
        <v>28</v>
      </c>
      <c r="C32" s="41"/>
      <c r="D32" s="41"/>
      <c r="E32" s="278"/>
      <c r="F32" s="278"/>
      <c r="G32" s="278"/>
      <c r="H32" s="279"/>
      <c r="I32" s="41"/>
      <c r="J32" s="41"/>
      <c r="K32" s="595"/>
      <c r="L32" s="41"/>
      <c r="M32" s="596"/>
      <c r="N32" s="96"/>
      <c r="O32" s="96"/>
      <c r="P32" s="96"/>
      <c r="Q32" s="96"/>
      <c r="R32" s="96"/>
    </row>
    <row r="33" spans="1:18" ht="13.8" x14ac:dyDescent="0.3">
      <c r="A33" s="704"/>
      <c r="B33" s="96">
        <v>29</v>
      </c>
      <c r="C33" s="41"/>
      <c r="D33" s="41"/>
      <c r="E33" s="278"/>
      <c r="F33" s="278"/>
      <c r="G33" s="278"/>
      <c r="H33" s="279"/>
      <c r="I33" s="41"/>
      <c r="J33" s="41"/>
      <c r="K33" s="595"/>
      <c r="L33" s="41"/>
      <c r="M33" s="596"/>
      <c r="N33" s="96"/>
      <c r="O33" s="96"/>
      <c r="P33" s="96"/>
      <c r="Q33" s="96"/>
      <c r="R33" s="96"/>
    </row>
    <row r="34" spans="1:18" ht="13.8" x14ac:dyDescent="0.3">
      <c r="A34" s="704"/>
      <c r="B34" s="96">
        <v>30</v>
      </c>
      <c r="C34" s="41"/>
      <c r="D34" s="41"/>
      <c r="E34" s="278"/>
      <c r="F34" s="278"/>
      <c r="G34" s="278"/>
      <c r="H34" s="279"/>
      <c r="I34" s="41"/>
      <c r="J34" s="41"/>
      <c r="K34" s="595"/>
      <c r="L34" s="41"/>
      <c r="M34" s="596"/>
      <c r="N34" s="96"/>
      <c r="O34" s="96"/>
      <c r="P34" s="96"/>
      <c r="Q34" s="96"/>
      <c r="R34" s="96"/>
    </row>
    <row r="35" spans="1:18" ht="15" customHeight="1" x14ac:dyDescent="0.3">
      <c r="A35" s="704"/>
      <c r="B35" s="96">
        <v>31</v>
      </c>
      <c r="C35" s="41"/>
      <c r="D35" s="41"/>
      <c r="E35" s="280"/>
      <c r="F35" s="280"/>
      <c r="G35" s="280"/>
      <c r="H35" s="42"/>
      <c r="I35" s="41"/>
      <c r="J35" s="41"/>
      <c r="K35" s="41"/>
      <c r="L35" s="41"/>
      <c r="M35" s="596"/>
      <c r="N35" s="96"/>
      <c r="O35" s="96"/>
      <c r="P35" s="96"/>
      <c r="Q35" s="96"/>
      <c r="R35" s="96"/>
    </row>
    <row r="36" spans="1:18" ht="15" customHeight="1" x14ac:dyDescent="0.3">
      <c r="A36" s="704"/>
      <c r="B36" s="96">
        <v>32</v>
      </c>
      <c r="C36" s="41"/>
      <c r="D36" s="41"/>
      <c r="E36" s="280"/>
      <c r="F36" s="280"/>
      <c r="G36" s="280"/>
      <c r="H36" s="42"/>
      <c r="I36" s="41"/>
      <c r="J36" s="41"/>
      <c r="K36" s="41"/>
      <c r="L36" s="41"/>
      <c r="M36" s="596"/>
      <c r="N36" s="96"/>
      <c r="O36" s="96"/>
      <c r="P36" s="96"/>
      <c r="Q36" s="96"/>
      <c r="R36" s="96"/>
    </row>
    <row r="37" spans="1:18" ht="15" customHeight="1" x14ac:dyDescent="0.3">
      <c r="A37" s="704"/>
      <c r="B37" s="96">
        <v>33</v>
      </c>
      <c r="C37" s="41"/>
      <c r="D37" s="41"/>
      <c r="E37" s="280"/>
      <c r="F37" s="280"/>
      <c r="G37" s="280"/>
      <c r="H37" s="42"/>
      <c r="I37" s="41"/>
      <c r="J37" s="41"/>
      <c r="K37" s="41"/>
      <c r="L37" s="41"/>
      <c r="M37" s="596"/>
      <c r="N37" s="96"/>
      <c r="O37" s="96"/>
      <c r="P37" s="96"/>
      <c r="Q37" s="96"/>
      <c r="R37" s="96"/>
    </row>
    <row r="38" spans="1:18" ht="15" customHeight="1" x14ac:dyDescent="0.3">
      <c r="A38" s="704"/>
      <c r="B38" s="96">
        <v>34</v>
      </c>
      <c r="C38" s="41"/>
      <c r="D38" s="41"/>
      <c r="E38" s="280"/>
      <c r="F38" s="280"/>
      <c r="G38" s="280"/>
      <c r="H38" s="42"/>
      <c r="I38" s="41"/>
      <c r="J38" s="41"/>
      <c r="K38" s="41"/>
      <c r="L38" s="41"/>
      <c r="M38" s="596"/>
      <c r="N38" s="96"/>
      <c r="O38" s="96"/>
      <c r="P38" s="96"/>
      <c r="Q38" s="96"/>
      <c r="R38" s="96"/>
    </row>
    <row r="39" spans="1:18" ht="15" customHeight="1" x14ac:dyDescent="0.3">
      <c r="A39" s="704"/>
      <c r="B39" s="96">
        <v>35</v>
      </c>
      <c r="C39" s="41"/>
      <c r="D39" s="41"/>
      <c r="E39" s="280"/>
      <c r="F39" s="280"/>
      <c r="G39" s="280"/>
      <c r="H39" s="42"/>
      <c r="I39" s="41"/>
      <c r="J39" s="41"/>
      <c r="K39" s="41"/>
      <c r="L39" s="41"/>
      <c r="M39" s="596"/>
      <c r="N39" s="96"/>
      <c r="O39" s="96"/>
      <c r="P39" s="96"/>
      <c r="Q39" s="96"/>
      <c r="R39" s="96"/>
    </row>
    <row r="40" spans="1:18" ht="15" customHeight="1" x14ac:dyDescent="0.3">
      <c r="A40" s="704"/>
      <c r="B40" s="96">
        <v>36</v>
      </c>
      <c r="C40" s="41"/>
      <c r="D40" s="41"/>
      <c r="E40" s="280"/>
      <c r="F40" s="280"/>
      <c r="G40" s="280"/>
      <c r="H40" s="42"/>
      <c r="I40" s="41"/>
      <c r="J40" s="41"/>
      <c r="K40" s="41"/>
      <c r="L40" s="41"/>
      <c r="M40" s="596"/>
      <c r="N40" s="96"/>
      <c r="O40" s="96"/>
      <c r="P40" s="96"/>
      <c r="Q40" s="96"/>
      <c r="R40" s="96"/>
    </row>
    <row r="41" spans="1:18" ht="15" customHeight="1" x14ac:dyDescent="0.3">
      <c r="A41" s="704"/>
      <c r="B41" s="96">
        <v>37</v>
      </c>
      <c r="C41" s="41"/>
      <c r="D41" s="41"/>
      <c r="E41" s="280"/>
      <c r="F41" s="280"/>
      <c r="G41" s="280"/>
      <c r="H41" s="42"/>
      <c r="I41" s="41"/>
      <c r="J41" s="41"/>
      <c r="K41" s="41"/>
      <c r="L41" s="41"/>
      <c r="M41" s="596"/>
      <c r="N41" s="96"/>
      <c r="O41" s="96"/>
      <c r="P41" s="96"/>
      <c r="Q41" s="96"/>
      <c r="R41" s="96"/>
    </row>
    <row r="42" spans="1:18" ht="15" customHeight="1" x14ac:dyDescent="0.3">
      <c r="A42" s="704"/>
      <c r="B42" s="96">
        <v>38</v>
      </c>
      <c r="C42" s="41"/>
      <c r="D42" s="41"/>
      <c r="E42" s="280"/>
      <c r="F42" s="280"/>
      <c r="G42" s="280"/>
      <c r="H42" s="42"/>
      <c r="I42" s="41"/>
      <c r="J42" s="41"/>
      <c r="K42" s="41"/>
      <c r="L42" s="41"/>
      <c r="M42" s="596"/>
      <c r="N42" s="96"/>
      <c r="O42" s="96"/>
      <c r="P42" s="96"/>
      <c r="Q42" s="96"/>
      <c r="R42" s="96"/>
    </row>
    <row r="43" spans="1:18" ht="15" customHeight="1" x14ac:dyDescent="0.3">
      <c r="A43" s="704"/>
      <c r="B43" s="96">
        <v>39</v>
      </c>
      <c r="C43" s="41"/>
      <c r="D43" s="41"/>
      <c r="E43" s="280"/>
      <c r="F43" s="280"/>
      <c r="G43" s="280"/>
      <c r="H43" s="42"/>
      <c r="I43" s="41"/>
      <c r="J43" s="41"/>
      <c r="K43" s="41"/>
      <c r="L43" s="41"/>
      <c r="M43" s="596"/>
      <c r="N43" s="96"/>
      <c r="O43" s="96"/>
      <c r="P43" s="96"/>
      <c r="Q43" s="96"/>
      <c r="R43" s="96"/>
    </row>
    <row r="44" spans="1:18" ht="15" customHeight="1" x14ac:dyDescent="0.3">
      <c r="A44" s="704"/>
      <c r="B44" s="96">
        <v>40</v>
      </c>
      <c r="C44" s="41"/>
      <c r="D44" s="41"/>
      <c r="E44" s="280"/>
      <c r="F44" s="280"/>
      <c r="G44" s="280"/>
      <c r="H44" s="42"/>
      <c r="I44" s="41"/>
      <c r="J44" s="41"/>
      <c r="K44" s="41"/>
      <c r="L44" s="41"/>
      <c r="M44" s="596"/>
      <c r="N44" s="96"/>
      <c r="O44" s="96"/>
      <c r="P44" s="96"/>
      <c r="Q44" s="96"/>
      <c r="R44" s="96"/>
    </row>
    <row r="45" spans="1:18" ht="15" customHeight="1" x14ac:dyDescent="0.3">
      <c r="A45" s="704"/>
      <c r="B45" s="96">
        <v>41</v>
      </c>
      <c r="C45" s="41"/>
      <c r="D45" s="41"/>
      <c r="E45" s="280"/>
      <c r="F45" s="280"/>
      <c r="G45" s="280"/>
      <c r="H45" s="42"/>
      <c r="I45" s="41"/>
      <c r="J45" s="41"/>
      <c r="K45" s="41"/>
      <c r="L45" s="41"/>
      <c r="M45" s="596"/>
      <c r="N45" s="96"/>
      <c r="O45" s="96"/>
      <c r="P45" s="96"/>
      <c r="Q45" s="96"/>
      <c r="R45" s="96"/>
    </row>
    <row r="46" spans="1:18" ht="15" customHeight="1" x14ac:dyDescent="0.3">
      <c r="A46" s="704"/>
      <c r="B46" s="96">
        <v>42</v>
      </c>
      <c r="C46" s="41"/>
      <c r="D46" s="41"/>
      <c r="E46" s="280"/>
      <c r="F46" s="280"/>
      <c r="G46" s="280"/>
      <c r="H46" s="42"/>
      <c r="I46" s="41"/>
      <c r="J46" s="41"/>
      <c r="K46" s="41"/>
      <c r="L46" s="41"/>
      <c r="M46" s="596"/>
      <c r="N46" s="96"/>
      <c r="O46" s="96"/>
      <c r="P46" s="96"/>
      <c r="Q46" s="96"/>
      <c r="R46" s="96"/>
    </row>
    <row r="47" spans="1:18" ht="15" customHeight="1" x14ac:dyDescent="0.3">
      <c r="A47" s="704"/>
      <c r="B47" s="96">
        <v>43</v>
      </c>
      <c r="C47" s="41"/>
      <c r="D47" s="41"/>
      <c r="E47" s="280"/>
      <c r="F47" s="280"/>
      <c r="G47" s="280"/>
      <c r="H47" s="42"/>
      <c r="I47" s="41"/>
      <c r="J47" s="41"/>
      <c r="K47" s="41"/>
      <c r="L47" s="41"/>
      <c r="M47" s="596"/>
      <c r="N47" s="96"/>
      <c r="O47" s="96"/>
      <c r="P47" s="96"/>
      <c r="Q47" s="96"/>
      <c r="R47" s="96"/>
    </row>
    <row r="48" spans="1:18" ht="15" customHeight="1" x14ac:dyDescent="0.3">
      <c r="A48" s="704"/>
      <c r="B48" s="96">
        <v>44</v>
      </c>
      <c r="C48" s="41"/>
      <c r="D48" s="41"/>
      <c r="E48" s="280"/>
      <c r="F48" s="280"/>
      <c r="G48" s="280"/>
      <c r="H48" s="42"/>
      <c r="I48" s="41"/>
      <c r="J48" s="41"/>
      <c r="K48" s="41"/>
      <c r="L48" s="41"/>
      <c r="M48" s="596"/>
      <c r="N48" s="96"/>
      <c r="O48" s="96"/>
      <c r="P48" s="96"/>
      <c r="Q48" s="96"/>
      <c r="R48" s="96"/>
    </row>
    <row r="49" spans="1:18" ht="15" customHeight="1" x14ac:dyDescent="0.3">
      <c r="A49" s="704"/>
      <c r="B49" s="96">
        <v>45</v>
      </c>
      <c r="C49" s="41"/>
      <c r="D49" s="41"/>
      <c r="E49" s="280"/>
      <c r="F49" s="280"/>
      <c r="G49" s="280"/>
      <c r="H49" s="42"/>
      <c r="I49" s="41"/>
      <c r="J49" s="41"/>
      <c r="K49" s="41"/>
      <c r="L49" s="41"/>
      <c r="M49" s="41"/>
      <c r="N49" s="96"/>
      <c r="O49" s="96"/>
      <c r="P49" s="96"/>
      <c r="Q49" s="96"/>
      <c r="R49" s="96"/>
    </row>
    <row r="50" spans="1:18" ht="14.25" customHeight="1" x14ac:dyDescent="0.25">
      <c r="A50" s="704"/>
      <c r="B50" s="704"/>
      <c r="C50" s="704"/>
      <c r="D50" s="704"/>
      <c r="E50" s="704"/>
      <c r="F50" s="704"/>
      <c r="G50" s="704"/>
      <c r="H50" s="704"/>
      <c r="I50" s="704"/>
      <c r="J50" s="704"/>
      <c r="K50" s="704"/>
      <c r="L50" s="704"/>
      <c r="M50" s="704"/>
      <c r="N50" s="704"/>
      <c r="O50" s="704"/>
      <c r="P50" s="704"/>
      <c r="Q50" s="704"/>
      <c r="R50" s="704"/>
    </row>
  </sheetData>
  <sheetProtection algorithmName="SHA-512" hashValue="Eq5PNiIhB++JZy+2B3EpsmSgCZVakxGfImxk+ZIEDnn37IDFmN1T2GCmKEvg3tcuXmiNmxHanEn1+p5ybnhFrA==" saltValue="BeAOlgxUDtU9+kD20K9iZw==" spinCount="100000" sheet="1" objects="1" scenarios="1" selectLockedCells="1"/>
  <mergeCells count="6">
    <mergeCell ref="B1:XFD1"/>
    <mergeCell ref="A2:A49"/>
    <mergeCell ref="B2:R2"/>
    <mergeCell ref="S2:XFD1048576"/>
    <mergeCell ref="B3:R3"/>
    <mergeCell ref="A50:R50"/>
  </mergeCells>
  <dataValidations count="1">
    <dataValidation type="list" allowBlank="1" showInputMessage="1" showErrorMessage="1" sqref="I5:I49">
      <formula1>"BOY, GIRL"</formula1>
    </dataValidation>
  </dataValidations>
  <hyperlinks>
    <hyperlink ref="A1" location="DASHBOARD!A1" display="D"/>
  </hyperlinks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S54"/>
  <sheetViews>
    <sheetView zoomScale="98" zoomScaleNormal="98" workbookViewId="0">
      <selection activeCell="O7" sqref="O7"/>
    </sheetView>
  </sheetViews>
  <sheetFormatPr defaultColWidth="0" defaultRowHeight="14.4" zeroHeight="1" x14ac:dyDescent="0.3"/>
  <cols>
    <col min="1" max="1" width="3.109375" style="231" bestFit="1" customWidth="1"/>
    <col min="2" max="2" width="4.88671875" style="24" bestFit="1" customWidth="1"/>
    <col min="3" max="3" width="45.5546875" style="24" bestFit="1" customWidth="1"/>
    <col min="4" max="4" width="7.109375" style="24" bestFit="1" customWidth="1"/>
    <col min="5" max="5" width="7.5546875" style="24" bestFit="1" customWidth="1"/>
    <col min="6" max="6" width="5.5546875" style="24" bestFit="1" customWidth="1"/>
    <col min="7" max="7" width="6.5546875" style="24" bestFit="1" customWidth="1"/>
    <col min="8" max="8" width="10.6640625" style="24" bestFit="1" customWidth="1"/>
    <col min="9" max="9" width="3.33203125" style="24" bestFit="1" customWidth="1"/>
    <col min="10" max="10" width="8.33203125" style="24" bestFit="1" customWidth="1"/>
    <col min="11" max="11" width="8.5546875" style="24" bestFit="1" customWidth="1"/>
    <col min="12" max="12" width="1.44140625" style="235" customWidth="1"/>
    <col min="13" max="13" width="7.33203125" style="43" customWidth="1"/>
    <col min="14" max="14" width="7.6640625" style="43" customWidth="1"/>
    <col min="15" max="15" width="8.88671875" style="43" customWidth="1"/>
    <col min="16" max="16" width="7.6640625" style="43" customWidth="1"/>
    <col min="17" max="17" width="2.33203125" style="7" customWidth="1"/>
    <col min="18" max="19" width="0" style="8" hidden="1" customWidth="1"/>
    <col min="20" max="16384" width="9.109375" style="8" hidden="1"/>
  </cols>
  <sheetData>
    <row r="1" spans="1:17" ht="11.25" customHeight="1" thickBot="1" x14ac:dyDescent="0.35">
      <c r="A1" s="226" t="s">
        <v>24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</row>
    <row r="2" spans="1:17" ht="36.75" customHeight="1" x14ac:dyDescent="0.3">
      <c r="A2" s="228"/>
      <c r="B2" s="717" t="str">
        <f>"SWAMI VIVEKANAND GOVT. MODEL SCHOOL,"&amp;DASHBOARD!C3</f>
        <v>SWAMI VIVEKANAND GOVT. MODEL SCHOOL,XXXX,  BLOCK-XXXX (RAJSAMAND)</v>
      </c>
      <c r="C2" s="718"/>
      <c r="D2" s="718"/>
      <c r="E2" s="718"/>
      <c r="F2" s="718"/>
      <c r="G2" s="718"/>
      <c r="H2" s="718"/>
      <c r="I2" s="718"/>
      <c r="J2" s="718"/>
      <c r="K2" s="719"/>
      <c r="M2" s="330"/>
      <c r="N2" s="331"/>
      <c r="O2" s="331"/>
      <c r="P2" s="332"/>
    </row>
    <row r="3" spans="1:17" ht="23.25" customHeight="1" thickBot="1" x14ac:dyDescent="0.35">
      <c r="A3" s="228"/>
      <c r="B3" s="720" t="str">
        <f>IF(DASHBOARD!B4="","",DASHBOARD!B4)</f>
        <v>SESSION  -  2025-26</v>
      </c>
      <c r="C3" s="721"/>
      <c r="D3" s="721"/>
      <c r="E3" s="721"/>
      <c r="F3" s="721"/>
      <c r="G3" s="721"/>
      <c r="H3" s="721"/>
      <c r="I3" s="721"/>
      <c r="J3" s="721"/>
      <c r="K3" s="722"/>
      <c r="M3" s="330"/>
      <c r="N3" s="331"/>
      <c r="O3" s="331"/>
      <c r="P3" s="332"/>
    </row>
    <row r="4" spans="1:17" s="18" customFormat="1" ht="27.75" customHeight="1" thickBot="1" x14ac:dyDescent="0.5">
      <c r="A4" s="229"/>
      <c r="B4" s="232"/>
      <c r="C4" s="233" t="s">
        <v>87</v>
      </c>
      <c r="D4" s="234" t="str">
        <f>DASHBOARD!B8&amp;DASHBOARD!C8</f>
        <v>9A</v>
      </c>
      <c r="E4" s="234"/>
      <c r="F4" s="234"/>
      <c r="G4" s="234"/>
      <c r="H4" s="715" t="s">
        <v>85</v>
      </c>
      <c r="I4" s="715"/>
      <c r="J4" s="715"/>
      <c r="K4" s="716"/>
      <c r="L4" s="235"/>
      <c r="M4" s="236"/>
      <c r="N4" s="47"/>
      <c r="O4" s="47"/>
      <c r="P4" s="237"/>
      <c r="Q4" s="16"/>
    </row>
    <row r="5" spans="1:17" ht="75" x14ac:dyDescent="0.3">
      <c r="A5" s="228"/>
      <c r="B5" s="304" t="s">
        <v>97</v>
      </c>
      <c r="C5" s="305" t="s">
        <v>96</v>
      </c>
      <c r="D5" s="305" t="s">
        <v>5</v>
      </c>
      <c r="E5" s="305" t="s">
        <v>93</v>
      </c>
      <c r="F5" s="305" t="s">
        <v>94</v>
      </c>
      <c r="G5" s="305" t="s">
        <v>95</v>
      </c>
      <c r="H5" s="306" t="s">
        <v>140</v>
      </c>
      <c r="I5" s="306" t="s">
        <v>138</v>
      </c>
      <c r="J5" s="306" t="s">
        <v>141</v>
      </c>
      <c r="K5" s="307" t="s">
        <v>22</v>
      </c>
      <c r="L5" s="308"/>
      <c r="M5" s="309" t="s">
        <v>57</v>
      </c>
      <c r="N5" s="310" t="s">
        <v>146</v>
      </c>
      <c r="O5" s="310" t="s">
        <v>152</v>
      </c>
      <c r="P5" s="311" t="s">
        <v>57</v>
      </c>
    </row>
    <row r="6" spans="1:17" ht="20.399999999999999" x14ac:dyDescent="0.3">
      <c r="A6" s="228"/>
      <c r="B6" s="713" t="s">
        <v>23</v>
      </c>
      <c r="C6" s="714"/>
      <c r="D6" s="714"/>
      <c r="E6" s="50">
        <v>10</v>
      </c>
      <c r="F6" s="50">
        <v>80</v>
      </c>
      <c r="G6" s="50">
        <v>10</v>
      </c>
      <c r="H6" s="50">
        <v>5</v>
      </c>
      <c r="I6" s="50">
        <v>5</v>
      </c>
      <c r="J6" s="50">
        <v>5</v>
      </c>
      <c r="K6" s="222">
        <v>80</v>
      </c>
      <c r="M6" s="238">
        <f>'GREEN SHEET'!AA6</f>
        <v>100</v>
      </c>
      <c r="N6" s="51" t="str">
        <f>'GREEN SHEET'!AB6</f>
        <v>A1</v>
      </c>
      <c r="O6" s="50">
        <v>80</v>
      </c>
      <c r="P6" s="239">
        <f>'GREEN SHEET'!AE6</f>
        <v>100</v>
      </c>
    </row>
    <row r="7" spans="1:17" ht="20.399999999999999" x14ac:dyDescent="0.3">
      <c r="A7" s="230"/>
      <c r="B7" s="52">
        <v>1</v>
      </c>
      <c r="C7" s="312" t="str">
        <f>IF(DATA!E5="","",DATA!E5)</f>
        <v>ARTI PRAJAPAT</v>
      </c>
      <c r="D7" s="53">
        <f>IF(DATA!C5="","",DATA!C5)</f>
        <v>901</v>
      </c>
      <c r="E7" s="54">
        <v>0</v>
      </c>
      <c r="F7" s="54">
        <v>22</v>
      </c>
      <c r="G7" s="54">
        <v>7</v>
      </c>
      <c r="H7" s="54">
        <v>5</v>
      </c>
      <c r="I7" s="54">
        <v>5</v>
      </c>
      <c r="J7" s="54">
        <v>5</v>
      </c>
      <c r="K7" s="223">
        <v>50</v>
      </c>
      <c r="M7" s="238">
        <f>'GREEN SHEET'!AA7</f>
        <v>68</v>
      </c>
      <c r="N7" s="51" t="str">
        <f>'GREEN SHEET'!AB7</f>
        <v>B2</v>
      </c>
      <c r="O7" s="50"/>
      <c r="P7" s="239" t="str">
        <f>'GREEN SHEET'!AE7</f>
        <v/>
      </c>
    </row>
    <row r="8" spans="1:17" ht="20.399999999999999" x14ac:dyDescent="0.3">
      <c r="A8" s="230"/>
      <c r="B8" s="52">
        <v>2</v>
      </c>
      <c r="C8" s="312" t="str">
        <f>IF(DATA!E6="","",DATA!E6)</f>
        <v>ARVIND SINGH BALLA</v>
      </c>
      <c r="D8" s="53">
        <f>IF(DATA!C6="","",DATA!C6)</f>
        <v>902</v>
      </c>
      <c r="E8" s="54">
        <v>5</v>
      </c>
      <c r="F8" s="54">
        <v>25</v>
      </c>
      <c r="G8" s="54">
        <v>4</v>
      </c>
      <c r="H8" s="54">
        <v>5</v>
      </c>
      <c r="I8" s="54">
        <v>5</v>
      </c>
      <c r="J8" s="54">
        <v>5</v>
      </c>
      <c r="K8" s="223">
        <v>45</v>
      </c>
      <c r="M8" s="238">
        <f>'GREEN SHEET'!AA8</f>
        <v>63</v>
      </c>
      <c r="N8" s="51" t="str">
        <f>'GREEN SHEET'!AB8</f>
        <v>B2</v>
      </c>
      <c r="O8" s="50"/>
      <c r="P8" s="239" t="str">
        <f>'GREEN SHEET'!AE8</f>
        <v/>
      </c>
    </row>
    <row r="9" spans="1:17" ht="20.399999999999999" x14ac:dyDescent="0.3">
      <c r="A9" s="230"/>
      <c r="B9" s="52">
        <v>3</v>
      </c>
      <c r="C9" s="312" t="str">
        <f>IF(DATA!E7="","",DATA!E7)</f>
        <v>BHAVESH SINGH RAO</v>
      </c>
      <c r="D9" s="53" t="str">
        <f>IF(DATA!C7="","",DATA!C7)</f>
        <v>TC</v>
      </c>
      <c r="E9" s="54">
        <v>7</v>
      </c>
      <c r="F9" s="54">
        <v>31</v>
      </c>
      <c r="G9" s="54">
        <v>5</v>
      </c>
      <c r="H9" s="54">
        <v>5</v>
      </c>
      <c r="I9" s="54">
        <v>5</v>
      </c>
      <c r="J9" s="54">
        <v>5</v>
      </c>
      <c r="K9" s="223">
        <v>52</v>
      </c>
      <c r="M9" s="238" t="str">
        <f>'GREEN SHEET'!AA9</f>
        <v/>
      </c>
      <c r="N9" s="51" t="str">
        <f>'GREEN SHEET'!AB9</f>
        <v/>
      </c>
      <c r="O9" s="50"/>
      <c r="P9" s="239" t="str">
        <f>'GREEN SHEET'!AE9</f>
        <v/>
      </c>
    </row>
    <row r="10" spans="1:17" ht="20.399999999999999" x14ac:dyDescent="0.3">
      <c r="A10" s="230"/>
      <c r="B10" s="52">
        <v>4</v>
      </c>
      <c r="C10" s="312" t="str">
        <f>IF(DATA!E8="","",DATA!E8)</f>
        <v/>
      </c>
      <c r="D10" s="53" t="str">
        <f>IF(DATA!C8="","",DATA!C8)</f>
        <v/>
      </c>
      <c r="E10" s="54"/>
      <c r="F10" s="54"/>
      <c r="G10" s="54"/>
      <c r="H10" s="54"/>
      <c r="I10" s="54"/>
      <c r="J10" s="54"/>
      <c r="K10" s="223"/>
      <c r="M10" s="238" t="str">
        <f>'GREEN SHEET'!AA10</f>
        <v/>
      </c>
      <c r="N10" s="51" t="str">
        <f>'GREEN SHEET'!AB10</f>
        <v/>
      </c>
      <c r="O10" s="50"/>
      <c r="P10" s="239" t="str">
        <f>'GREEN SHEET'!AE10</f>
        <v/>
      </c>
    </row>
    <row r="11" spans="1:17" ht="20.399999999999999" x14ac:dyDescent="0.3">
      <c r="A11" s="230"/>
      <c r="B11" s="52">
        <v>5</v>
      </c>
      <c r="C11" s="312" t="str">
        <f>IF(DATA!E9="","",DATA!E9)</f>
        <v/>
      </c>
      <c r="D11" s="53" t="str">
        <f>IF(DATA!C9="","",DATA!C9)</f>
        <v/>
      </c>
      <c r="E11" s="54"/>
      <c r="F11" s="54"/>
      <c r="G11" s="54"/>
      <c r="H11" s="54"/>
      <c r="I11" s="54"/>
      <c r="J11" s="54"/>
      <c r="K11" s="223"/>
      <c r="M11" s="238" t="str">
        <f>'GREEN SHEET'!AA11</f>
        <v/>
      </c>
      <c r="N11" s="51" t="str">
        <f>'GREEN SHEET'!AB11</f>
        <v/>
      </c>
      <c r="O11" s="50"/>
      <c r="P11" s="239" t="str">
        <f>'GREEN SHEET'!AE11</f>
        <v/>
      </c>
    </row>
    <row r="12" spans="1:17" ht="20.399999999999999" x14ac:dyDescent="0.3">
      <c r="A12" s="230"/>
      <c r="B12" s="52">
        <v>6</v>
      </c>
      <c r="C12" s="312" t="str">
        <f>IF(DATA!E10="","",DATA!E10)</f>
        <v/>
      </c>
      <c r="D12" s="53" t="str">
        <f>IF(DATA!C10="","",DATA!C10)</f>
        <v/>
      </c>
      <c r="E12" s="54"/>
      <c r="F12" s="54"/>
      <c r="G12" s="54"/>
      <c r="H12" s="54"/>
      <c r="I12" s="54"/>
      <c r="J12" s="54"/>
      <c r="K12" s="223"/>
      <c r="M12" s="238" t="str">
        <f>'GREEN SHEET'!AA12</f>
        <v/>
      </c>
      <c r="N12" s="51" t="str">
        <f>'GREEN SHEET'!AB12</f>
        <v/>
      </c>
      <c r="O12" s="50"/>
      <c r="P12" s="239" t="str">
        <f>'GREEN SHEET'!AE12</f>
        <v/>
      </c>
    </row>
    <row r="13" spans="1:17" ht="20.399999999999999" x14ac:dyDescent="0.3">
      <c r="A13" s="230"/>
      <c r="B13" s="52">
        <v>7</v>
      </c>
      <c r="C13" s="312" t="str">
        <f>IF(DATA!E11="","",DATA!E11)</f>
        <v/>
      </c>
      <c r="D13" s="53" t="str">
        <f>IF(DATA!C11="","",DATA!C11)</f>
        <v/>
      </c>
      <c r="E13" s="54"/>
      <c r="F13" s="54"/>
      <c r="G13" s="54"/>
      <c r="H13" s="54"/>
      <c r="I13" s="54"/>
      <c r="J13" s="54"/>
      <c r="K13" s="223"/>
      <c r="M13" s="238" t="str">
        <f>'GREEN SHEET'!AA13</f>
        <v/>
      </c>
      <c r="N13" s="51" t="str">
        <f>'GREEN SHEET'!AB13</f>
        <v/>
      </c>
      <c r="O13" s="50"/>
      <c r="P13" s="239" t="str">
        <f>'GREEN SHEET'!AE13</f>
        <v/>
      </c>
    </row>
    <row r="14" spans="1:17" ht="20.399999999999999" x14ac:dyDescent="0.3">
      <c r="A14" s="230"/>
      <c r="B14" s="52">
        <v>8</v>
      </c>
      <c r="C14" s="312" t="str">
        <f>IF(DATA!E12="","",DATA!E12)</f>
        <v/>
      </c>
      <c r="D14" s="53" t="str">
        <f>IF(DATA!C12="","",DATA!C12)</f>
        <v/>
      </c>
      <c r="E14" s="54"/>
      <c r="F14" s="54"/>
      <c r="G14" s="54"/>
      <c r="H14" s="54"/>
      <c r="I14" s="54"/>
      <c r="J14" s="54"/>
      <c r="K14" s="223"/>
      <c r="M14" s="238" t="str">
        <f>'GREEN SHEET'!AA14</f>
        <v/>
      </c>
      <c r="N14" s="51" t="str">
        <f>'GREEN SHEET'!AB14</f>
        <v/>
      </c>
      <c r="O14" s="50"/>
      <c r="P14" s="239" t="str">
        <f>'GREEN SHEET'!AE14</f>
        <v/>
      </c>
    </row>
    <row r="15" spans="1:17" ht="20.399999999999999" x14ac:dyDescent="0.3">
      <c r="A15" s="230"/>
      <c r="B15" s="52">
        <v>9</v>
      </c>
      <c r="C15" s="312" t="str">
        <f>IF(DATA!E13="","",DATA!E13)</f>
        <v/>
      </c>
      <c r="D15" s="53" t="str">
        <f>IF(DATA!C13="","",DATA!C13)</f>
        <v/>
      </c>
      <c r="E15" s="54"/>
      <c r="F15" s="54"/>
      <c r="G15" s="54"/>
      <c r="H15" s="54"/>
      <c r="I15" s="54"/>
      <c r="J15" s="54"/>
      <c r="K15" s="223"/>
      <c r="M15" s="238" t="str">
        <f>'GREEN SHEET'!AA15</f>
        <v/>
      </c>
      <c r="N15" s="51" t="str">
        <f>'GREEN SHEET'!AB15</f>
        <v/>
      </c>
      <c r="O15" s="50"/>
      <c r="P15" s="239" t="str">
        <f>'GREEN SHEET'!AE15</f>
        <v/>
      </c>
    </row>
    <row r="16" spans="1:17" ht="20.399999999999999" x14ac:dyDescent="0.3">
      <c r="A16" s="230"/>
      <c r="B16" s="52">
        <v>10</v>
      </c>
      <c r="C16" s="312" t="str">
        <f>IF(DATA!E14="","",DATA!E14)</f>
        <v/>
      </c>
      <c r="D16" s="53" t="str">
        <f>IF(DATA!C14="","",DATA!C14)</f>
        <v/>
      </c>
      <c r="E16" s="54"/>
      <c r="F16" s="54"/>
      <c r="G16" s="54"/>
      <c r="H16" s="54"/>
      <c r="I16" s="54"/>
      <c r="J16" s="54"/>
      <c r="K16" s="223"/>
      <c r="M16" s="238" t="str">
        <f>'GREEN SHEET'!AA16</f>
        <v/>
      </c>
      <c r="N16" s="51" t="str">
        <f>'GREEN SHEET'!AB16</f>
        <v/>
      </c>
      <c r="O16" s="50"/>
      <c r="P16" s="239" t="str">
        <f>'GREEN SHEET'!AE16</f>
        <v/>
      </c>
    </row>
    <row r="17" spans="1:16" ht="20.399999999999999" x14ac:dyDescent="0.3">
      <c r="A17" s="230"/>
      <c r="B17" s="52">
        <v>11</v>
      </c>
      <c r="C17" s="312" t="str">
        <f>IF(DATA!E15="","",DATA!E15)</f>
        <v/>
      </c>
      <c r="D17" s="53" t="str">
        <f>IF(DATA!C15="","",DATA!C15)</f>
        <v/>
      </c>
      <c r="E17" s="54"/>
      <c r="F17" s="54"/>
      <c r="G17" s="54"/>
      <c r="H17" s="54"/>
      <c r="I17" s="54"/>
      <c r="J17" s="54"/>
      <c r="K17" s="223"/>
      <c r="M17" s="238" t="str">
        <f>'GREEN SHEET'!AA17</f>
        <v/>
      </c>
      <c r="N17" s="51" t="str">
        <f>'GREEN SHEET'!AB17</f>
        <v/>
      </c>
      <c r="O17" s="50"/>
      <c r="P17" s="239" t="str">
        <f>'GREEN SHEET'!AE17</f>
        <v/>
      </c>
    </row>
    <row r="18" spans="1:16" ht="20.399999999999999" x14ac:dyDescent="0.3">
      <c r="A18" s="230"/>
      <c r="B18" s="52">
        <v>12</v>
      </c>
      <c r="C18" s="312" t="str">
        <f>IF(DATA!E16="","",DATA!E16)</f>
        <v/>
      </c>
      <c r="D18" s="53" t="str">
        <f>IF(DATA!C16="","",DATA!C16)</f>
        <v/>
      </c>
      <c r="E18" s="54"/>
      <c r="F18" s="54"/>
      <c r="G18" s="54"/>
      <c r="H18" s="54"/>
      <c r="I18" s="54"/>
      <c r="J18" s="54"/>
      <c r="K18" s="223"/>
      <c r="M18" s="238" t="str">
        <f>'GREEN SHEET'!AA18</f>
        <v/>
      </c>
      <c r="N18" s="51" t="str">
        <f>'GREEN SHEET'!AB18</f>
        <v/>
      </c>
      <c r="O18" s="50"/>
      <c r="P18" s="239" t="str">
        <f>'GREEN SHEET'!AE18</f>
        <v/>
      </c>
    </row>
    <row r="19" spans="1:16" ht="20.399999999999999" x14ac:dyDescent="0.3">
      <c r="A19" s="230"/>
      <c r="B19" s="52">
        <v>13</v>
      </c>
      <c r="C19" s="312" t="str">
        <f>IF(DATA!E17="","",DATA!E17)</f>
        <v/>
      </c>
      <c r="D19" s="53" t="str">
        <f>IF(DATA!C17="","",DATA!C17)</f>
        <v/>
      </c>
      <c r="E19" s="54"/>
      <c r="F19" s="54"/>
      <c r="G19" s="54"/>
      <c r="H19" s="54"/>
      <c r="I19" s="54"/>
      <c r="J19" s="54"/>
      <c r="K19" s="223"/>
      <c r="M19" s="238" t="str">
        <f>'GREEN SHEET'!AA19</f>
        <v/>
      </c>
      <c r="N19" s="51" t="str">
        <f>'GREEN SHEET'!AB19</f>
        <v/>
      </c>
      <c r="O19" s="50"/>
      <c r="P19" s="239" t="str">
        <f>'GREEN SHEET'!AE19</f>
        <v/>
      </c>
    </row>
    <row r="20" spans="1:16" ht="20.399999999999999" x14ac:dyDescent="0.3">
      <c r="A20" s="230"/>
      <c r="B20" s="52">
        <v>14</v>
      </c>
      <c r="C20" s="312" t="str">
        <f>IF(DATA!E18="","",DATA!E18)</f>
        <v/>
      </c>
      <c r="D20" s="53" t="str">
        <f>IF(DATA!C18="","",DATA!C18)</f>
        <v/>
      </c>
      <c r="E20" s="54"/>
      <c r="F20" s="54"/>
      <c r="G20" s="54"/>
      <c r="H20" s="54"/>
      <c r="I20" s="54"/>
      <c r="J20" s="54"/>
      <c r="K20" s="223"/>
      <c r="M20" s="238" t="str">
        <f>'GREEN SHEET'!AA20</f>
        <v/>
      </c>
      <c r="N20" s="51" t="str">
        <f>'GREEN SHEET'!AB20</f>
        <v/>
      </c>
      <c r="O20" s="50"/>
      <c r="P20" s="239" t="str">
        <f>'GREEN SHEET'!AE20</f>
        <v/>
      </c>
    </row>
    <row r="21" spans="1:16" ht="20.399999999999999" x14ac:dyDescent="0.3">
      <c r="A21" s="230"/>
      <c r="B21" s="52">
        <v>15</v>
      </c>
      <c r="C21" s="312" t="str">
        <f>IF(DATA!E19="","",DATA!E19)</f>
        <v/>
      </c>
      <c r="D21" s="53" t="str">
        <f>IF(DATA!C19="","",DATA!C19)</f>
        <v/>
      </c>
      <c r="E21" s="54"/>
      <c r="F21" s="54"/>
      <c r="G21" s="54"/>
      <c r="H21" s="54"/>
      <c r="I21" s="54"/>
      <c r="J21" s="54"/>
      <c r="K21" s="223"/>
      <c r="M21" s="238" t="str">
        <f>'GREEN SHEET'!AA21</f>
        <v/>
      </c>
      <c r="N21" s="51" t="str">
        <f>'GREEN SHEET'!AB21</f>
        <v/>
      </c>
      <c r="O21" s="50"/>
      <c r="P21" s="239" t="str">
        <f>'GREEN SHEET'!AE21</f>
        <v/>
      </c>
    </row>
    <row r="22" spans="1:16" ht="20.399999999999999" x14ac:dyDescent="0.3">
      <c r="A22" s="230"/>
      <c r="B22" s="52">
        <v>16</v>
      </c>
      <c r="C22" s="312" t="str">
        <f>IF(DATA!E20="","",DATA!E20)</f>
        <v/>
      </c>
      <c r="D22" s="53" t="str">
        <f>IF(DATA!C20="","",DATA!C20)</f>
        <v/>
      </c>
      <c r="E22" s="54"/>
      <c r="F22" s="54"/>
      <c r="G22" s="54"/>
      <c r="H22" s="54"/>
      <c r="I22" s="54"/>
      <c r="J22" s="54"/>
      <c r="K22" s="223"/>
      <c r="M22" s="238" t="str">
        <f>'GREEN SHEET'!AA22</f>
        <v/>
      </c>
      <c r="N22" s="51" t="str">
        <f>'GREEN SHEET'!AB22</f>
        <v/>
      </c>
      <c r="O22" s="50"/>
      <c r="P22" s="239" t="str">
        <f>'GREEN SHEET'!AE22</f>
        <v/>
      </c>
    </row>
    <row r="23" spans="1:16" ht="20.399999999999999" x14ac:dyDescent="0.3">
      <c r="A23" s="230"/>
      <c r="B23" s="52">
        <v>17</v>
      </c>
      <c r="C23" s="312" t="str">
        <f>IF(DATA!E21="","",DATA!E21)</f>
        <v/>
      </c>
      <c r="D23" s="53" t="str">
        <f>IF(DATA!C21="","",DATA!C21)</f>
        <v/>
      </c>
      <c r="E23" s="54"/>
      <c r="F23" s="54"/>
      <c r="G23" s="54"/>
      <c r="H23" s="54"/>
      <c r="I23" s="54"/>
      <c r="J23" s="54"/>
      <c r="K23" s="223"/>
      <c r="M23" s="238" t="str">
        <f>'GREEN SHEET'!AA23</f>
        <v/>
      </c>
      <c r="N23" s="51" t="str">
        <f>'GREEN SHEET'!AB23</f>
        <v/>
      </c>
      <c r="O23" s="50"/>
      <c r="P23" s="239" t="str">
        <f>'GREEN SHEET'!AE23</f>
        <v/>
      </c>
    </row>
    <row r="24" spans="1:16" ht="20.399999999999999" x14ac:dyDescent="0.3">
      <c r="A24" s="230"/>
      <c r="B24" s="52">
        <v>18</v>
      </c>
      <c r="C24" s="312" t="str">
        <f>IF(DATA!E22="","",DATA!E22)</f>
        <v/>
      </c>
      <c r="D24" s="53" t="str">
        <f>IF(DATA!C22="","",DATA!C22)</f>
        <v/>
      </c>
      <c r="E24" s="54"/>
      <c r="F24" s="54"/>
      <c r="G24" s="54"/>
      <c r="H24" s="54"/>
      <c r="I24" s="54"/>
      <c r="J24" s="54"/>
      <c r="K24" s="223"/>
      <c r="M24" s="238" t="str">
        <f>'GREEN SHEET'!AA24</f>
        <v/>
      </c>
      <c r="N24" s="51" t="str">
        <f>'GREEN SHEET'!AB24</f>
        <v/>
      </c>
      <c r="O24" s="50"/>
      <c r="P24" s="239" t="str">
        <f>'GREEN SHEET'!AE24</f>
        <v/>
      </c>
    </row>
    <row r="25" spans="1:16" ht="20.399999999999999" x14ac:dyDescent="0.3">
      <c r="A25" s="230"/>
      <c r="B25" s="52">
        <v>19</v>
      </c>
      <c r="C25" s="312" t="str">
        <f>IF(DATA!E23="","",DATA!E23)</f>
        <v/>
      </c>
      <c r="D25" s="53" t="str">
        <f>IF(DATA!C23="","",DATA!C23)</f>
        <v/>
      </c>
      <c r="E25" s="54"/>
      <c r="F25" s="54"/>
      <c r="G25" s="54"/>
      <c r="H25" s="54"/>
      <c r="I25" s="54"/>
      <c r="J25" s="54"/>
      <c r="K25" s="223"/>
      <c r="M25" s="238" t="str">
        <f>'GREEN SHEET'!AA25</f>
        <v/>
      </c>
      <c r="N25" s="51" t="str">
        <f>'GREEN SHEET'!AB25</f>
        <v/>
      </c>
      <c r="O25" s="50"/>
      <c r="P25" s="239" t="str">
        <f>'GREEN SHEET'!AE25</f>
        <v/>
      </c>
    </row>
    <row r="26" spans="1:16" ht="20.399999999999999" x14ac:dyDescent="0.3">
      <c r="A26" s="230"/>
      <c r="B26" s="52">
        <v>20</v>
      </c>
      <c r="C26" s="312" t="str">
        <f>IF(DATA!E24="","",DATA!E24)</f>
        <v/>
      </c>
      <c r="D26" s="53" t="str">
        <f>IF(DATA!C24="","",DATA!C24)</f>
        <v/>
      </c>
      <c r="E26" s="54"/>
      <c r="F26" s="54"/>
      <c r="G26" s="54"/>
      <c r="H26" s="54"/>
      <c r="I26" s="54"/>
      <c r="J26" s="54"/>
      <c r="K26" s="223"/>
      <c r="M26" s="238" t="str">
        <f>'GREEN SHEET'!AA26</f>
        <v/>
      </c>
      <c r="N26" s="51" t="str">
        <f>'GREEN SHEET'!AB26</f>
        <v/>
      </c>
      <c r="O26" s="50"/>
      <c r="P26" s="239" t="str">
        <f>'GREEN SHEET'!AE26</f>
        <v/>
      </c>
    </row>
    <row r="27" spans="1:16" ht="20.399999999999999" x14ac:dyDescent="0.3">
      <c r="A27" s="230"/>
      <c r="B27" s="52">
        <v>21</v>
      </c>
      <c r="C27" s="312" t="str">
        <f>IF(DATA!E25="","",DATA!E25)</f>
        <v/>
      </c>
      <c r="D27" s="53" t="str">
        <f>IF(DATA!C25="","",DATA!C25)</f>
        <v/>
      </c>
      <c r="E27" s="54"/>
      <c r="F27" s="54"/>
      <c r="G27" s="54"/>
      <c r="H27" s="54"/>
      <c r="I27" s="54"/>
      <c r="J27" s="54"/>
      <c r="K27" s="223"/>
      <c r="M27" s="238" t="str">
        <f>'GREEN SHEET'!AA27</f>
        <v/>
      </c>
      <c r="N27" s="51" t="str">
        <f>'GREEN SHEET'!AB27</f>
        <v/>
      </c>
      <c r="O27" s="50"/>
      <c r="P27" s="239" t="str">
        <f>'GREEN SHEET'!AE27</f>
        <v/>
      </c>
    </row>
    <row r="28" spans="1:16" ht="20.399999999999999" x14ac:dyDescent="0.3">
      <c r="A28" s="230"/>
      <c r="B28" s="52">
        <v>22</v>
      </c>
      <c r="C28" s="312" t="str">
        <f>IF(DATA!E26="","",DATA!E26)</f>
        <v/>
      </c>
      <c r="D28" s="53" t="str">
        <f>IF(DATA!C26="","",DATA!C26)</f>
        <v/>
      </c>
      <c r="E28" s="54"/>
      <c r="F28" s="54"/>
      <c r="G28" s="54"/>
      <c r="H28" s="54"/>
      <c r="I28" s="54"/>
      <c r="J28" s="54"/>
      <c r="K28" s="223"/>
      <c r="M28" s="238" t="str">
        <f>'GREEN SHEET'!AA28</f>
        <v/>
      </c>
      <c r="N28" s="51" t="str">
        <f>'GREEN SHEET'!AB28</f>
        <v/>
      </c>
      <c r="O28" s="50"/>
      <c r="P28" s="239" t="str">
        <f>'GREEN SHEET'!AE28</f>
        <v/>
      </c>
    </row>
    <row r="29" spans="1:16" ht="20.399999999999999" x14ac:dyDescent="0.3">
      <c r="A29" s="230"/>
      <c r="B29" s="52">
        <v>23</v>
      </c>
      <c r="C29" s="312" t="str">
        <f>IF(DATA!E27="","",DATA!E27)</f>
        <v/>
      </c>
      <c r="D29" s="53" t="str">
        <f>IF(DATA!C27="","",DATA!C27)</f>
        <v/>
      </c>
      <c r="E29" s="54"/>
      <c r="F29" s="54"/>
      <c r="G29" s="54"/>
      <c r="H29" s="54"/>
      <c r="I29" s="54"/>
      <c r="J29" s="54"/>
      <c r="K29" s="223"/>
      <c r="M29" s="238" t="str">
        <f>'GREEN SHEET'!AA29</f>
        <v/>
      </c>
      <c r="N29" s="51" t="str">
        <f>'GREEN SHEET'!AB29</f>
        <v/>
      </c>
      <c r="O29" s="50"/>
      <c r="P29" s="239" t="str">
        <f>'GREEN SHEET'!AE29</f>
        <v/>
      </c>
    </row>
    <row r="30" spans="1:16" ht="20.399999999999999" x14ac:dyDescent="0.3">
      <c r="A30" s="230"/>
      <c r="B30" s="52">
        <v>24</v>
      </c>
      <c r="C30" s="312" t="str">
        <f>IF(DATA!E28="","",DATA!E28)</f>
        <v/>
      </c>
      <c r="D30" s="53" t="str">
        <f>IF(DATA!C28="","",DATA!C28)</f>
        <v/>
      </c>
      <c r="E30" s="54"/>
      <c r="F30" s="54"/>
      <c r="G30" s="54"/>
      <c r="H30" s="54"/>
      <c r="I30" s="54"/>
      <c r="J30" s="54"/>
      <c r="K30" s="223"/>
      <c r="M30" s="238" t="str">
        <f>'GREEN SHEET'!AA30</f>
        <v/>
      </c>
      <c r="N30" s="51" t="str">
        <f>'GREEN SHEET'!AB30</f>
        <v/>
      </c>
      <c r="O30" s="50"/>
      <c r="P30" s="239" t="str">
        <f>'GREEN SHEET'!AE30</f>
        <v/>
      </c>
    </row>
    <row r="31" spans="1:16" ht="20.399999999999999" x14ac:dyDescent="0.3">
      <c r="A31" s="230"/>
      <c r="B31" s="52">
        <v>25</v>
      </c>
      <c r="C31" s="312" t="str">
        <f>IF(DATA!E29="","",DATA!E29)</f>
        <v/>
      </c>
      <c r="D31" s="53" t="str">
        <f>IF(DATA!C29="","",DATA!C29)</f>
        <v/>
      </c>
      <c r="E31" s="54"/>
      <c r="F31" s="54"/>
      <c r="G31" s="54"/>
      <c r="H31" s="54"/>
      <c r="I31" s="54"/>
      <c r="J31" s="54"/>
      <c r="K31" s="223"/>
      <c r="M31" s="238" t="str">
        <f>'GREEN SHEET'!AA31</f>
        <v/>
      </c>
      <c r="N31" s="51" t="str">
        <f>'GREEN SHEET'!AB31</f>
        <v/>
      </c>
      <c r="O31" s="50"/>
      <c r="P31" s="239" t="str">
        <f>'GREEN SHEET'!AE31</f>
        <v/>
      </c>
    </row>
    <row r="32" spans="1:16" ht="20.399999999999999" x14ac:dyDescent="0.3">
      <c r="A32" s="230"/>
      <c r="B32" s="52">
        <v>26</v>
      </c>
      <c r="C32" s="312" t="str">
        <f>IF(DATA!E30="","",DATA!E30)</f>
        <v/>
      </c>
      <c r="D32" s="53" t="str">
        <f>IF(DATA!C30="","",DATA!C30)</f>
        <v/>
      </c>
      <c r="E32" s="54"/>
      <c r="F32" s="54"/>
      <c r="G32" s="54"/>
      <c r="H32" s="54"/>
      <c r="I32" s="54"/>
      <c r="J32" s="54"/>
      <c r="K32" s="223"/>
      <c r="M32" s="238" t="str">
        <f>'GREEN SHEET'!AA32</f>
        <v/>
      </c>
      <c r="N32" s="51" t="str">
        <f>'GREEN SHEET'!AB32</f>
        <v/>
      </c>
      <c r="O32" s="50"/>
      <c r="P32" s="239" t="str">
        <f>'GREEN SHEET'!AE32</f>
        <v/>
      </c>
    </row>
    <row r="33" spans="1:16" ht="20.399999999999999" x14ac:dyDescent="0.3">
      <c r="A33" s="230"/>
      <c r="B33" s="52">
        <v>27</v>
      </c>
      <c r="C33" s="312" t="str">
        <f>IF(DATA!E31="","",DATA!E31)</f>
        <v/>
      </c>
      <c r="D33" s="53" t="str">
        <f>IF(DATA!C31="","",DATA!C31)</f>
        <v/>
      </c>
      <c r="E33" s="54"/>
      <c r="F33" s="54"/>
      <c r="G33" s="54"/>
      <c r="H33" s="54"/>
      <c r="I33" s="54"/>
      <c r="J33" s="54"/>
      <c r="K33" s="223"/>
      <c r="M33" s="238" t="str">
        <f>'GREEN SHEET'!AA33</f>
        <v/>
      </c>
      <c r="N33" s="51" t="str">
        <f>'GREEN SHEET'!AB33</f>
        <v/>
      </c>
      <c r="O33" s="50"/>
      <c r="P33" s="239" t="str">
        <f>'GREEN SHEET'!AE33</f>
        <v/>
      </c>
    </row>
    <row r="34" spans="1:16" ht="20.399999999999999" x14ac:dyDescent="0.3">
      <c r="A34" s="230"/>
      <c r="B34" s="52">
        <v>28</v>
      </c>
      <c r="C34" s="312" t="str">
        <f>IF(DATA!E32="","",DATA!E32)</f>
        <v/>
      </c>
      <c r="D34" s="53" t="str">
        <f>IF(DATA!C32="","",DATA!C32)</f>
        <v/>
      </c>
      <c r="E34" s="54"/>
      <c r="F34" s="54"/>
      <c r="G34" s="54"/>
      <c r="H34" s="54"/>
      <c r="I34" s="54"/>
      <c r="J34" s="54"/>
      <c r="K34" s="223"/>
      <c r="M34" s="238" t="str">
        <f>'GREEN SHEET'!AA34</f>
        <v/>
      </c>
      <c r="N34" s="51" t="str">
        <f>'GREEN SHEET'!AB34</f>
        <v/>
      </c>
      <c r="O34" s="50"/>
      <c r="P34" s="239" t="str">
        <f>'GREEN SHEET'!AE34</f>
        <v/>
      </c>
    </row>
    <row r="35" spans="1:16" ht="20.399999999999999" x14ac:dyDescent="0.3">
      <c r="A35" s="230"/>
      <c r="B35" s="52">
        <v>29</v>
      </c>
      <c r="C35" s="312" t="str">
        <f>IF(DATA!E33="","",DATA!E33)</f>
        <v/>
      </c>
      <c r="D35" s="53" t="str">
        <f>IF(DATA!C33="","",DATA!C33)</f>
        <v/>
      </c>
      <c r="E35" s="54"/>
      <c r="F35" s="54"/>
      <c r="G35" s="54"/>
      <c r="H35" s="54"/>
      <c r="I35" s="54"/>
      <c r="J35" s="54"/>
      <c r="K35" s="223"/>
      <c r="M35" s="238" t="str">
        <f>'GREEN SHEET'!AA35</f>
        <v/>
      </c>
      <c r="N35" s="51" t="str">
        <f>'GREEN SHEET'!AB35</f>
        <v/>
      </c>
      <c r="O35" s="50"/>
      <c r="P35" s="239" t="str">
        <f>'GREEN SHEET'!AE35</f>
        <v/>
      </c>
    </row>
    <row r="36" spans="1:16" ht="20.399999999999999" x14ac:dyDescent="0.3">
      <c r="A36" s="230"/>
      <c r="B36" s="52">
        <v>30</v>
      </c>
      <c r="C36" s="312" t="str">
        <f>IF(DATA!E34="","",DATA!E34)</f>
        <v/>
      </c>
      <c r="D36" s="53" t="str">
        <f>IF(DATA!C34="","",DATA!C34)</f>
        <v/>
      </c>
      <c r="E36" s="54"/>
      <c r="F36" s="54"/>
      <c r="G36" s="54"/>
      <c r="H36" s="54"/>
      <c r="I36" s="54"/>
      <c r="J36" s="54"/>
      <c r="K36" s="223"/>
      <c r="M36" s="238" t="str">
        <f>'GREEN SHEET'!AA36</f>
        <v/>
      </c>
      <c r="N36" s="51" t="str">
        <f>'GREEN SHEET'!AB36</f>
        <v/>
      </c>
      <c r="O36" s="50"/>
      <c r="P36" s="239" t="str">
        <f>'GREEN SHEET'!AE36</f>
        <v/>
      </c>
    </row>
    <row r="37" spans="1:16" ht="20.399999999999999" x14ac:dyDescent="0.3">
      <c r="A37" s="230"/>
      <c r="B37" s="52">
        <v>31</v>
      </c>
      <c r="C37" s="312" t="str">
        <f>IF(DATA!E35="","",DATA!E35)</f>
        <v/>
      </c>
      <c r="D37" s="53" t="str">
        <f>IF(DATA!C35="","",DATA!C35)</f>
        <v/>
      </c>
      <c r="E37" s="54"/>
      <c r="F37" s="54"/>
      <c r="G37" s="54"/>
      <c r="H37" s="54"/>
      <c r="I37" s="54"/>
      <c r="J37" s="54"/>
      <c r="K37" s="223"/>
      <c r="M37" s="238" t="str">
        <f>'GREEN SHEET'!AA37</f>
        <v/>
      </c>
      <c r="N37" s="51" t="str">
        <f>'GREEN SHEET'!AB37</f>
        <v/>
      </c>
      <c r="O37" s="50"/>
      <c r="P37" s="239" t="str">
        <f>'GREEN SHEET'!AE37</f>
        <v/>
      </c>
    </row>
    <row r="38" spans="1:16" ht="20.399999999999999" x14ac:dyDescent="0.3">
      <c r="A38" s="230"/>
      <c r="B38" s="52">
        <v>32</v>
      </c>
      <c r="C38" s="312" t="str">
        <f>IF(DATA!E36="","",DATA!E36)</f>
        <v/>
      </c>
      <c r="D38" s="53" t="str">
        <f>IF(DATA!C36="","",DATA!C36)</f>
        <v/>
      </c>
      <c r="E38" s="54"/>
      <c r="F38" s="54"/>
      <c r="G38" s="54"/>
      <c r="H38" s="54"/>
      <c r="I38" s="54"/>
      <c r="J38" s="54"/>
      <c r="K38" s="223"/>
      <c r="M38" s="238" t="str">
        <f>'GREEN SHEET'!AA38</f>
        <v/>
      </c>
      <c r="N38" s="51" t="str">
        <f>'GREEN SHEET'!AB38</f>
        <v/>
      </c>
      <c r="O38" s="50"/>
      <c r="P38" s="239" t="str">
        <f>'GREEN SHEET'!AE38</f>
        <v/>
      </c>
    </row>
    <row r="39" spans="1:16" ht="20.399999999999999" x14ac:dyDescent="0.3">
      <c r="A39" s="230"/>
      <c r="B39" s="52">
        <v>33</v>
      </c>
      <c r="C39" s="312" t="str">
        <f>IF(DATA!E37="","",DATA!E37)</f>
        <v/>
      </c>
      <c r="D39" s="53" t="str">
        <f>IF(DATA!C37="","",DATA!C37)</f>
        <v/>
      </c>
      <c r="E39" s="54"/>
      <c r="F39" s="54"/>
      <c r="G39" s="54"/>
      <c r="H39" s="54"/>
      <c r="I39" s="54"/>
      <c r="J39" s="54"/>
      <c r="K39" s="223"/>
      <c r="M39" s="238" t="str">
        <f>'GREEN SHEET'!AA39</f>
        <v/>
      </c>
      <c r="N39" s="51" t="str">
        <f>'GREEN SHEET'!AB39</f>
        <v/>
      </c>
      <c r="O39" s="50"/>
      <c r="P39" s="239" t="str">
        <f>'GREEN SHEET'!AE39</f>
        <v/>
      </c>
    </row>
    <row r="40" spans="1:16" ht="20.399999999999999" x14ac:dyDescent="0.3">
      <c r="A40" s="230"/>
      <c r="B40" s="52">
        <v>34</v>
      </c>
      <c r="C40" s="312" t="str">
        <f>IF(DATA!E38="","",DATA!E38)</f>
        <v/>
      </c>
      <c r="D40" s="53" t="str">
        <f>IF(DATA!C38="","",DATA!C38)</f>
        <v/>
      </c>
      <c r="E40" s="54"/>
      <c r="F40" s="54"/>
      <c r="G40" s="54"/>
      <c r="H40" s="54"/>
      <c r="I40" s="54"/>
      <c r="J40" s="54"/>
      <c r="K40" s="223"/>
      <c r="M40" s="238" t="str">
        <f>'GREEN SHEET'!AA40</f>
        <v/>
      </c>
      <c r="N40" s="51" t="str">
        <f>'GREEN SHEET'!AB40</f>
        <v/>
      </c>
      <c r="O40" s="50"/>
      <c r="P40" s="239" t="str">
        <f>'GREEN SHEET'!AE40</f>
        <v/>
      </c>
    </row>
    <row r="41" spans="1:16" ht="20.399999999999999" x14ac:dyDescent="0.3">
      <c r="A41" s="230"/>
      <c r="B41" s="52">
        <v>35</v>
      </c>
      <c r="C41" s="312" t="str">
        <f>IF(DATA!E39="","",DATA!E39)</f>
        <v/>
      </c>
      <c r="D41" s="53" t="str">
        <f>IF(DATA!C39="","",DATA!C39)</f>
        <v/>
      </c>
      <c r="E41" s="54"/>
      <c r="F41" s="54"/>
      <c r="G41" s="54"/>
      <c r="H41" s="54"/>
      <c r="I41" s="54"/>
      <c r="J41" s="54"/>
      <c r="K41" s="223"/>
      <c r="M41" s="238" t="str">
        <f>'GREEN SHEET'!AA41</f>
        <v/>
      </c>
      <c r="N41" s="51" t="str">
        <f>'GREEN SHEET'!AB41</f>
        <v/>
      </c>
      <c r="O41" s="50"/>
      <c r="P41" s="239" t="str">
        <f>'GREEN SHEET'!AE41</f>
        <v/>
      </c>
    </row>
    <row r="42" spans="1:16" ht="20.399999999999999" x14ac:dyDescent="0.3">
      <c r="A42" s="230"/>
      <c r="B42" s="52">
        <v>36</v>
      </c>
      <c r="C42" s="312" t="str">
        <f>IF(DATA!E40="","",DATA!E40)</f>
        <v/>
      </c>
      <c r="D42" s="53" t="str">
        <f>IF(DATA!C40="","",DATA!C40)</f>
        <v/>
      </c>
      <c r="E42" s="54"/>
      <c r="F42" s="54"/>
      <c r="G42" s="54"/>
      <c r="H42" s="54"/>
      <c r="I42" s="54"/>
      <c r="J42" s="54"/>
      <c r="K42" s="223"/>
      <c r="M42" s="238" t="str">
        <f>'GREEN SHEET'!AA42</f>
        <v/>
      </c>
      <c r="N42" s="51" t="str">
        <f>'GREEN SHEET'!AB42</f>
        <v/>
      </c>
      <c r="O42" s="50"/>
      <c r="P42" s="239" t="str">
        <f>'GREEN SHEET'!AE42</f>
        <v/>
      </c>
    </row>
    <row r="43" spans="1:16" ht="20.399999999999999" x14ac:dyDescent="0.3">
      <c r="A43" s="230"/>
      <c r="B43" s="52">
        <v>37</v>
      </c>
      <c r="C43" s="312" t="str">
        <f>IF(DATA!E41="","",DATA!E41)</f>
        <v/>
      </c>
      <c r="D43" s="53" t="str">
        <f>IF(DATA!C41="","",DATA!C41)</f>
        <v/>
      </c>
      <c r="E43" s="54"/>
      <c r="F43" s="54"/>
      <c r="G43" s="54"/>
      <c r="H43" s="54"/>
      <c r="I43" s="54"/>
      <c r="J43" s="54"/>
      <c r="K43" s="223"/>
      <c r="M43" s="238" t="str">
        <f>'GREEN SHEET'!AA43</f>
        <v/>
      </c>
      <c r="N43" s="51" t="str">
        <f>'GREEN SHEET'!AB43</f>
        <v/>
      </c>
      <c r="O43" s="50"/>
      <c r="P43" s="239" t="str">
        <f>'GREEN SHEET'!AE43</f>
        <v/>
      </c>
    </row>
    <row r="44" spans="1:16" ht="20.399999999999999" x14ac:dyDescent="0.3">
      <c r="A44" s="230"/>
      <c r="B44" s="52">
        <v>38</v>
      </c>
      <c r="C44" s="312" t="str">
        <f>IF(DATA!E42="","",DATA!E42)</f>
        <v/>
      </c>
      <c r="D44" s="53" t="str">
        <f>IF(DATA!C42="","",DATA!C42)</f>
        <v/>
      </c>
      <c r="E44" s="54"/>
      <c r="F44" s="54"/>
      <c r="G44" s="54"/>
      <c r="H44" s="54"/>
      <c r="I44" s="54"/>
      <c r="J44" s="54"/>
      <c r="K44" s="223"/>
      <c r="M44" s="238" t="str">
        <f>'GREEN SHEET'!AA44</f>
        <v/>
      </c>
      <c r="N44" s="51" t="str">
        <f>'GREEN SHEET'!AB44</f>
        <v/>
      </c>
      <c r="O44" s="50"/>
      <c r="P44" s="239" t="str">
        <f>'GREEN SHEET'!AE44</f>
        <v/>
      </c>
    </row>
    <row r="45" spans="1:16" ht="20.399999999999999" x14ac:dyDescent="0.3">
      <c r="A45" s="230"/>
      <c r="B45" s="52">
        <v>39</v>
      </c>
      <c r="C45" s="312" t="str">
        <f>IF(DATA!E43="","",DATA!E43)</f>
        <v/>
      </c>
      <c r="D45" s="53" t="str">
        <f>IF(DATA!C43="","",DATA!C43)</f>
        <v/>
      </c>
      <c r="E45" s="54"/>
      <c r="F45" s="54"/>
      <c r="G45" s="54"/>
      <c r="H45" s="54"/>
      <c r="I45" s="54"/>
      <c r="J45" s="54"/>
      <c r="K45" s="223"/>
      <c r="M45" s="238" t="str">
        <f>'GREEN SHEET'!AA45</f>
        <v/>
      </c>
      <c r="N45" s="51" t="str">
        <f>'GREEN SHEET'!AB45</f>
        <v/>
      </c>
      <c r="O45" s="50"/>
      <c r="P45" s="239" t="str">
        <f>'GREEN SHEET'!AE45</f>
        <v/>
      </c>
    </row>
    <row r="46" spans="1:16" ht="20.399999999999999" x14ac:dyDescent="0.3">
      <c r="A46" s="230"/>
      <c r="B46" s="52">
        <v>40</v>
      </c>
      <c r="C46" s="312" t="str">
        <f>IF(DATA!E44="","",DATA!E44)</f>
        <v/>
      </c>
      <c r="D46" s="53" t="str">
        <f>IF(DATA!C44="","",DATA!C44)</f>
        <v/>
      </c>
      <c r="E46" s="54"/>
      <c r="F46" s="54"/>
      <c r="G46" s="54"/>
      <c r="H46" s="54"/>
      <c r="I46" s="54"/>
      <c r="J46" s="54"/>
      <c r="K46" s="223"/>
      <c r="M46" s="238" t="str">
        <f>'GREEN SHEET'!AA46</f>
        <v/>
      </c>
      <c r="N46" s="51" t="str">
        <f>'GREEN SHEET'!AB46</f>
        <v/>
      </c>
      <c r="O46" s="50"/>
      <c r="P46" s="239" t="str">
        <f>'GREEN SHEET'!AE46</f>
        <v/>
      </c>
    </row>
    <row r="47" spans="1:16" ht="20.399999999999999" x14ac:dyDescent="0.3">
      <c r="A47" s="230"/>
      <c r="B47" s="52">
        <v>41</v>
      </c>
      <c r="C47" s="312" t="str">
        <f>IF(DATA!E45="","",DATA!E45)</f>
        <v/>
      </c>
      <c r="D47" s="53" t="str">
        <f>IF(DATA!C45="","",DATA!C45)</f>
        <v/>
      </c>
      <c r="E47" s="54"/>
      <c r="F47" s="54"/>
      <c r="G47" s="54"/>
      <c r="H47" s="54"/>
      <c r="I47" s="54"/>
      <c r="J47" s="54"/>
      <c r="K47" s="223"/>
      <c r="M47" s="238" t="str">
        <f>'GREEN SHEET'!AA47</f>
        <v/>
      </c>
      <c r="N47" s="51" t="str">
        <f>'GREEN SHEET'!AB47</f>
        <v/>
      </c>
      <c r="O47" s="50"/>
      <c r="P47" s="239" t="str">
        <f>'GREEN SHEET'!AE47</f>
        <v/>
      </c>
    </row>
    <row r="48" spans="1:16" ht="20.399999999999999" x14ac:dyDescent="0.3">
      <c r="A48" s="230"/>
      <c r="B48" s="52">
        <v>42</v>
      </c>
      <c r="C48" s="312" t="str">
        <f>IF(DATA!E46="","",DATA!E46)</f>
        <v/>
      </c>
      <c r="D48" s="53" t="str">
        <f>IF(DATA!C46="","",DATA!C46)</f>
        <v/>
      </c>
      <c r="E48" s="54"/>
      <c r="F48" s="54"/>
      <c r="G48" s="54"/>
      <c r="H48" s="54"/>
      <c r="I48" s="54"/>
      <c r="J48" s="54"/>
      <c r="K48" s="223"/>
      <c r="M48" s="238" t="str">
        <f>'GREEN SHEET'!AA48</f>
        <v/>
      </c>
      <c r="N48" s="51" t="str">
        <f>'GREEN SHEET'!AB48</f>
        <v/>
      </c>
      <c r="O48" s="50"/>
      <c r="P48" s="239" t="str">
        <f>'GREEN SHEET'!AE48</f>
        <v/>
      </c>
    </row>
    <row r="49" spans="1:17" ht="20.399999999999999" x14ac:dyDescent="0.3">
      <c r="A49" s="230"/>
      <c r="B49" s="52">
        <v>43</v>
      </c>
      <c r="C49" s="312" t="str">
        <f>IF(DATA!E47="","",DATA!E47)</f>
        <v/>
      </c>
      <c r="D49" s="53" t="str">
        <f>IF(DATA!C47="","",DATA!C47)</f>
        <v/>
      </c>
      <c r="E49" s="54"/>
      <c r="F49" s="54"/>
      <c r="G49" s="54"/>
      <c r="H49" s="54"/>
      <c r="I49" s="54"/>
      <c r="J49" s="54"/>
      <c r="K49" s="223"/>
      <c r="M49" s="238" t="str">
        <f>'GREEN SHEET'!AA49</f>
        <v/>
      </c>
      <c r="N49" s="51" t="str">
        <f>'GREEN SHEET'!AB49</f>
        <v/>
      </c>
      <c r="O49" s="50"/>
      <c r="P49" s="239" t="str">
        <f>'GREEN SHEET'!AE49</f>
        <v/>
      </c>
    </row>
    <row r="50" spans="1:17" ht="20.399999999999999" x14ac:dyDescent="0.3">
      <c r="A50" s="230"/>
      <c r="B50" s="52">
        <v>44</v>
      </c>
      <c r="C50" s="312" t="str">
        <f>IF(DATA!E48="","",DATA!E48)</f>
        <v/>
      </c>
      <c r="D50" s="53" t="str">
        <f>IF(DATA!C48="","",DATA!C48)</f>
        <v/>
      </c>
      <c r="E50" s="54"/>
      <c r="F50" s="54"/>
      <c r="G50" s="54"/>
      <c r="H50" s="54"/>
      <c r="I50" s="54"/>
      <c r="J50" s="54"/>
      <c r="K50" s="223"/>
      <c r="M50" s="238" t="str">
        <f>'GREEN SHEET'!AA50</f>
        <v/>
      </c>
      <c r="N50" s="51" t="str">
        <f>'GREEN SHEET'!AB50</f>
        <v/>
      </c>
      <c r="O50" s="50"/>
      <c r="P50" s="239" t="str">
        <f>'GREEN SHEET'!AE50</f>
        <v/>
      </c>
    </row>
    <row r="51" spans="1:17" ht="21" thickBot="1" x14ac:dyDescent="0.35">
      <c r="A51" s="230"/>
      <c r="B51" s="55">
        <v>45</v>
      </c>
      <c r="C51" s="313" t="str">
        <f>IF(DATA!E49="","",DATA!E49)</f>
        <v/>
      </c>
      <c r="D51" s="224" t="str">
        <f>IF(DATA!C49="","",DATA!C49)</f>
        <v/>
      </c>
      <c r="E51" s="56"/>
      <c r="F51" s="56"/>
      <c r="G51" s="56"/>
      <c r="H51" s="56"/>
      <c r="I51" s="56"/>
      <c r="J51" s="56"/>
      <c r="K51" s="225"/>
      <c r="M51" s="238" t="str">
        <f>'GREEN SHEET'!AA112</f>
        <v/>
      </c>
      <c r="N51" s="51" t="str">
        <f>'GREEN SHEET'!AB112</f>
        <v/>
      </c>
      <c r="O51" s="50"/>
      <c r="P51" s="239" t="str">
        <f>'GREEN SHEET'!AE51</f>
        <v/>
      </c>
    </row>
    <row r="52" spans="1:17" ht="59.25" customHeight="1" thickBot="1" x14ac:dyDescent="0.35">
      <c r="A52" s="230"/>
      <c r="B52" s="711" t="s">
        <v>224</v>
      </c>
      <c r="C52" s="712"/>
      <c r="D52" s="712"/>
      <c r="E52" s="723"/>
      <c r="F52" s="724"/>
      <c r="G52" s="724"/>
      <c r="H52" s="724"/>
      <c r="I52" s="724"/>
      <c r="J52" s="724"/>
      <c r="K52" s="725"/>
      <c r="M52" s="708"/>
      <c r="N52" s="709"/>
      <c r="O52" s="709"/>
      <c r="P52" s="710"/>
    </row>
    <row r="53" spans="1:17" ht="15" customHeight="1" x14ac:dyDescent="0.3">
      <c r="A53" s="228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44"/>
      <c r="P53" s="44"/>
    </row>
    <row r="54" spans="1:17" ht="15" hidden="1" customHeight="1" x14ac:dyDescent="0.3">
      <c r="Q54" s="8"/>
    </row>
  </sheetData>
  <sheetProtection algorithmName="SHA-512" hashValue="8fPHcxijOklCQsAx3wuxh6QTMKLYA5u7ccu0p7dmgoLton1GHqW29dmEAdl5OyexX+pN8PdnhJ6QTH8YsTHSsA==" saltValue="LXiqCE+K7qv3ZOSGwXxSPQ==" spinCount="100000" sheet="1" objects="1" scenarios="1" selectLockedCells="1"/>
  <mergeCells count="7">
    <mergeCell ref="M52:P52"/>
    <mergeCell ref="B52:D52"/>
    <mergeCell ref="B6:D6"/>
    <mergeCell ref="H4:K4"/>
    <mergeCell ref="B2:K2"/>
    <mergeCell ref="B3:K3"/>
    <mergeCell ref="E52:K52"/>
  </mergeCells>
  <conditionalFormatting sqref="O6">
    <cfRule type="cellIs" dxfId="6" priority="4" operator="lessThanOrEqual">
      <formula>1</formula>
    </cfRule>
  </conditionalFormatting>
  <conditionalFormatting sqref="O7:O51">
    <cfRule type="expression" dxfId="5" priority="1">
      <formula>AND(OR(M7&gt;=33,$O$6="",O7&gt;$O$6),O7&lt;&gt;"")</formula>
    </cfRule>
  </conditionalFormatting>
  <dataValidations count="1">
    <dataValidation type="custom" allowBlank="1" showInputMessage="1" showErrorMessage="1" errorTitle="Invalid Entry" error="Entry not allowed._x000a_Check the following:_x000a_• STUDENT ALREADY PASSED_x000a_• DEFINE MAX MARKS_x000a_• ENTERED VALUE MUST NOT GREATER THAN MAX MARKS" sqref="O7:O51">
      <formula1>AND(M7&lt;33,$O$6&lt;&gt;"",O7&lt;=$O$6)</formula1>
    </dataValidation>
  </dataValidations>
  <hyperlinks>
    <hyperlink ref="A1" location="DASHBOARD!A1" display="D"/>
  </hyperlinks>
  <pageMargins left="0.59055118110236227" right="0.17" top="0.28999999999999998" bottom="0.25" header="0.17" footer="0.31496062992125984"/>
  <pageSetup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W54"/>
  <sheetViews>
    <sheetView workbookViewId="0">
      <selection activeCell="L8" sqref="L8"/>
    </sheetView>
  </sheetViews>
  <sheetFormatPr defaultColWidth="0" defaultRowHeight="0" customHeight="1" zeroHeight="1" x14ac:dyDescent="0.3"/>
  <cols>
    <col min="1" max="1" width="3.109375" style="231" bestFit="1" customWidth="1"/>
    <col min="2" max="2" width="4.88671875" style="24" bestFit="1" customWidth="1"/>
    <col min="3" max="3" width="30.109375" style="24" bestFit="1" customWidth="1"/>
    <col min="4" max="4" width="7.109375" style="24" bestFit="1" customWidth="1"/>
    <col min="5" max="5" width="17.88671875" style="24" bestFit="1" customWidth="1"/>
    <col min="6" max="6" width="7.5546875" style="24" bestFit="1" customWidth="1"/>
    <col min="7" max="7" width="5.5546875" style="24" bestFit="1" customWidth="1"/>
    <col min="8" max="8" width="6.5546875" style="24" bestFit="1" customWidth="1"/>
    <col min="9" max="9" width="10.6640625" style="24" bestFit="1" customWidth="1"/>
    <col min="10" max="10" width="3.33203125" style="24" bestFit="1" customWidth="1"/>
    <col min="11" max="11" width="8.33203125" style="24" bestFit="1" customWidth="1"/>
    <col min="12" max="12" width="8.5546875" style="24" bestFit="1" customWidth="1"/>
    <col min="13" max="13" width="1.44140625" style="235" customWidth="1"/>
    <col min="14" max="14" width="7.33203125" style="43" customWidth="1"/>
    <col min="15" max="15" width="7.6640625" style="43" customWidth="1"/>
    <col min="16" max="16" width="8.88671875" style="43" customWidth="1"/>
    <col min="17" max="17" width="7.6640625" style="43" customWidth="1"/>
    <col min="18" max="18" width="2.33203125" style="7" customWidth="1"/>
    <col min="19" max="23" width="0" style="8" hidden="1" customWidth="1"/>
    <col min="24" max="16384" width="9.109375" style="8" hidden="1"/>
  </cols>
  <sheetData>
    <row r="1" spans="1:18" ht="11.25" customHeight="1" thickBot="1" x14ac:dyDescent="0.35">
      <c r="A1" s="226" t="s">
        <v>24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</row>
    <row r="2" spans="1:18" ht="36.75" customHeight="1" x14ac:dyDescent="0.3">
      <c r="A2" s="228"/>
      <c r="B2" s="717" t="str">
        <f>"SWAMI VIVEKANAND GOVT. MODEL SCHOOL,"&amp;DASHBOARD!C3</f>
        <v>SWAMI VIVEKANAND GOVT. MODEL SCHOOL,XXXX,  BLOCK-XXXX (RAJSAMAND)</v>
      </c>
      <c r="C2" s="718"/>
      <c r="D2" s="718"/>
      <c r="E2" s="718"/>
      <c r="F2" s="718"/>
      <c r="G2" s="718"/>
      <c r="H2" s="718"/>
      <c r="I2" s="718"/>
      <c r="J2" s="718"/>
      <c r="K2" s="718"/>
      <c r="L2" s="719"/>
      <c r="N2" s="330"/>
      <c r="O2" s="331"/>
      <c r="P2" s="331"/>
      <c r="Q2" s="332"/>
    </row>
    <row r="3" spans="1:18" ht="23.25" customHeight="1" thickBot="1" x14ac:dyDescent="0.35">
      <c r="A3" s="228"/>
      <c r="B3" s="720" t="str">
        <f>IF(DASHBOARD!B4="","",DASHBOARD!B4)</f>
        <v>SESSION  -  2025-26</v>
      </c>
      <c r="C3" s="721"/>
      <c r="D3" s="721"/>
      <c r="E3" s="721"/>
      <c r="F3" s="721"/>
      <c r="G3" s="721"/>
      <c r="H3" s="721"/>
      <c r="I3" s="721"/>
      <c r="J3" s="721"/>
      <c r="K3" s="721"/>
      <c r="L3" s="722"/>
      <c r="N3" s="330"/>
      <c r="O3" s="331"/>
      <c r="P3" s="331"/>
      <c r="Q3" s="332"/>
    </row>
    <row r="4" spans="1:18" s="18" customFormat="1" ht="27.75" customHeight="1" thickBot="1" x14ac:dyDescent="0.5">
      <c r="A4" s="229"/>
      <c r="B4" s="232"/>
      <c r="C4" s="233" t="s">
        <v>87</v>
      </c>
      <c r="D4" s="234" t="str">
        <f>DASHBOARD!B8&amp;DASHBOARD!C8</f>
        <v>9A</v>
      </c>
      <c r="E4" s="233"/>
      <c r="F4" s="234"/>
      <c r="G4" s="234"/>
      <c r="H4" s="234"/>
      <c r="I4" s="715" t="s">
        <v>149</v>
      </c>
      <c r="J4" s="715"/>
      <c r="K4" s="715"/>
      <c r="L4" s="716"/>
      <c r="M4" s="235"/>
      <c r="N4" s="236"/>
      <c r="O4" s="47"/>
      <c r="P4" s="47"/>
      <c r="Q4" s="237"/>
      <c r="R4" s="16"/>
    </row>
    <row r="5" spans="1:18" ht="97.2" customHeight="1" x14ac:dyDescent="0.3">
      <c r="A5" s="228"/>
      <c r="B5" s="304" t="s">
        <v>97</v>
      </c>
      <c r="C5" s="305" t="s">
        <v>96</v>
      </c>
      <c r="D5" s="305" t="s">
        <v>5</v>
      </c>
      <c r="E5" s="493" t="s">
        <v>304</v>
      </c>
      <c r="F5" s="305" t="s">
        <v>93</v>
      </c>
      <c r="G5" s="305" t="s">
        <v>94</v>
      </c>
      <c r="H5" s="305" t="s">
        <v>95</v>
      </c>
      <c r="I5" s="306" t="s">
        <v>140</v>
      </c>
      <c r="J5" s="306" t="s">
        <v>138</v>
      </c>
      <c r="K5" s="306" t="s">
        <v>141</v>
      </c>
      <c r="L5" s="307" t="s">
        <v>22</v>
      </c>
      <c r="M5" s="308"/>
      <c r="N5" s="309" t="s">
        <v>57</v>
      </c>
      <c r="O5" s="310" t="s">
        <v>146</v>
      </c>
      <c r="P5" s="310" t="s">
        <v>152</v>
      </c>
      <c r="Q5" s="311" t="s">
        <v>57</v>
      </c>
    </row>
    <row r="6" spans="1:18" ht="20.399999999999999" customHeight="1" x14ac:dyDescent="0.3">
      <c r="A6" s="228"/>
      <c r="B6" s="726" t="s">
        <v>303</v>
      </c>
      <c r="C6" s="727"/>
      <c r="D6" s="727"/>
      <c r="E6" s="728"/>
      <c r="F6" s="50">
        <v>10</v>
      </c>
      <c r="G6" s="50">
        <v>80</v>
      </c>
      <c r="H6" s="50">
        <v>10</v>
      </c>
      <c r="I6" s="50">
        <v>5</v>
      </c>
      <c r="J6" s="50">
        <v>5</v>
      </c>
      <c r="K6" s="50">
        <v>5</v>
      </c>
      <c r="L6" s="222">
        <v>80</v>
      </c>
      <c r="N6" s="238">
        <f>'GREEN SHEET'!AW6</f>
        <v>100</v>
      </c>
      <c r="O6" s="51" t="str">
        <f>'GREEN SHEET'!AX6</f>
        <v>A1</v>
      </c>
      <c r="P6" s="50">
        <v>80</v>
      </c>
      <c r="Q6" s="239">
        <f>'GREEN SHEET'!BA6</f>
        <v>100</v>
      </c>
    </row>
    <row r="7" spans="1:18" ht="20.399999999999999" x14ac:dyDescent="0.3">
      <c r="A7" s="230"/>
      <c r="B7" s="52">
        <v>1</v>
      </c>
      <c r="C7" s="312" t="str">
        <f>IF(DATA!E5="","",DATA!E5)</f>
        <v>ARTI PRAJAPAT</v>
      </c>
      <c r="D7" s="53">
        <f>IF(DATA!C5="","",DATA!C5)</f>
        <v>901</v>
      </c>
      <c r="E7" s="494" t="s">
        <v>1</v>
      </c>
      <c r="F7" s="54">
        <v>0</v>
      </c>
      <c r="G7" s="54">
        <v>38</v>
      </c>
      <c r="H7" s="54">
        <v>9</v>
      </c>
      <c r="I7" s="54">
        <v>5</v>
      </c>
      <c r="J7" s="54">
        <v>5</v>
      </c>
      <c r="K7" s="54">
        <v>5</v>
      </c>
      <c r="L7" s="223">
        <v>25</v>
      </c>
      <c r="N7" s="238">
        <f>'GREEN SHEET'!AW7</f>
        <v>44</v>
      </c>
      <c r="O7" s="51" t="str">
        <f>'GREEN SHEET'!AX7</f>
        <v>C2</v>
      </c>
      <c r="P7" s="50"/>
      <c r="Q7" s="239" t="str">
        <f>'GREEN SHEET'!BA7</f>
        <v/>
      </c>
    </row>
    <row r="8" spans="1:18" ht="20.399999999999999" x14ac:dyDescent="0.3">
      <c r="A8" s="230"/>
      <c r="B8" s="52">
        <v>2</v>
      </c>
      <c r="C8" s="312" t="str">
        <f>IF(DATA!E6="","",DATA!E6)</f>
        <v>ARVIND SINGH BALLA</v>
      </c>
      <c r="D8" s="53">
        <f>IF(DATA!C6="","",DATA!C6)</f>
        <v>902</v>
      </c>
      <c r="E8" s="494" t="s">
        <v>297</v>
      </c>
      <c r="F8" s="54">
        <v>10</v>
      </c>
      <c r="G8" s="54">
        <v>39</v>
      </c>
      <c r="H8" s="54">
        <v>8</v>
      </c>
      <c r="I8" s="54">
        <v>5</v>
      </c>
      <c r="J8" s="54">
        <v>5</v>
      </c>
      <c r="K8" s="54">
        <v>5</v>
      </c>
      <c r="L8" s="223">
        <v>50</v>
      </c>
      <c r="N8" s="238">
        <f>'GREEN SHEET'!AW8</f>
        <v>70</v>
      </c>
      <c r="O8" s="51" t="str">
        <f>'GREEN SHEET'!AX8</f>
        <v>B2</v>
      </c>
      <c r="P8" s="50"/>
      <c r="Q8" s="239" t="str">
        <f>'GREEN SHEET'!BA8</f>
        <v/>
      </c>
    </row>
    <row r="9" spans="1:18" ht="20.399999999999999" x14ac:dyDescent="0.3">
      <c r="A9" s="230"/>
      <c r="B9" s="52">
        <v>3</v>
      </c>
      <c r="C9" s="312" t="str">
        <f>IF(DATA!E7="","",DATA!E7)</f>
        <v>BHAVESH SINGH RAO</v>
      </c>
      <c r="D9" s="53" t="str">
        <f>IF(DATA!C7="","",DATA!C7)</f>
        <v>TC</v>
      </c>
      <c r="E9" s="494" t="s">
        <v>1</v>
      </c>
      <c r="F9" s="54">
        <v>8</v>
      </c>
      <c r="G9" s="54">
        <v>46</v>
      </c>
      <c r="H9" s="54">
        <v>7</v>
      </c>
      <c r="I9" s="54">
        <v>5</v>
      </c>
      <c r="J9" s="54">
        <v>5</v>
      </c>
      <c r="K9" s="54">
        <v>5</v>
      </c>
      <c r="L9" s="223">
        <v>50</v>
      </c>
      <c r="N9" s="238" t="str">
        <f>'GREEN SHEET'!AW9</f>
        <v/>
      </c>
      <c r="O9" s="51" t="str">
        <f>'GREEN SHEET'!AX9</f>
        <v/>
      </c>
      <c r="P9" s="50"/>
      <c r="Q9" s="239" t="str">
        <f>'GREEN SHEET'!BA9</f>
        <v/>
      </c>
    </row>
    <row r="10" spans="1:18" ht="20.399999999999999" x14ac:dyDescent="0.3">
      <c r="A10" s="230"/>
      <c r="B10" s="52">
        <v>4</v>
      </c>
      <c r="C10" s="312" t="str">
        <f>IF(DATA!E8="","",DATA!E8)</f>
        <v/>
      </c>
      <c r="D10" s="53" t="str">
        <f>IF(DATA!C8="","",DATA!C8)</f>
        <v/>
      </c>
      <c r="E10" s="494"/>
      <c r="F10" s="54"/>
      <c r="G10" s="54"/>
      <c r="H10" s="54"/>
      <c r="I10" s="54"/>
      <c r="J10" s="54"/>
      <c r="K10" s="54"/>
      <c r="L10" s="223"/>
      <c r="N10" s="238" t="str">
        <f>'GREEN SHEET'!AW10</f>
        <v/>
      </c>
      <c r="O10" s="51" t="str">
        <f>'GREEN SHEET'!AX10</f>
        <v/>
      </c>
      <c r="P10" s="50"/>
      <c r="Q10" s="239" t="str">
        <f>'GREEN SHEET'!BA10</f>
        <v/>
      </c>
    </row>
    <row r="11" spans="1:18" ht="20.399999999999999" x14ac:dyDescent="0.3">
      <c r="A11" s="230"/>
      <c r="B11" s="52">
        <v>5</v>
      </c>
      <c r="C11" s="312" t="str">
        <f>IF(DATA!E9="","",DATA!E9)</f>
        <v/>
      </c>
      <c r="D11" s="53" t="str">
        <f>IF(DATA!C9="","",DATA!C9)</f>
        <v/>
      </c>
      <c r="E11" s="494"/>
      <c r="F11" s="54"/>
      <c r="G11" s="54"/>
      <c r="H11" s="54"/>
      <c r="I11" s="54"/>
      <c r="J11" s="54"/>
      <c r="K11" s="54"/>
      <c r="L11" s="223"/>
      <c r="N11" s="238" t="str">
        <f>'GREEN SHEET'!AW11</f>
        <v/>
      </c>
      <c r="O11" s="51" t="str">
        <f>'GREEN SHEET'!AX11</f>
        <v/>
      </c>
      <c r="P11" s="50"/>
      <c r="Q11" s="239" t="str">
        <f>'GREEN SHEET'!BA11</f>
        <v/>
      </c>
    </row>
    <row r="12" spans="1:18" ht="20.399999999999999" x14ac:dyDescent="0.3">
      <c r="A12" s="230"/>
      <c r="B12" s="52">
        <v>6</v>
      </c>
      <c r="C12" s="312" t="str">
        <f>IF(DATA!E10="","",DATA!E10)</f>
        <v/>
      </c>
      <c r="D12" s="53" t="str">
        <f>IF(DATA!C10="","",DATA!C10)</f>
        <v/>
      </c>
      <c r="E12" s="494"/>
      <c r="F12" s="54"/>
      <c r="G12" s="54"/>
      <c r="H12" s="54"/>
      <c r="I12" s="54"/>
      <c r="J12" s="54"/>
      <c r="K12" s="54"/>
      <c r="L12" s="223"/>
      <c r="N12" s="238" t="str">
        <f>'GREEN SHEET'!AW12</f>
        <v/>
      </c>
      <c r="O12" s="51" t="str">
        <f>'GREEN SHEET'!AX12</f>
        <v/>
      </c>
      <c r="P12" s="50"/>
      <c r="Q12" s="239" t="str">
        <f>'GREEN SHEET'!BA12</f>
        <v/>
      </c>
    </row>
    <row r="13" spans="1:18" ht="20.399999999999999" x14ac:dyDescent="0.3">
      <c r="A13" s="230"/>
      <c r="B13" s="52">
        <v>7</v>
      </c>
      <c r="C13" s="312" t="str">
        <f>IF(DATA!E11="","",DATA!E11)</f>
        <v/>
      </c>
      <c r="D13" s="53" t="str">
        <f>IF(DATA!C11="","",DATA!C11)</f>
        <v/>
      </c>
      <c r="E13" s="494"/>
      <c r="F13" s="54"/>
      <c r="G13" s="54"/>
      <c r="H13" s="54"/>
      <c r="I13" s="54"/>
      <c r="J13" s="54"/>
      <c r="K13" s="54"/>
      <c r="L13" s="223"/>
      <c r="N13" s="238" t="str">
        <f>'GREEN SHEET'!AW13</f>
        <v/>
      </c>
      <c r="O13" s="51" t="str">
        <f>'GREEN SHEET'!AX13</f>
        <v/>
      </c>
      <c r="P13" s="50"/>
      <c r="Q13" s="239" t="str">
        <f>'GREEN SHEET'!BA13</f>
        <v/>
      </c>
    </row>
    <row r="14" spans="1:18" ht="20.399999999999999" x14ac:dyDescent="0.3">
      <c r="A14" s="230"/>
      <c r="B14" s="52">
        <v>8</v>
      </c>
      <c r="C14" s="312" t="str">
        <f>IF(DATA!E12="","",DATA!E12)</f>
        <v/>
      </c>
      <c r="D14" s="53" t="str">
        <f>IF(DATA!C12="","",DATA!C12)</f>
        <v/>
      </c>
      <c r="E14" s="494"/>
      <c r="F14" s="54"/>
      <c r="G14" s="54"/>
      <c r="H14" s="54"/>
      <c r="I14" s="54"/>
      <c r="J14" s="54"/>
      <c r="K14" s="54"/>
      <c r="L14" s="223"/>
      <c r="N14" s="238" t="str">
        <f>'GREEN SHEET'!AW14</f>
        <v/>
      </c>
      <c r="O14" s="51" t="str">
        <f>'GREEN SHEET'!AX14</f>
        <v/>
      </c>
      <c r="P14" s="50"/>
      <c r="Q14" s="239" t="str">
        <f>'GREEN SHEET'!BA14</f>
        <v/>
      </c>
    </row>
    <row r="15" spans="1:18" ht="20.399999999999999" x14ac:dyDescent="0.3">
      <c r="A15" s="230"/>
      <c r="B15" s="52">
        <v>9</v>
      </c>
      <c r="C15" s="312" t="str">
        <f>IF(DATA!E13="","",DATA!E13)</f>
        <v/>
      </c>
      <c r="D15" s="53" t="str">
        <f>IF(DATA!C13="","",DATA!C13)</f>
        <v/>
      </c>
      <c r="E15" s="494"/>
      <c r="F15" s="54"/>
      <c r="G15" s="54"/>
      <c r="H15" s="54"/>
      <c r="I15" s="54"/>
      <c r="J15" s="54"/>
      <c r="K15" s="54"/>
      <c r="L15" s="223"/>
      <c r="N15" s="238" t="str">
        <f>'GREEN SHEET'!AW15</f>
        <v/>
      </c>
      <c r="O15" s="51" t="str">
        <f>'GREEN SHEET'!AX15</f>
        <v/>
      </c>
      <c r="P15" s="50"/>
      <c r="Q15" s="239" t="str">
        <f>'GREEN SHEET'!BA15</f>
        <v/>
      </c>
    </row>
    <row r="16" spans="1:18" ht="20.399999999999999" x14ac:dyDescent="0.3">
      <c r="A16" s="230"/>
      <c r="B16" s="52">
        <v>10</v>
      </c>
      <c r="C16" s="312" t="str">
        <f>IF(DATA!E14="","",DATA!E14)</f>
        <v/>
      </c>
      <c r="D16" s="53" t="str">
        <f>IF(DATA!C14="","",DATA!C14)</f>
        <v/>
      </c>
      <c r="E16" s="494"/>
      <c r="F16" s="54"/>
      <c r="G16" s="54"/>
      <c r="H16" s="54"/>
      <c r="I16" s="54"/>
      <c r="J16" s="54"/>
      <c r="K16" s="54"/>
      <c r="L16" s="223"/>
      <c r="N16" s="238" t="str">
        <f>'GREEN SHEET'!AW16</f>
        <v/>
      </c>
      <c r="O16" s="51" t="str">
        <f>'GREEN SHEET'!AX16</f>
        <v/>
      </c>
      <c r="P16" s="50"/>
      <c r="Q16" s="239" t="str">
        <f>'GREEN SHEET'!BA16</f>
        <v/>
      </c>
    </row>
    <row r="17" spans="1:17" ht="20.399999999999999" x14ac:dyDescent="0.3">
      <c r="A17" s="230"/>
      <c r="B17" s="52">
        <v>11</v>
      </c>
      <c r="C17" s="312" t="str">
        <f>IF(DATA!E15="","",DATA!E15)</f>
        <v/>
      </c>
      <c r="D17" s="53" t="str">
        <f>IF(DATA!C15="","",DATA!C15)</f>
        <v/>
      </c>
      <c r="E17" s="494"/>
      <c r="F17" s="54"/>
      <c r="G17" s="54"/>
      <c r="H17" s="54"/>
      <c r="I17" s="54"/>
      <c r="J17" s="54"/>
      <c r="K17" s="54"/>
      <c r="L17" s="223"/>
      <c r="N17" s="238" t="str">
        <f>'GREEN SHEET'!AW17</f>
        <v/>
      </c>
      <c r="O17" s="51" t="str">
        <f>'GREEN SHEET'!AX17</f>
        <v/>
      </c>
      <c r="P17" s="50"/>
      <c r="Q17" s="239" t="str">
        <f>'GREEN SHEET'!BA17</f>
        <v/>
      </c>
    </row>
    <row r="18" spans="1:17" ht="20.399999999999999" x14ac:dyDescent="0.3">
      <c r="A18" s="230"/>
      <c r="B18" s="52">
        <v>12</v>
      </c>
      <c r="C18" s="312" t="str">
        <f>IF(DATA!E16="","",DATA!E16)</f>
        <v/>
      </c>
      <c r="D18" s="53" t="str">
        <f>IF(DATA!C16="","",DATA!C16)</f>
        <v/>
      </c>
      <c r="E18" s="494"/>
      <c r="F18" s="54"/>
      <c r="G18" s="54"/>
      <c r="H18" s="54"/>
      <c r="I18" s="54"/>
      <c r="J18" s="54"/>
      <c r="K18" s="54"/>
      <c r="L18" s="223"/>
      <c r="N18" s="238" t="str">
        <f>'GREEN SHEET'!AW18</f>
        <v/>
      </c>
      <c r="O18" s="51" t="str">
        <f>'GREEN SHEET'!AX18</f>
        <v/>
      </c>
      <c r="P18" s="50"/>
      <c r="Q18" s="239" t="str">
        <f>'GREEN SHEET'!BA18</f>
        <v/>
      </c>
    </row>
    <row r="19" spans="1:17" ht="20.399999999999999" x14ac:dyDescent="0.3">
      <c r="A19" s="230"/>
      <c r="B19" s="52">
        <v>13</v>
      </c>
      <c r="C19" s="312" t="str">
        <f>IF(DATA!E17="","",DATA!E17)</f>
        <v/>
      </c>
      <c r="D19" s="53" t="str">
        <f>IF(DATA!C17="","",DATA!C17)</f>
        <v/>
      </c>
      <c r="E19" s="494"/>
      <c r="F19" s="54"/>
      <c r="G19" s="54"/>
      <c r="H19" s="54"/>
      <c r="I19" s="54"/>
      <c r="J19" s="54"/>
      <c r="K19" s="54"/>
      <c r="L19" s="223"/>
      <c r="N19" s="238" t="str">
        <f>'GREEN SHEET'!AW19</f>
        <v/>
      </c>
      <c r="O19" s="51" t="str">
        <f>'GREEN SHEET'!AX19</f>
        <v/>
      </c>
      <c r="P19" s="50"/>
      <c r="Q19" s="239" t="str">
        <f>'GREEN SHEET'!BA19</f>
        <v/>
      </c>
    </row>
    <row r="20" spans="1:17" ht="20.399999999999999" x14ac:dyDescent="0.3">
      <c r="A20" s="230"/>
      <c r="B20" s="52">
        <v>14</v>
      </c>
      <c r="C20" s="312" t="str">
        <f>IF(DATA!E18="","",DATA!E18)</f>
        <v/>
      </c>
      <c r="D20" s="53" t="str">
        <f>IF(DATA!C18="","",DATA!C18)</f>
        <v/>
      </c>
      <c r="E20" s="494"/>
      <c r="F20" s="54"/>
      <c r="G20" s="54"/>
      <c r="H20" s="54"/>
      <c r="I20" s="54"/>
      <c r="J20" s="54"/>
      <c r="K20" s="54"/>
      <c r="L20" s="223"/>
      <c r="N20" s="238" t="str">
        <f>'GREEN SHEET'!AW20</f>
        <v/>
      </c>
      <c r="O20" s="51" t="str">
        <f>'GREEN SHEET'!AX20</f>
        <v/>
      </c>
      <c r="P20" s="50"/>
      <c r="Q20" s="239" t="str">
        <f>'GREEN SHEET'!BA20</f>
        <v/>
      </c>
    </row>
    <row r="21" spans="1:17" ht="20.399999999999999" x14ac:dyDescent="0.3">
      <c r="A21" s="230"/>
      <c r="B21" s="52">
        <v>15</v>
      </c>
      <c r="C21" s="312" t="str">
        <f>IF(DATA!E19="","",DATA!E19)</f>
        <v/>
      </c>
      <c r="D21" s="53" t="str">
        <f>IF(DATA!C19="","",DATA!C19)</f>
        <v/>
      </c>
      <c r="E21" s="494"/>
      <c r="F21" s="54"/>
      <c r="G21" s="54"/>
      <c r="H21" s="54"/>
      <c r="I21" s="54"/>
      <c r="J21" s="54"/>
      <c r="K21" s="54"/>
      <c r="L21" s="223"/>
      <c r="N21" s="238" t="str">
        <f>'GREEN SHEET'!AW21</f>
        <v/>
      </c>
      <c r="O21" s="51" t="str">
        <f>'GREEN SHEET'!AX21</f>
        <v/>
      </c>
      <c r="P21" s="50"/>
      <c r="Q21" s="239" t="str">
        <f>'GREEN SHEET'!BA21</f>
        <v/>
      </c>
    </row>
    <row r="22" spans="1:17" ht="20.399999999999999" x14ac:dyDescent="0.3">
      <c r="A22" s="230"/>
      <c r="B22" s="52">
        <v>16</v>
      </c>
      <c r="C22" s="312" t="str">
        <f>IF(DATA!E20="","",DATA!E20)</f>
        <v/>
      </c>
      <c r="D22" s="53" t="str">
        <f>IF(DATA!C20="","",DATA!C20)</f>
        <v/>
      </c>
      <c r="E22" s="494"/>
      <c r="F22" s="54"/>
      <c r="G22" s="54"/>
      <c r="H22" s="54"/>
      <c r="I22" s="54"/>
      <c r="J22" s="54"/>
      <c r="K22" s="54"/>
      <c r="L22" s="223"/>
      <c r="N22" s="238" t="str">
        <f>'GREEN SHEET'!AW22</f>
        <v/>
      </c>
      <c r="O22" s="51" t="str">
        <f>'GREEN SHEET'!AX22</f>
        <v/>
      </c>
      <c r="P22" s="50"/>
      <c r="Q22" s="239" t="str">
        <f>'GREEN SHEET'!BA22</f>
        <v/>
      </c>
    </row>
    <row r="23" spans="1:17" ht="20.399999999999999" x14ac:dyDescent="0.3">
      <c r="A23" s="230"/>
      <c r="B23" s="52">
        <v>17</v>
      </c>
      <c r="C23" s="312" t="str">
        <f>IF(DATA!E21="","",DATA!E21)</f>
        <v/>
      </c>
      <c r="D23" s="53" t="str">
        <f>IF(DATA!C21="","",DATA!C21)</f>
        <v/>
      </c>
      <c r="E23" s="494"/>
      <c r="F23" s="54"/>
      <c r="G23" s="54"/>
      <c r="H23" s="54"/>
      <c r="I23" s="54"/>
      <c r="J23" s="54"/>
      <c r="K23" s="54"/>
      <c r="L23" s="223"/>
      <c r="N23" s="238" t="str">
        <f>'GREEN SHEET'!AW23</f>
        <v/>
      </c>
      <c r="O23" s="51" t="str">
        <f>'GREEN SHEET'!AX23</f>
        <v/>
      </c>
      <c r="P23" s="50"/>
      <c r="Q23" s="239" t="str">
        <f>'GREEN SHEET'!BA23</f>
        <v/>
      </c>
    </row>
    <row r="24" spans="1:17" ht="20.399999999999999" x14ac:dyDescent="0.3">
      <c r="A24" s="230"/>
      <c r="B24" s="52">
        <v>18</v>
      </c>
      <c r="C24" s="312" t="str">
        <f>IF(DATA!E22="","",DATA!E22)</f>
        <v/>
      </c>
      <c r="D24" s="53" t="str">
        <f>IF(DATA!C22="","",DATA!C22)</f>
        <v/>
      </c>
      <c r="E24" s="494"/>
      <c r="F24" s="54"/>
      <c r="G24" s="54"/>
      <c r="H24" s="54"/>
      <c r="I24" s="54"/>
      <c r="J24" s="54"/>
      <c r="K24" s="54"/>
      <c r="L24" s="223"/>
      <c r="N24" s="238" t="str">
        <f>'GREEN SHEET'!AW24</f>
        <v/>
      </c>
      <c r="O24" s="51" t="str">
        <f>'GREEN SHEET'!AX24</f>
        <v/>
      </c>
      <c r="P24" s="50"/>
      <c r="Q24" s="239" t="str">
        <f>'GREEN SHEET'!BA24</f>
        <v/>
      </c>
    </row>
    <row r="25" spans="1:17" ht="20.399999999999999" x14ac:dyDescent="0.3">
      <c r="A25" s="230"/>
      <c r="B25" s="52">
        <v>19</v>
      </c>
      <c r="C25" s="312" t="str">
        <f>IF(DATA!E23="","",DATA!E23)</f>
        <v/>
      </c>
      <c r="D25" s="53" t="str">
        <f>IF(DATA!C23="","",DATA!C23)</f>
        <v/>
      </c>
      <c r="E25" s="494"/>
      <c r="F25" s="54"/>
      <c r="G25" s="54"/>
      <c r="H25" s="54"/>
      <c r="I25" s="54"/>
      <c r="J25" s="54"/>
      <c r="K25" s="54"/>
      <c r="L25" s="223"/>
      <c r="N25" s="238" t="str">
        <f>'GREEN SHEET'!AW25</f>
        <v/>
      </c>
      <c r="O25" s="51" t="str">
        <f>'GREEN SHEET'!AX25</f>
        <v/>
      </c>
      <c r="P25" s="50"/>
      <c r="Q25" s="239" t="str">
        <f>'GREEN SHEET'!BA25</f>
        <v/>
      </c>
    </row>
    <row r="26" spans="1:17" ht="20.399999999999999" x14ac:dyDescent="0.3">
      <c r="A26" s="230"/>
      <c r="B26" s="52">
        <v>20</v>
      </c>
      <c r="C26" s="312" t="str">
        <f>IF(DATA!E24="","",DATA!E24)</f>
        <v/>
      </c>
      <c r="D26" s="53" t="str">
        <f>IF(DATA!C24="","",DATA!C24)</f>
        <v/>
      </c>
      <c r="E26" s="494"/>
      <c r="F26" s="54"/>
      <c r="G26" s="54"/>
      <c r="H26" s="54"/>
      <c r="I26" s="54"/>
      <c r="J26" s="54"/>
      <c r="K26" s="54"/>
      <c r="L26" s="223"/>
      <c r="N26" s="238" t="str">
        <f>'GREEN SHEET'!AW26</f>
        <v/>
      </c>
      <c r="O26" s="51" t="str">
        <f>'GREEN SHEET'!AX26</f>
        <v/>
      </c>
      <c r="P26" s="50"/>
      <c r="Q26" s="239" t="str">
        <f>'GREEN SHEET'!BA26</f>
        <v/>
      </c>
    </row>
    <row r="27" spans="1:17" ht="20.399999999999999" x14ac:dyDescent="0.3">
      <c r="A27" s="230"/>
      <c r="B27" s="52">
        <v>21</v>
      </c>
      <c r="C27" s="312" t="str">
        <f>IF(DATA!E25="","",DATA!E25)</f>
        <v/>
      </c>
      <c r="D27" s="53" t="str">
        <f>IF(DATA!C25="","",DATA!C25)</f>
        <v/>
      </c>
      <c r="E27" s="494"/>
      <c r="F27" s="54"/>
      <c r="G27" s="54"/>
      <c r="H27" s="54"/>
      <c r="I27" s="54"/>
      <c r="J27" s="54"/>
      <c r="K27" s="54"/>
      <c r="L27" s="223"/>
      <c r="N27" s="238" t="str">
        <f>'GREEN SHEET'!AW27</f>
        <v/>
      </c>
      <c r="O27" s="51" t="str">
        <f>'GREEN SHEET'!AX27</f>
        <v/>
      </c>
      <c r="P27" s="50"/>
      <c r="Q27" s="239" t="str">
        <f>'GREEN SHEET'!BA27</f>
        <v/>
      </c>
    </row>
    <row r="28" spans="1:17" ht="20.399999999999999" x14ac:dyDescent="0.3">
      <c r="A28" s="230"/>
      <c r="B28" s="52">
        <v>22</v>
      </c>
      <c r="C28" s="312" t="str">
        <f>IF(DATA!E26="","",DATA!E26)</f>
        <v/>
      </c>
      <c r="D28" s="53" t="str">
        <f>IF(DATA!C26="","",DATA!C26)</f>
        <v/>
      </c>
      <c r="E28" s="494"/>
      <c r="F28" s="54"/>
      <c r="G28" s="54"/>
      <c r="H28" s="54"/>
      <c r="I28" s="54"/>
      <c r="J28" s="54"/>
      <c r="K28" s="54"/>
      <c r="L28" s="223"/>
      <c r="N28" s="238" t="str">
        <f>'GREEN SHEET'!AW28</f>
        <v/>
      </c>
      <c r="O28" s="51" t="str">
        <f>'GREEN SHEET'!AX28</f>
        <v/>
      </c>
      <c r="P28" s="50"/>
      <c r="Q28" s="239" t="str">
        <f>'GREEN SHEET'!BA28</f>
        <v/>
      </c>
    </row>
    <row r="29" spans="1:17" ht="20.399999999999999" x14ac:dyDescent="0.3">
      <c r="A29" s="230"/>
      <c r="B29" s="52">
        <v>23</v>
      </c>
      <c r="C29" s="312" t="str">
        <f>IF(DATA!E27="","",DATA!E27)</f>
        <v/>
      </c>
      <c r="D29" s="53" t="str">
        <f>IF(DATA!C27="","",DATA!C27)</f>
        <v/>
      </c>
      <c r="E29" s="494"/>
      <c r="F29" s="54"/>
      <c r="G29" s="54"/>
      <c r="H29" s="54"/>
      <c r="I29" s="54"/>
      <c r="J29" s="54"/>
      <c r="K29" s="54"/>
      <c r="L29" s="223"/>
      <c r="N29" s="238" t="str">
        <f>'GREEN SHEET'!AW29</f>
        <v/>
      </c>
      <c r="O29" s="51" t="str">
        <f>'GREEN SHEET'!AX29</f>
        <v/>
      </c>
      <c r="P29" s="50"/>
      <c r="Q29" s="239" t="str">
        <f>'GREEN SHEET'!BA29</f>
        <v/>
      </c>
    </row>
    <row r="30" spans="1:17" ht="20.399999999999999" x14ac:dyDescent="0.3">
      <c r="A30" s="230"/>
      <c r="B30" s="52">
        <v>24</v>
      </c>
      <c r="C30" s="312" t="str">
        <f>IF(DATA!E28="","",DATA!E28)</f>
        <v/>
      </c>
      <c r="D30" s="53" t="str">
        <f>IF(DATA!C28="","",DATA!C28)</f>
        <v/>
      </c>
      <c r="E30" s="494"/>
      <c r="F30" s="54"/>
      <c r="G30" s="54"/>
      <c r="H30" s="54"/>
      <c r="I30" s="54"/>
      <c r="J30" s="54"/>
      <c r="K30" s="54"/>
      <c r="L30" s="223"/>
      <c r="N30" s="238" t="str">
        <f>'GREEN SHEET'!AW30</f>
        <v/>
      </c>
      <c r="O30" s="51" t="str">
        <f>'GREEN SHEET'!AX30</f>
        <v/>
      </c>
      <c r="P30" s="50"/>
      <c r="Q30" s="239" t="str">
        <f>'GREEN SHEET'!BA30</f>
        <v/>
      </c>
    </row>
    <row r="31" spans="1:17" ht="20.399999999999999" x14ac:dyDescent="0.3">
      <c r="A31" s="230"/>
      <c r="B31" s="52">
        <v>25</v>
      </c>
      <c r="C31" s="312" t="str">
        <f>IF(DATA!E29="","",DATA!E29)</f>
        <v/>
      </c>
      <c r="D31" s="53" t="str">
        <f>IF(DATA!C29="","",DATA!C29)</f>
        <v/>
      </c>
      <c r="E31" s="494"/>
      <c r="F31" s="54"/>
      <c r="G31" s="54"/>
      <c r="H31" s="54"/>
      <c r="I31" s="54"/>
      <c r="J31" s="54"/>
      <c r="K31" s="54"/>
      <c r="L31" s="223"/>
      <c r="N31" s="238" t="str">
        <f>'GREEN SHEET'!AW31</f>
        <v/>
      </c>
      <c r="O31" s="51" t="str">
        <f>'GREEN SHEET'!AX31</f>
        <v/>
      </c>
      <c r="P31" s="50"/>
      <c r="Q31" s="239" t="str">
        <f>'GREEN SHEET'!BA31</f>
        <v/>
      </c>
    </row>
    <row r="32" spans="1:17" ht="20.399999999999999" x14ac:dyDescent="0.3">
      <c r="A32" s="230"/>
      <c r="B32" s="52">
        <v>26</v>
      </c>
      <c r="C32" s="312" t="str">
        <f>IF(DATA!E30="","",DATA!E30)</f>
        <v/>
      </c>
      <c r="D32" s="53" t="str">
        <f>IF(DATA!C30="","",DATA!C30)</f>
        <v/>
      </c>
      <c r="E32" s="494"/>
      <c r="F32" s="54"/>
      <c r="G32" s="54"/>
      <c r="H32" s="54"/>
      <c r="I32" s="54"/>
      <c r="J32" s="54"/>
      <c r="K32" s="54"/>
      <c r="L32" s="223"/>
      <c r="N32" s="238" t="str">
        <f>'GREEN SHEET'!AW32</f>
        <v/>
      </c>
      <c r="O32" s="51" t="str">
        <f>'GREEN SHEET'!AX32</f>
        <v/>
      </c>
      <c r="P32" s="50"/>
      <c r="Q32" s="239" t="str">
        <f>'GREEN SHEET'!BA32</f>
        <v/>
      </c>
    </row>
    <row r="33" spans="1:17" ht="20.399999999999999" x14ac:dyDescent="0.3">
      <c r="A33" s="230"/>
      <c r="B33" s="52">
        <v>27</v>
      </c>
      <c r="C33" s="312" t="str">
        <f>IF(DATA!E31="","",DATA!E31)</f>
        <v/>
      </c>
      <c r="D33" s="53" t="str">
        <f>IF(DATA!C31="","",DATA!C31)</f>
        <v/>
      </c>
      <c r="E33" s="494"/>
      <c r="F33" s="54"/>
      <c r="G33" s="54"/>
      <c r="H33" s="54"/>
      <c r="I33" s="54"/>
      <c r="J33" s="54"/>
      <c r="K33" s="54"/>
      <c r="L33" s="223"/>
      <c r="N33" s="238" t="str">
        <f>'GREEN SHEET'!AW33</f>
        <v/>
      </c>
      <c r="O33" s="51" t="str">
        <f>'GREEN SHEET'!AX33</f>
        <v/>
      </c>
      <c r="P33" s="50"/>
      <c r="Q33" s="239" t="str">
        <f>'GREEN SHEET'!BA33</f>
        <v/>
      </c>
    </row>
    <row r="34" spans="1:17" ht="20.399999999999999" x14ac:dyDescent="0.3">
      <c r="A34" s="230"/>
      <c r="B34" s="52">
        <v>28</v>
      </c>
      <c r="C34" s="312" t="str">
        <f>IF(DATA!E32="","",DATA!E32)</f>
        <v/>
      </c>
      <c r="D34" s="53" t="str">
        <f>IF(DATA!C32="","",DATA!C32)</f>
        <v/>
      </c>
      <c r="E34" s="494"/>
      <c r="F34" s="54"/>
      <c r="G34" s="54"/>
      <c r="H34" s="54"/>
      <c r="I34" s="54"/>
      <c r="J34" s="54"/>
      <c r="K34" s="54"/>
      <c r="L34" s="223"/>
      <c r="N34" s="238" t="str">
        <f>'GREEN SHEET'!AW34</f>
        <v/>
      </c>
      <c r="O34" s="51" t="str">
        <f>'GREEN SHEET'!AX34</f>
        <v/>
      </c>
      <c r="P34" s="50"/>
      <c r="Q34" s="239" t="str">
        <f>'GREEN SHEET'!BA34</f>
        <v/>
      </c>
    </row>
    <row r="35" spans="1:17" ht="20.399999999999999" x14ac:dyDescent="0.3">
      <c r="A35" s="230"/>
      <c r="B35" s="52">
        <v>29</v>
      </c>
      <c r="C35" s="312" t="str">
        <f>IF(DATA!E33="","",DATA!E33)</f>
        <v/>
      </c>
      <c r="D35" s="53" t="str">
        <f>IF(DATA!C33="","",DATA!C33)</f>
        <v/>
      </c>
      <c r="E35" s="494"/>
      <c r="F35" s="54"/>
      <c r="G35" s="54"/>
      <c r="H35" s="54"/>
      <c r="I35" s="54"/>
      <c r="J35" s="54"/>
      <c r="K35" s="54"/>
      <c r="L35" s="223"/>
      <c r="N35" s="238" t="str">
        <f>'GREEN SHEET'!AW35</f>
        <v/>
      </c>
      <c r="O35" s="51" t="str">
        <f>'GREEN SHEET'!AX35</f>
        <v/>
      </c>
      <c r="P35" s="50"/>
      <c r="Q35" s="239" t="str">
        <f>'GREEN SHEET'!BA35</f>
        <v/>
      </c>
    </row>
    <row r="36" spans="1:17" ht="20.399999999999999" x14ac:dyDescent="0.3">
      <c r="A36" s="230"/>
      <c r="B36" s="52">
        <v>30</v>
      </c>
      <c r="C36" s="312" t="str">
        <f>IF(DATA!E34="","",DATA!E34)</f>
        <v/>
      </c>
      <c r="D36" s="53" t="str">
        <f>IF(DATA!C34="","",DATA!C34)</f>
        <v/>
      </c>
      <c r="E36" s="494"/>
      <c r="F36" s="54"/>
      <c r="G36" s="54"/>
      <c r="H36" s="54"/>
      <c r="I36" s="54"/>
      <c r="J36" s="54"/>
      <c r="K36" s="54"/>
      <c r="L36" s="223"/>
      <c r="N36" s="238" t="str">
        <f>'GREEN SHEET'!AW36</f>
        <v/>
      </c>
      <c r="O36" s="51" t="str">
        <f>'GREEN SHEET'!AX36</f>
        <v/>
      </c>
      <c r="P36" s="50"/>
      <c r="Q36" s="239" t="str">
        <f>'GREEN SHEET'!BA36</f>
        <v/>
      </c>
    </row>
    <row r="37" spans="1:17" ht="20.399999999999999" x14ac:dyDescent="0.3">
      <c r="A37" s="230"/>
      <c r="B37" s="52">
        <v>31</v>
      </c>
      <c r="C37" s="312" t="str">
        <f>IF(DATA!E35="","",DATA!E35)</f>
        <v/>
      </c>
      <c r="D37" s="53" t="str">
        <f>IF(DATA!C35="","",DATA!C35)</f>
        <v/>
      </c>
      <c r="E37" s="494"/>
      <c r="F37" s="54"/>
      <c r="G37" s="54"/>
      <c r="H37" s="54"/>
      <c r="I37" s="54"/>
      <c r="J37" s="54"/>
      <c r="K37" s="54"/>
      <c r="L37" s="223"/>
      <c r="N37" s="238" t="str">
        <f>'GREEN SHEET'!AW37</f>
        <v/>
      </c>
      <c r="O37" s="51" t="str">
        <f>'GREEN SHEET'!AX37</f>
        <v/>
      </c>
      <c r="P37" s="50"/>
      <c r="Q37" s="239" t="str">
        <f>'GREEN SHEET'!BA37</f>
        <v/>
      </c>
    </row>
    <row r="38" spans="1:17" ht="20.399999999999999" x14ac:dyDescent="0.3">
      <c r="A38" s="230"/>
      <c r="B38" s="52">
        <v>32</v>
      </c>
      <c r="C38" s="312" t="str">
        <f>IF(DATA!E36="","",DATA!E36)</f>
        <v/>
      </c>
      <c r="D38" s="53" t="str">
        <f>IF(DATA!C36="","",DATA!C36)</f>
        <v/>
      </c>
      <c r="E38" s="494"/>
      <c r="F38" s="54"/>
      <c r="G38" s="54"/>
      <c r="H38" s="54"/>
      <c r="I38" s="54"/>
      <c r="J38" s="54"/>
      <c r="K38" s="54"/>
      <c r="L38" s="223"/>
      <c r="N38" s="238" t="str">
        <f>'GREEN SHEET'!AW38</f>
        <v/>
      </c>
      <c r="O38" s="51" t="str">
        <f>'GREEN SHEET'!AX38</f>
        <v/>
      </c>
      <c r="P38" s="50"/>
      <c r="Q38" s="239" t="str">
        <f>'GREEN SHEET'!BA38</f>
        <v/>
      </c>
    </row>
    <row r="39" spans="1:17" ht="20.399999999999999" x14ac:dyDescent="0.3">
      <c r="A39" s="230"/>
      <c r="B39" s="52">
        <v>33</v>
      </c>
      <c r="C39" s="312" t="str">
        <f>IF(DATA!E37="","",DATA!E37)</f>
        <v/>
      </c>
      <c r="D39" s="53" t="str">
        <f>IF(DATA!C37="","",DATA!C37)</f>
        <v/>
      </c>
      <c r="E39" s="494"/>
      <c r="F39" s="54"/>
      <c r="G39" s="54"/>
      <c r="H39" s="54"/>
      <c r="I39" s="54"/>
      <c r="J39" s="54"/>
      <c r="K39" s="54"/>
      <c r="L39" s="223"/>
      <c r="N39" s="238" t="str">
        <f>'GREEN SHEET'!AW39</f>
        <v/>
      </c>
      <c r="O39" s="51" t="str">
        <f>'GREEN SHEET'!AX39</f>
        <v/>
      </c>
      <c r="P39" s="50"/>
      <c r="Q39" s="239" t="str">
        <f>'GREEN SHEET'!BA39</f>
        <v/>
      </c>
    </row>
    <row r="40" spans="1:17" ht="20.399999999999999" x14ac:dyDescent="0.3">
      <c r="A40" s="230"/>
      <c r="B40" s="52">
        <v>34</v>
      </c>
      <c r="C40" s="312" t="str">
        <f>IF(DATA!E38="","",DATA!E38)</f>
        <v/>
      </c>
      <c r="D40" s="53" t="str">
        <f>IF(DATA!C38="","",DATA!C38)</f>
        <v/>
      </c>
      <c r="E40" s="494"/>
      <c r="F40" s="54"/>
      <c r="G40" s="54"/>
      <c r="H40" s="54"/>
      <c r="I40" s="54"/>
      <c r="J40" s="54"/>
      <c r="K40" s="54"/>
      <c r="L40" s="223"/>
      <c r="N40" s="238" t="str">
        <f>'GREEN SHEET'!AW40</f>
        <v/>
      </c>
      <c r="O40" s="51" t="str">
        <f>'GREEN SHEET'!AX40</f>
        <v/>
      </c>
      <c r="P40" s="50"/>
      <c r="Q40" s="239" t="str">
        <f>'GREEN SHEET'!BA40</f>
        <v/>
      </c>
    </row>
    <row r="41" spans="1:17" ht="20.399999999999999" x14ac:dyDescent="0.3">
      <c r="A41" s="230"/>
      <c r="B41" s="52">
        <v>35</v>
      </c>
      <c r="C41" s="312" t="str">
        <f>IF(DATA!E39="","",DATA!E39)</f>
        <v/>
      </c>
      <c r="D41" s="53" t="str">
        <f>IF(DATA!C39="","",DATA!C39)</f>
        <v/>
      </c>
      <c r="E41" s="494"/>
      <c r="F41" s="54"/>
      <c r="G41" s="54"/>
      <c r="H41" s="54"/>
      <c r="I41" s="54"/>
      <c r="J41" s="54"/>
      <c r="K41" s="54"/>
      <c r="L41" s="223"/>
      <c r="N41" s="238" t="str">
        <f>'GREEN SHEET'!AW41</f>
        <v/>
      </c>
      <c r="O41" s="51" t="str">
        <f>'GREEN SHEET'!AX41</f>
        <v/>
      </c>
      <c r="P41" s="50"/>
      <c r="Q41" s="239" t="str">
        <f>'GREEN SHEET'!BA41</f>
        <v/>
      </c>
    </row>
    <row r="42" spans="1:17" ht="20.399999999999999" x14ac:dyDescent="0.3">
      <c r="A42" s="230"/>
      <c r="B42" s="52">
        <v>36</v>
      </c>
      <c r="C42" s="312" t="str">
        <f>IF(DATA!E40="","",DATA!E40)</f>
        <v/>
      </c>
      <c r="D42" s="53" t="str">
        <f>IF(DATA!C40="","",DATA!C40)</f>
        <v/>
      </c>
      <c r="E42" s="494"/>
      <c r="F42" s="54"/>
      <c r="G42" s="54"/>
      <c r="H42" s="54"/>
      <c r="I42" s="54"/>
      <c r="J42" s="54"/>
      <c r="K42" s="54"/>
      <c r="L42" s="223"/>
      <c r="N42" s="238" t="str">
        <f>'GREEN SHEET'!AW42</f>
        <v/>
      </c>
      <c r="O42" s="51" t="str">
        <f>'GREEN SHEET'!AX42</f>
        <v/>
      </c>
      <c r="P42" s="50"/>
      <c r="Q42" s="239" t="str">
        <f>'GREEN SHEET'!BA42</f>
        <v/>
      </c>
    </row>
    <row r="43" spans="1:17" ht="20.399999999999999" x14ac:dyDescent="0.3">
      <c r="A43" s="230"/>
      <c r="B43" s="52">
        <v>37</v>
      </c>
      <c r="C43" s="312" t="str">
        <f>IF(DATA!E41="","",DATA!E41)</f>
        <v/>
      </c>
      <c r="D43" s="53" t="str">
        <f>IF(DATA!C41="","",DATA!C41)</f>
        <v/>
      </c>
      <c r="E43" s="494"/>
      <c r="F43" s="54"/>
      <c r="G43" s="54"/>
      <c r="H43" s="54"/>
      <c r="I43" s="54"/>
      <c r="J43" s="54"/>
      <c r="K43" s="54"/>
      <c r="L43" s="223"/>
      <c r="N43" s="238" t="str">
        <f>'GREEN SHEET'!AW43</f>
        <v/>
      </c>
      <c r="O43" s="51" t="str">
        <f>'GREEN SHEET'!AX43</f>
        <v/>
      </c>
      <c r="P43" s="50"/>
      <c r="Q43" s="239" t="str">
        <f>'GREEN SHEET'!BA43</f>
        <v/>
      </c>
    </row>
    <row r="44" spans="1:17" ht="20.399999999999999" x14ac:dyDescent="0.3">
      <c r="A44" s="230"/>
      <c r="B44" s="52">
        <v>38</v>
      </c>
      <c r="C44" s="312" t="str">
        <f>IF(DATA!E42="","",DATA!E42)</f>
        <v/>
      </c>
      <c r="D44" s="53" t="str">
        <f>IF(DATA!C42="","",DATA!C42)</f>
        <v/>
      </c>
      <c r="E44" s="494"/>
      <c r="F44" s="54"/>
      <c r="G44" s="54"/>
      <c r="H44" s="54"/>
      <c r="I44" s="54"/>
      <c r="J44" s="54"/>
      <c r="K44" s="54"/>
      <c r="L44" s="223"/>
      <c r="N44" s="238" t="str">
        <f>'GREEN SHEET'!AW44</f>
        <v/>
      </c>
      <c r="O44" s="51" t="str">
        <f>'GREEN SHEET'!AX44</f>
        <v/>
      </c>
      <c r="P44" s="50"/>
      <c r="Q44" s="239" t="str">
        <f>'GREEN SHEET'!BA44</f>
        <v/>
      </c>
    </row>
    <row r="45" spans="1:17" ht="20.399999999999999" x14ac:dyDescent="0.3">
      <c r="A45" s="230"/>
      <c r="B45" s="52">
        <v>39</v>
      </c>
      <c r="C45" s="312" t="str">
        <f>IF(DATA!E43="","",DATA!E43)</f>
        <v/>
      </c>
      <c r="D45" s="53" t="str">
        <f>IF(DATA!C43="","",DATA!C43)</f>
        <v/>
      </c>
      <c r="E45" s="494"/>
      <c r="F45" s="54"/>
      <c r="G45" s="54"/>
      <c r="H45" s="54"/>
      <c r="I45" s="54"/>
      <c r="J45" s="54"/>
      <c r="K45" s="54"/>
      <c r="L45" s="223"/>
      <c r="N45" s="238" t="str">
        <f>'GREEN SHEET'!AW45</f>
        <v/>
      </c>
      <c r="O45" s="51" t="str">
        <f>'GREEN SHEET'!AX45</f>
        <v/>
      </c>
      <c r="P45" s="50"/>
      <c r="Q45" s="239" t="str">
        <f>'GREEN SHEET'!BA45</f>
        <v/>
      </c>
    </row>
    <row r="46" spans="1:17" ht="20.399999999999999" x14ac:dyDescent="0.3">
      <c r="A46" s="230"/>
      <c r="B46" s="52">
        <v>40</v>
      </c>
      <c r="C46" s="312" t="str">
        <f>IF(DATA!E44="","",DATA!E44)</f>
        <v/>
      </c>
      <c r="D46" s="53" t="str">
        <f>IF(DATA!C44="","",DATA!C44)</f>
        <v/>
      </c>
      <c r="E46" s="494"/>
      <c r="F46" s="54"/>
      <c r="G46" s="54"/>
      <c r="H46" s="54"/>
      <c r="I46" s="54"/>
      <c r="J46" s="54"/>
      <c r="K46" s="54"/>
      <c r="L46" s="223"/>
      <c r="N46" s="238" t="str">
        <f>'GREEN SHEET'!AW46</f>
        <v/>
      </c>
      <c r="O46" s="51" t="str">
        <f>'GREEN SHEET'!AX46</f>
        <v/>
      </c>
      <c r="P46" s="50"/>
      <c r="Q46" s="239" t="str">
        <f>'GREEN SHEET'!BA46</f>
        <v/>
      </c>
    </row>
    <row r="47" spans="1:17" ht="20.399999999999999" x14ac:dyDescent="0.3">
      <c r="A47" s="230"/>
      <c r="B47" s="52">
        <v>41</v>
      </c>
      <c r="C47" s="312" t="str">
        <f>IF(DATA!E45="","",DATA!E45)</f>
        <v/>
      </c>
      <c r="D47" s="53" t="str">
        <f>IF(DATA!C45="","",DATA!C45)</f>
        <v/>
      </c>
      <c r="E47" s="494"/>
      <c r="F47" s="54"/>
      <c r="G47" s="54"/>
      <c r="H47" s="54"/>
      <c r="I47" s="54"/>
      <c r="J47" s="54"/>
      <c r="K47" s="54"/>
      <c r="L47" s="223"/>
      <c r="N47" s="238" t="str">
        <f>'GREEN SHEET'!AW47</f>
        <v/>
      </c>
      <c r="O47" s="51" t="str">
        <f>'GREEN SHEET'!AX47</f>
        <v/>
      </c>
      <c r="P47" s="50"/>
      <c r="Q47" s="239" t="str">
        <f>'GREEN SHEET'!BA47</f>
        <v/>
      </c>
    </row>
    <row r="48" spans="1:17" ht="20.399999999999999" x14ac:dyDescent="0.3">
      <c r="A48" s="230"/>
      <c r="B48" s="52">
        <v>42</v>
      </c>
      <c r="C48" s="312" t="str">
        <f>IF(DATA!E46="","",DATA!E46)</f>
        <v/>
      </c>
      <c r="D48" s="53" t="str">
        <f>IF(DATA!C46="","",DATA!C46)</f>
        <v/>
      </c>
      <c r="E48" s="494"/>
      <c r="F48" s="54"/>
      <c r="G48" s="54"/>
      <c r="H48" s="54"/>
      <c r="I48" s="54"/>
      <c r="J48" s="54"/>
      <c r="K48" s="54"/>
      <c r="L48" s="223"/>
      <c r="N48" s="238" t="str">
        <f>'GREEN SHEET'!AW48</f>
        <v/>
      </c>
      <c r="O48" s="51" t="str">
        <f>'GREEN SHEET'!AX48</f>
        <v/>
      </c>
      <c r="P48" s="50"/>
      <c r="Q48" s="239" t="str">
        <f>'GREEN SHEET'!BA48</f>
        <v/>
      </c>
    </row>
    <row r="49" spans="1:18" ht="20.399999999999999" x14ac:dyDescent="0.3">
      <c r="A49" s="230"/>
      <c r="B49" s="52">
        <v>43</v>
      </c>
      <c r="C49" s="312" t="str">
        <f>IF(DATA!E47="","",DATA!E47)</f>
        <v/>
      </c>
      <c r="D49" s="53" t="str">
        <f>IF(DATA!C47="","",DATA!C47)</f>
        <v/>
      </c>
      <c r="E49" s="494"/>
      <c r="F49" s="54"/>
      <c r="G49" s="54"/>
      <c r="H49" s="54"/>
      <c r="I49" s="54"/>
      <c r="J49" s="54"/>
      <c r="K49" s="54"/>
      <c r="L49" s="223"/>
      <c r="N49" s="238" t="str">
        <f>'GREEN SHEET'!AW49</f>
        <v/>
      </c>
      <c r="O49" s="51" t="str">
        <f>'GREEN SHEET'!AX49</f>
        <v/>
      </c>
      <c r="P49" s="50"/>
      <c r="Q49" s="239" t="str">
        <f>'GREEN SHEET'!BA49</f>
        <v/>
      </c>
    </row>
    <row r="50" spans="1:18" ht="20.399999999999999" x14ac:dyDescent="0.3">
      <c r="A50" s="230"/>
      <c r="B50" s="52">
        <v>44</v>
      </c>
      <c r="C50" s="312" t="str">
        <f>IF(DATA!E48="","",DATA!E48)</f>
        <v/>
      </c>
      <c r="D50" s="53" t="str">
        <f>IF(DATA!C48="","",DATA!C48)</f>
        <v/>
      </c>
      <c r="E50" s="494"/>
      <c r="F50" s="54"/>
      <c r="G50" s="54"/>
      <c r="H50" s="54"/>
      <c r="I50" s="54"/>
      <c r="J50" s="54"/>
      <c r="K50" s="54"/>
      <c r="L50" s="223"/>
      <c r="N50" s="238" t="str">
        <f>'GREEN SHEET'!AW50</f>
        <v/>
      </c>
      <c r="O50" s="51" t="str">
        <f>'GREEN SHEET'!AX50</f>
        <v/>
      </c>
      <c r="P50" s="50"/>
      <c r="Q50" s="239" t="str">
        <f>'GREEN SHEET'!BA50</f>
        <v/>
      </c>
    </row>
    <row r="51" spans="1:18" ht="21" thickBot="1" x14ac:dyDescent="0.35">
      <c r="A51" s="230"/>
      <c r="B51" s="55">
        <v>45</v>
      </c>
      <c r="C51" s="313" t="str">
        <f>IF(DATA!E49="","",DATA!E49)</f>
        <v/>
      </c>
      <c r="D51" s="224" t="str">
        <f>IF(DATA!C49="","",DATA!C49)</f>
        <v/>
      </c>
      <c r="E51" s="494"/>
      <c r="F51" s="56"/>
      <c r="G51" s="56"/>
      <c r="H51" s="56"/>
      <c r="I51" s="56"/>
      <c r="J51" s="56"/>
      <c r="K51" s="56"/>
      <c r="L51" s="225"/>
      <c r="N51" s="238" t="str">
        <f>'GREEN SHEET'!AW51</f>
        <v/>
      </c>
      <c r="O51" s="51" t="str">
        <f>'GREEN SHEET'!AX112</f>
        <v/>
      </c>
      <c r="P51" s="50"/>
      <c r="Q51" s="239" t="str">
        <f>'GREEN SHEET'!BA51</f>
        <v/>
      </c>
    </row>
    <row r="52" spans="1:18" ht="59.25" customHeight="1" thickBot="1" x14ac:dyDescent="0.35">
      <c r="A52" s="230"/>
      <c r="B52" s="729" t="s">
        <v>306</v>
      </c>
      <c r="C52" s="730"/>
      <c r="D52" s="730"/>
      <c r="E52" s="731"/>
      <c r="F52" s="723"/>
      <c r="G52" s="724"/>
      <c r="H52" s="724"/>
      <c r="I52" s="724"/>
      <c r="J52" s="724"/>
      <c r="K52" s="724"/>
      <c r="L52" s="725"/>
      <c r="N52" s="708"/>
      <c r="O52" s="709"/>
      <c r="P52" s="709"/>
      <c r="Q52" s="710"/>
    </row>
    <row r="53" spans="1:18" ht="15" customHeight="1" x14ac:dyDescent="0.3">
      <c r="A53" s="228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44"/>
      <c r="Q53" s="44"/>
    </row>
    <row r="54" spans="1:18" ht="15" hidden="1" customHeight="1" x14ac:dyDescent="0.3">
      <c r="R54" s="8"/>
    </row>
  </sheetData>
  <sheetProtection algorithmName="SHA-512" hashValue="ldD/gLB6PPrQzE78JM+tNmELA7SlInOMyUbtvzmvjZaL+MI+jtA+OKAFbBcxfqm795naFhATsiqdwGa7midx6g==" saltValue="ae8dRFF6bk8hcQrwh5wF0g==" spinCount="100000" sheet="1" objects="1" scenarios="1" selectLockedCells="1"/>
  <mergeCells count="7">
    <mergeCell ref="N52:Q52"/>
    <mergeCell ref="I4:L4"/>
    <mergeCell ref="B2:L2"/>
    <mergeCell ref="B3:L3"/>
    <mergeCell ref="F52:L52"/>
    <mergeCell ref="B6:E6"/>
    <mergeCell ref="B52:E52"/>
  </mergeCells>
  <conditionalFormatting sqref="P7:P51">
    <cfRule type="expression" dxfId="4" priority="1">
      <formula>AND(OR(N7&gt;=33,$O$6="",P7&gt;$O$6),P7&lt;&gt;"")</formula>
    </cfRule>
  </conditionalFormatting>
  <dataValidations count="1">
    <dataValidation type="custom" allowBlank="1" showInputMessage="1" showErrorMessage="1" errorTitle="Invalid Entry" error="Entry not allowed._x000a_Check the following:_x000a_• STUDENT ALREADY PASSED_x000a_• DEFINE MAX MARKS_x000a_• ENTERED VALUE MUST NOT GREATER THAN MAX MARKS" sqref="P7:P51">
      <formula1>AND(N7&lt;33,$O$6&lt;&gt;"",P7&lt;=$O$6)</formula1>
    </dataValidation>
  </dataValidations>
  <hyperlinks>
    <hyperlink ref="A1" location="DASHBOARD!A1" display="D"/>
  </hyperlinks>
  <pageMargins left="0.59055118110236227" right="0.17" top="0.23" bottom="0.19" header="0.17" footer="0.17"/>
  <pageSetup scale="66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DASHBOARD!$C$13:$C$14</xm:f>
          </x14:formula1>
          <xm:sqref>E7:E51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S54"/>
  <sheetViews>
    <sheetView workbookViewId="0">
      <selection activeCell="K9" sqref="K9"/>
    </sheetView>
  </sheetViews>
  <sheetFormatPr defaultColWidth="0" defaultRowHeight="15" customHeight="1" zeroHeight="1" x14ac:dyDescent="0.3"/>
  <cols>
    <col min="1" max="1" width="3.109375" style="231" bestFit="1" customWidth="1"/>
    <col min="2" max="2" width="4.88671875" style="24" bestFit="1" customWidth="1"/>
    <col min="3" max="3" width="45.5546875" style="24" bestFit="1" customWidth="1"/>
    <col min="4" max="4" width="7.109375" style="24" bestFit="1" customWidth="1"/>
    <col min="5" max="5" width="7.5546875" style="24" bestFit="1" customWidth="1"/>
    <col min="6" max="6" width="5.5546875" style="24" bestFit="1" customWidth="1"/>
    <col min="7" max="7" width="6.5546875" style="24" bestFit="1" customWidth="1"/>
    <col min="8" max="8" width="10.6640625" style="24" bestFit="1" customWidth="1"/>
    <col min="9" max="9" width="3.33203125" style="24" bestFit="1" customWidth="1"/>
    <col min="10" max="10" width="8.33203125" style="24" bestFit="1" customWidth="1"/>
    <col min="11" max="11" width="8.5546875" style="24" bestFit="1" customWidth="1"/>
    <col min="12" max="12" width="1.44140625" style="235" customWidth="1"/>
    <col min="13" max="13" width="7.33203125" style="43" customWidth="1"/>
    <col min="14" max="14" width="7.6640625" style="43" customWidth="1"/>
    <col min="15" max="15" width="8.88671875" style="43" customWidth="1"/>
    <col min="16" max="16" width="7.6640625" style="43" customWidth="1"/>
    <col min="17" max="17" width="2.33203125" style="7" customWidth="1"/>
    <col min="18" max="19" width="0" style="8" hidden="1" customWidth="1"/>
    <col min="20" max="16384" width="9.109375" style="8" hidden="1"/>
  </cols>
  <sheetData>
    <row r="1" spans="1:17" ht="11.25" customHeight="1" thickBot="1" x14ac:dyDescent="0.35">
      <c r="A1" s="226" t="s">
        <v>24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</row>
    <row r="2" spans="1:17" ht="36.75" customHeight="1" x14ac:dyDescent="0.3">
      <c r="A2" s="228"/>
      <c r="B2" s="717" t="str">
        <f>"SWAMI VIVEKANAND GOVT. MODEL SCHOOL,"&amp;DASHBOARD!C3</f>
        <v>SWAMI VIVEKANAND GOVT. MODEL SCHOOL,XXXX,  BLOCK-XXXX (RAJSAMAND)</v>
      </c>
      <c r="C2" s="718"/>
      <c r="D2" s="718"/>
      <c r="E2" s="718"/>
      <c r="F2" s="718"/>
      <c r="G2" s="718"/>
      <c r="H2" s="718"/>
      <c r="I2" s="718"/>
      <c r="J2" s="718"/>
      <c r="K2" s="719"/>
      <c r="M2" s="330"/>
      <c r="N2" s="331"/>
      <c r="O2" s="331"/>
      <c r="P2" s="332"/>
    </row>
    <row r="3" spans="1:17" ht="23.25" customHeight="1" thickBot="1" x14ac:dyDescent="0.35">
      <c r="A3" s="228"/>
      <c r="B3" s="720" t="str">
        <f>IF(DASHBOARD!B4="","",DASHBOARD!B4)</f>
        <v>SESSION  -  2025-26</v>
      </c>
      <c r="C3" s="721"/>
      <c r="D3" s="721"/>
      <c r="E3" s="721"/>
      <c r="F3" s="721"/>
      <c r="G3" s="721"/>
      <c r="H3" s="721"/>
      <c r="I3" s="721"/>
      <c r="J3" s="721"/>
      <c r="K3" s="722"/>
      <c r="M3" s="330"/>
      <c r="N3" s="331"/>
      <c r="O3" s="331"/>
      <c r="P3" s="332"/>
    </row>
    <row r="4" spans="1:17" s="18" customFormat="1" ht="27.75" customHeight="1" thickBot="1" x14ac:dyDescent="0.5">
      <c r="A4" s="229"/>
      <c r="B4" s="232"/>
      <c r="C4" s="233" t="s">
        <v>87</v>
      </c>
      <c r="D4" s="234" t="str">
        <f>DASHBOARD!B8&amp;DASHBOARD!C8</f>
        <v>9A</v>
      </c>
      <c r="E4" s="234"/>
      <c r="F4" s="234"/>
      <c r="G4" s="234"/>
      <c r="H4" s="715" t="s">
        <v>98</v>
      </c>
      <c r="I4" s="715"/>
      <c r="J4" s="715"/>
      <c r="K4" s="716"/>
      <c r="L4" s="235"/>
      <c r="M4" s="236"/>
      <c r="N4" s="47"/>
      <c r="O4" s="47"/>
      <c r="P4" s="237"/>
      <c r="Q4" s="16"/>
    </row>
    <row r="5" spans="1:17" ht="75" x14ac:dyDescent="0.3">
      <c r="A5" s="228"/>
      <c r="B5" s="304" t="s">
        <v>97</v>
      </c>
      <c r="C5" s="305" t="s">
        <v>96</v>
      </c>
      <c r="D5" s="305" t="s">
        <v>5</v>
      </c>
      <c r="E5" s="305" t="s">
        <v>93</v>
      </c>
      <c r="F5" s="305" t="s">
        <v>94</v>
      </c>
      <c r="G5" s="305" t="s">
        <v>95</v>
      </c>
      <c r="H5" s="306" t="s">
        <v>140</v>
      </c>
      <c r="I5" s="306" t="s">
        <v>138</v>
      </c>
      <c r="J5" s="306" t="s">
        <v>141</v>
      </c>
      <c r="K5" s="307" t="s">
        <v>22</v>
      </c>
      <c r="L5" s="308"/>
      <c r="M5" s="309" t="s">
        <v>57</v>
      </c>
      <c r="N5" s="310" t="s">
        <v>146</v>
      </c>
      <c r="O5" s="310" t="s">
        <v>152</v>
      </c>
      <c r="P5" s="311" t="s">
        <v>57</v>
      </c>
    </row>
    <row r="6" spans="1:17" ht="20.399999999999999" x14ac:dyDescent="0.3">
      <c r="A6" s="228"/>
      <c r="B6" s="713" t="s">
        <v>23</v>
      </c>
      <c r="C6" s="714"/>
      <c r="D6" s="714"/>
      <c r="E6" s="50">
        <v>10</v>
      </c>
      <c r="F6" s="50">
        <v>80</v>
      </c>
      <c r="G6" s="50">
        <v>10</v>
      </c>
      <c r="H6" s="50">
        <v>5</v>
      </c>
      <c r="I6" s="50">
        <v>5</v>
      </c>
      <c r="J6" s="50">
        <v>5</v>
      </c>
      <c r="K6" s="222">
        <v>80</v>
      </c>
      <c r="M6" s="238">
        <f>'GREEN SHEET'!BR6</f>
        <v>100</v>
      </c>
      <c r="N6" s="51" t="str">
        <f>'GREEN SHEET'!BS6</f>
        <v>A1</v>
      </c>
      <c r="O6" s="50">
        <v>80</v>
      </c>
      <c r="P6" s="239">
        <f>'GREEN SHEET'!BV6</f>
        <v>100</v>
      </c>
    </row>
    <row r="7" spans="1:17" ht="20.399999999999999" x14ac:dyDescent="0.3">
      <c r="A7" s="230"/>
      <c r="B7" s="52">
        <v>1</v>
      </c>
      <c r="C7" s="312" t="str">
        <f>IF(DATA!E5="","",DATA!E5)</f>
        <v>ARTI PRAJAPAT</v>
      </c>
      <c r="D7" s="53">
        <f>IF(DATA!C5="","",DATA!C5)</f>
        <v>901</v>
      </c>
      <c r="E7" s="54">
        <v>0</v>
      </c>
      <c r="F7" s="54">
        <v>20</v>
      </c>
      <c r="G7" s="54">
        <v>7</v>
      </c>
      <c r="H7" s="54">
        <v>3</v>
      </c>
      <c r="I7" s="54">
        <v>3</v>
      </c>
      <c r="J7" s="54">
        <v>3</v>
      </c>
      <c r="K7" s="223">
        <v>50</v>
      </c>
      <c r="M7" s="238">
        <f>'GREEN SHEET'!BR7</f>
        <v>62</v>
      </c>
      <c r="N7" s="51" t="str">
        <f>'GREEN SHEET'!BS7</f>
        <v>B2</v>
      </c>
      <c r="O7" s="50"/>
      <c r="P7" s="239" t="str">
        <f>'GREEN SHEET'!BV7</f>
        <v/>
      </c>
    </row>
    <row r="8" spans="1:17" ht="20.399999999999999" x14ac:dyDescent="0.3">
      <c r="A8" s="230"/>
      <c r="B8" s="52">
        <v>2</v>
      </c>
      <c r="C8" s="312" t="str">
        <f>IF(DATA!E6="","",DATA!E6)</f>
        <v>ARVIND SINGH BALLA</v>
      </c>
      <c r="D8" s="53">
        <f>IF(DATA!C6="","",DATA!C6)</f>
        <v>902</v>
      </c>
      <c r="E8" s="54">
        <v>3</v>
      </c>
      <c r="F8" s="54">
        <v>30</v>
      </c>
      <c r="G8" s="54">
        <v>4</v>
      </c>
      <c r="H8" s="54">
        <v>4</v>
      </c>
      <c r="I8" s="54">
        <v>4</v>
      </c>
      <c r="J8" s="54">
        <v>4</v>
      </c>
      <c r="K8" s="223">
        <v>50</v>
      </c>
      <c r="M8" s="238">
        <f>'GREEN SHEET'!BR8</f>
        <v>64</v>
      </c>
      <c r="N8" s="51" t="str">
        <f>'GREEN SHEET'!BS8</f>
        <v>B2</v>
      </c>
      <c r="O8" s="50"/>
      <c r="P8" s="239" t="str">
        <f>'GREEN SHEET'!BV8</f>
        <v/>
      </c>
    </row>
    <row r="9" spans="1:17" ht="20.399999999999999" x14ac:dyDescent="0.3">
      <c r="A9" s="230"/>
      <c r="B9" s="52">
        <v>3</v>
      </c>
      <c r="C9" s="312" t="str">
        <f>IF(DATA!E7="","",DATA!E7)</f>
        <v>BHAVESH SINGH RAO</v>
      </c>
      <c r="D9" s="53" t="str">
        <f>IF(DATA!C7="","",DATA!C7)</f>
        <v>TC</v>
      </c>
      <c r="E9" s="54">
        <v>6</v>
      </c>
      <c r="F9" s="54">
        <v>36</v>
      </c>
      <c r="G9" s="54">
        <v>7</v>
      </c>
      <c r="H9" s="54">
        <v>5</v>
      </c>
      <c r="I9" s="54">
        <v>5</v>
      </c>
      <c r="J9" s="54">
        <v>5</v>
      </c>
      <c r="K9" s="223">
        <v>2</v>
      </c>
      <c r="M9" s="238" t="str">
        <f>'GREEN SHEET'!BR9</f>
        <v/>
      </c>
      <c r="N9" s="51" t="str">
        <f>'GREEN SHEET'!BS9</f>
        <v/>
      </c>
      <c r="O9" s="50"/>
      <c r="P9" s="239" t="str">
        <f>'GREEN SHEET'!BV9</f>
        <v/>
      </c>
    </row>
    <row r="10" spans="1:17" ht="20.399999999999999" x14ac:dyDescent="0.3">
      <c r="A10" s="230"/>
      <c r="B10" s="52">
        <v>4</v>
      </c>
      <c r="C10" s="312" t="str">
        <f>IF(DATA!E8="","",DATA!E8)</f>
        <v/>
      </c>
      <c r="D10" s="53" t="str">
        <f>IF(DATA!C8="","",DATA!C8)</f>
        <v/>
      </c>
      <c r="E10" s="54"/>
      <c r="F10" s="54"/>
      <c r="G10" s="54"/>
      <c r="H10" s="54"/>
      <c r="I10" s="54"/>
      <c r="J10" s="54"/>
      <c r="K10" s="223"/>
      <c r="M10" s="238" t="str">
        <f>'GREEN SHEET'!BR10</f>
        <v/>
      </c>
      <c r="N10" s="51" t="str">
        <f>'GREEN SHEET'!BS10</f>
        <v/>
      </c>
      <c r="O10" s="50"/>
      <c r="P10" s="239" t="str">
        <f>'GREEN SHEET'!BV10</f>
        <v/>
      </c>
    </row>
    <row r="11" spans="1:17" ht="20.399999999999999" x14ac:dyDescent="0.3">
      <c r="A11" s="230"/>
      <c r="B11" s="52">
        <v>5</v>
      </c>
      <c r="C11" s="312" t="str">
        <f>IF(DATA!E9="","",DATA!E9)</f>
        <v/>
      </c>
      <c r="D11" s="53" t="str">
        <f>IF(DATA!C9="","",DATA!C9)</f>
        <v/>
      </c>
      <c r="E11" s="54"/>
      <c r="F11" s="54"/>
      <c r="G11" s="54"/>
      <c r="H11" s="54"/>
      <c r="I11" s="54"/>
      <c r="J11" s="54"/>
      <c r="K11" s="223"/>
      <c r="M11" s="238" t="str">
        <f>'GREEN SHEET'!BR11</f>
        <v/>
      </c>
      <c r="N11" s="51" t="str">
        <f>'GREEN SHEET'!BS11</f>
        <v/>
      </c>
      <c r="O11" s="50"/>
      <c r="P11" s="239" t="str">
        <f>'GREEN SHEET'!BV11</f>
        <v/>
      </c>
    </row>
    <row r="12" spans="1:17" ht="20.399999999999999" x14ac:dyDescent="0.3">
      <c r="A12" s="230"/>
      <c r="B12" s="52">
        <v>6</v>
      </c>
      <c r="C12" s="312" t="str">
        <f>IF(DATA!E10="","",DATA!E10)</f>
        <v/>
      </c>
      <c r="D12" s="53" t="str">
        <f>IF(DATA!C10="","",DATA!C10)</f>
        <v/>
      </c>
      <c r="E12" s="54"/>
      <c r="F12" s="54"/>
      <c r="G12" s="54"/>
      <c r="H12" s="54"/>
      <c r="I12" s="54"/>
      <c r="J12" s="54"/>
      <c r="K12" s="223"/>
      <c r="M12" s="238" t="str">
        <f>'GREEN SHEET'!BR12</f>
        <v/>
      </c>
      <c r="N12" s="51" t="str">
        <f>'GREEN SHEET'!BS12</f>
        <v/>
      </c>
      <c r="O12" s="50"/>
      <c r="P12" s="239" t="str">
        <f>'GREEN SHEET'!BV12</f>
        <v/>
      </c>
    </row>
    <row r="13" spans="1:17" ht="20.399999999999999" x14ac:dyDescent="0.3">
      <c r="A13" s="230"/>
      <c r="B13" s="52">
        <v>7</v>
      </c>
      <c r="C13" s="312" t="str">
        <f>IF(DATA!E11="","",DATA!E11)</f>
        <v/>
      </c>
      <c r="D13" s="53" t="str">
        <f>IF(DATA!C11="","",DATA!C11)</f>
        <v/>
      </c>
      <c r="E13" s="54"/>
      <c r="F13" s="54"/>
      <c r="G13" s="54"/>
      <c r="H13" s="54"/>
      <c r="I13" s="54"/>
      <c r="J13" s="54"/>
      <c r="K13" s="223"/>
      <c r="M13" s="238" t="str">
        <f>'GREEN SHEET'!BR13</f>
        <v/>
      </c>
      <c r="N13" s="51" t="str">
        <f>'GREEN SHEET'!BS13</f>
        <v/>
      </c>
      <c r="O13" s="50"/>
      <c r="P13" s="239" t="str">
        <f>'GREEN SHEET'!BV13</f>
        <v/>
      </c>
    </row>
    <row r="14" spans="1:17" ht="20.399999999999999" x14ac:dyDescent="0.3">
      <c r="A14" s="230"/>
      <c r="B14" s="52">
        <v>8</v>
      </c>
      <c r="C14" s="312" t="str">
        <f>IF(DATA!E12="","",DATA!E12)</f>
        <v/>
      </c>
      <c r="D14" s="53" t="str">
        <f>IF(DATA!C12="","",DATA!C12)</f>
        <v/>
      </c>
      <c r="E14" s="54"/>
      <c r="F14" s="54"/>
      <c r="G14" s="54"/>
      <c r="H14" s="54"/>
      <c r="I14" s="54"/>
      <c r="J14" s="54"/>
      <c r="K14" s="223"/>
      <c r="M14" s="238" t="str">
        <f>'GREEN SHEET'!BR14</f>
        <v/>
      </c>
      <c r="N14" s="51" t="str">
        <f>'GREEN SHEET'!BS14</f>
        <v/>
      </c>
      <c r="O14" s="50"/>
      <c r="P14" s="239" t="str">
        <f>'GREEN SHEET'!BV14</f>
        <v/>
      </c>
    </row>
    <row r="15" spans="1:17" ht="20.399999999999999" x14ac:dyDescent="0.3">
      <c r="A15" s="230"/>
      <c r="B15" s="52">
        <v>9</v>
      </c>
      <c r="C15" s="312" t="str">
        <f>IF(DATA!E13="","",DATA!E13)</f>
        <v/>
      </c>
      <c r="D15" s="53" t="str">
        <f>IF(DATA!C13="","",DATA!C13)</f>
        <v/>
      </c>
      <c r="E15" s="54"/>
      <c r="F15" s="54"/>
      <c r="G15" s="54"/>
      <c r="H15" s="54"/>
      <c r="I15" s="54"/>
      <c r="J15" s="54"/>
      <c r="K15" s="223"/>
      <c r="M15" s="238" t="str">
        <f>'GREEN SHEET'!BR15</f>
        <v/>
      </c>
      <c r="N15" s="51" t="str">
        <f>'GREEN SHEET'!BS15</f>
        <v/>
      </c>
      <c r="O15" s="50"/>
      <c r="P15" s="239" t="str">
        <f>'GREEN SHEET'!BV15</f>
        <v/>
      </c>
    </row>
    <row r="16" spans="1:17" ht="20.399999999999999" x14ac:dyDescent="0.3">
      <c r="A16" s="230"/>
      <c r="B16" s="52">
        <v>10</v>
      </c>
      <c r="C16" s="312" t="str">
        <f>IF(DATA!E14="","",DATA!E14)</f>
        <v/>
      </c>
      <c r="D16" s="53" t="str">
        <f>IF(DATA!C14="","",DATA!C14)</f>
        <v/>
      </c>
      <c r="E16" s="54"/>
      <c r="F16" s="54"/>
      <c r="G16" s="54"/>
      <c r="H16" s="54"/>
      <c r="I16" s="54"/>
      <c r="J16" s="54"/>
      <c r="K16" s="223"/>
      <c r="M16" s="238" t="str">
        <f>'GREEN SHEET'!BR16</f>
        <v/>
      </c>
      <c r="N16" s="51" t="str">
        <f>'GREEN SHEET'!BS16</f>
        <v/>
      </c>
      <c r="O16" s="50"/>
      <c r="P16" s="239" t="str">
        <f>'GREEN SHEET'!BV16</f>
        <v/>
      </c>
    </row>
    <row r="17" spans="1:16" ht="20.399999999999999" x14ac:dyDescent="0.3">
      <c r="A17" s="230"/>
      <c r="B17" s="52">
        <v>11</v>
      </c>
      <c r="C17" s="312" t="str">
        <f>IF(DATA!E15="","",DATA!E15)</f>
        <v/>
      </c>
      <c r="D17" s="53" t="str">
        <f>IF(DATA!C15="","",DATA!C15)</f>
        <v/>
      </c>
      <c r="E17" s="54"/>
      <c r="F17" s="54"/>
      <c r="G17" s="54"/>
      <c r="H17" s="54"/>
      <c r="I17" s="54"/>
      <c r="J17" s="54"/>
      <c r="K17" s="223"/>
      <c r="M17" s="238" t="str">
        <f>'GREEN SHEET'!BR17</f>
        <v/>
      </c>
      <c r="N17" s="51" t="str">
        <f>'GREEN SHEET'!BS17</f>
        <v/>
      </c>
      <c r="O17" s="50"/>
      <c r="P17" s="239" t="str">
        <f>'GREEN SHEET'!BV17</f>
        <v/>
      </c>
    </row>
    <row r="18" spans="1:16" ht="20.399999999999999" x14ac:dyDescent="0.3">
      <c r="A18" s="230"/>
      <c r="B18" s="52">
        <v>12</v>
      </c>
      <c r="C18" s="312" t="str">
        <f>IF(DATA!E16="","",DATA!E16)</f>
        <v/>
      </c>
      <c r="D18" s="53" t="str">
        <f>IF(DATA!C16="","",DATA!C16)</f>
        <v/>
      </c>
      <c r="E18" s="54"/>
      <c r="F18" s="54"/>
      <c r="G18" s="54"/>
      <c r="H18" s="54"/>
      <c r="I18" s="54"/>
      <c r="J18" s="54"/>
      <c r="K18" s="223"/>
      <c r="M18" s="238" t="str">
        <f>'GREEN SHEET'!BR18</f>
        <v/>
      </c>
      <c r="N18" s="51" t="str">
        <f>'GREEN SHEET'!BS18</f>
        <v/>
      </c>
      <c r="O18" s="50"/>
      <c r="P18" s="239" t="str">
        <f>'GREEN SHEET'!BV18</f>
        <v/>
      </c>
    </row>
    <row r="19" spans="1:16" ht="20.399999999999999" x14ac:dyDescent="0.3">
      <c r="A19" s="230"/>
      <c r="B19" s="52">
        <v>13</v>
      </c>
      <c r="C19" s="312" t="str">
        <f>IF(DATA!E17="","",DATA!E17)</f>
        <v/>
      </c>
      <c r="D19" s="53" t="str">
        <f>IF(DATA!C17="","",DATA!C17)</f>
        <v/>
      </c>
      <c r="E19" s="54"/>
      <c r="F19" s="54"/>
      <c r="G19" s="54"/>
      <c r="H19" s="54"/>
      <c r="I19" s="54"/>
      <c r="J19" s="54"/>
      <c r="K19" s="223"/>
      <c r="M19" s="238" t="str">
        <f>'GREEN SHEET'!BR19</f>
        <v/>
      </c>
      <c r="N19" s="51" t="str">
        <f>'GREEN SHEET'!BS19</f>
        <v/>
      </c>
      <c r="O19" s="50"/>
      <c r="P19" s="239" t="str">
        <f>'GREEN SHEET'!BV19</f>
        <v/>
      </c>
    </row>
    <row r="20" spans="1:16" ht="20.399999999999999" x14ac:dyDescent="0.3">
      <c r="A20" s="230"/>
      <c r="B20" s="52">
        <v>14</v>
      </c>
      <c r="C20" s="312" t="str">
        <f>IF(DATA!E18="","",DATA!E18)</f>
        <v/>
      </c>
      <c r="D20" s="53" t="str">
        <f>IF(DATA!C18="","",DATA!C18)</f>
        <v/>
      </c>
      <c r="E20" s="54"/>
      <c r="F20" s="54"/>
      <c r="G20" s="54"/>
      <c r="H20" s="54"/>
      <c r="I20" s="54"/>
      <c r="J20" s="54"/>
      <c r="K20" s="223"/>
      <c r="M20" s="238" t="str">
        <f>'GREEN SHEET'!BR20</f>
        <v/>
      </c>
      <c r="N20" s="51" t="str">
        <f>'GREEN SHEET'!BS20</f>
        <v/>
      </c>
      <c r="O20" s="50"/>
      <c r="P20" s="239" t="str">
        <f>'GREEN SHEET'!BV20</f>
        <v/>
      </c>
    </row>
    <row r="21" spans="1:16" ht="20.399999999999999" x14ac:dyDescent="0.3">
      <c r="A21" s="230"/>
      <c r="B21" s="52">
        <v>15</v>
      </c>
      <c r="C21" s="312" t="str">
        <f>IF(DATA!E19="","",DATA!E19)</f>
        <v/>
      </c>
      <c r="D21" s="53" t="str">
        <f>IF(DATA!C19="","",DATA!C19)</f>
        <v/>
      </c>
      <c r="E21" s="54"/>
      <c r="F21" s="54"/>
      <c r="G21" s="54"/>
      <c r="H21" s="54"/>
      <c r="I21" s="54"/>
      <c r="J21" s="54"/>
      <c r="K21" s="223"/>
      <c r="M21" s="238" t="str">
        <f>'GREEN SHEET'!BR21</f>
        <v/>
      </c>
      <c r="N21" s="51" t="str">
        <f>'GREEN SHEET'!BS21</f>
        <v/>
      </c>
      <c r="O21" s="50"/>
      <c r="P21" s="239" t="str">
        <f>'GREEN SHEET'!BV21</f>
        <v/>
      </c>
    </row>
    <row r="22" spans="1:16" ht="20.399999999999999" x14ac:dyDescent="0.3">
      <c r="A22" s="230"/>
      <c r="B22" s="52">
        <v>16</v>
      </c>
      <c r="C22" s="312" t="str">
        <f>IF(DATA!E20="","",DATA!E20)</f>
        <v/>
      </c>
      <c r="D22" s="53" t="str">
        <f>IF(DATA!C20="","",DATA!C20)</f>
        <v/>
      </c>
      <c r="E22" s="54"/>
      <c r="F22" s="54"/>
      <c r="G22" s="54"/>
      <c r="H22" s="54"/>
      <c r="I22" s="54"/>
      <c r="J22" s="54"/>
      <c r="K22" s="223"/>
      <c r="M22" s="238" t="str">
        <f>'GREEN SHEET'!BR22</f>
        <v/>
      </c>
      <c r="N22" s="51" t="str">
        <f>'GREEN SHEET'!BS22</f>
        <v/>
      </c>
      <c r="O22" s="50"/>
      <c r="P22" s="239" t="str">
        <f>'GREEN SHEET'!BV22</f>
        <v/>
      </c>
    </row>
    <row r="23" spans="1:16" ht="20.399999999999999" x14ac:dyDescent="0.3">
      <c r="A23" s="230"/>
      <c r="B23" s="52">
        <v>17</v>
      </c>
      <c r="C23" s="312" t="str">
        <f>IF(DATA!E21="","",DATA!E21)</f>
        <v/>
      </c>
      <c r="D23" s="53" t="str">
        <f>IF(DATA!C21="","",DATA!C21)</f>
        <v/>
      </c>
      <c r="E23" s="54"/>
      <c r="F23" s="54"/>
      <c r="G23" s="54"/>
      <c r="H23" s="54"/>
      <c r="I23" s="54"/>
      <c r="J23" s="54"/>
      <c r="K23" s="223"/>
      <c r="M23" s="238" t="str">
        <f>'GREEN SHEET'!BR23</f>
        <v/>
      </c>
      <c r="N23" s="51" t="str">
        <f>'GREEN SHEET'!BS23</f>
        <v/>
      </c>
      <c r="O23" s="50"/>
      <c r="P23" s="239" t="str">
        <f>'GREEN SHEET'!BV23</f>
        <v/>
      </c>
    </row>
    <row r="24" spans="1:16" ht="20.399999999999999" x14ac:dyDescent="0.3">
      <c r="A24" s="230"/>
      <c r="B24" s="52">
        <v>18</v>
      </c>
      <c r="C24" s="312" t="str">
        <f>IF(DATA!E22="","",DATA!E22)</f>
        <v/>
      </c>
      <c r="D24" s="53" t="str">
        <f>IF(DATA!C22="","",DATA!C22)</f>
        <v/>
      </c>
      <c r="E24" s="54"/>
      <c r="F24" s="54"/>
      <c r="G24" s="54"/>
      <c r="H24" s="54"/>
      <c r="I24" s="54"/>
      <c r="J24" s="54"/>
      <c r="K24" s="223"/>
      <c r="M24" s="238" t="str">
        <f>'GREEN SHEET'!BR24</f>
        <v/>
      </c>
      <c r="N24" s="51" t="str">
        <f>'GREEN SHEET'!BS24</f>
        <v/>
      </c>
      <c r="O24" s="50"/>
      <c r="P24" s="239" t="str">
        <f>'GREEN SHEET'!BV24</f>
        <v/>
      </c>
    </row>
    <row r="25" spans="1:16" ht="20.399999999999999" x14ac:dyDescent="0.3">
      <c r="A25" s="230"/>
      <c r="B25" s="52">
        <v>19</v>
      </c>
      <c r="C25" s="312" t="str">
        <f>IF(DATA!E23="","",DATA!E23)</f>
        <v/>
      </c>
      <c r="D25" s="53" t="str">
        <f>IF(DATA!C23="","",DATA!C23)</f>
        <v/>
      </c>
      <c r="E25" s="54"/>
      <c r="F25" s="54"/>
      <c r="G25" s="54"/>
      <c r="H25" s="54"/>
      <c r="I25" s="54"/>
      <c r="J25" s="54"/>
      <c r="K25" s="223"/>
      <c r="M25" s="238" t="str">
        <f>'GREEN SHEET'!BR25</f>
        <v/>
      </c>
      <c r="N25" s="51" t="str">
        <f>'GREEN SHEET'!BS25</f>
        <v/>
      </c>
      <c r="O25" s="50"/>
      <c r="P25" s="239" t="str">
        <f>'GREEN SHEET'!BV25</f>
        <v/>
      </c>
    </row>
    <row r="26" spans="1:16" ht="20.399999999999999" x14ac:dyDescent="0.3">
      <c r="A26" s="230"/>
      <c r="B26" s="52">
        <v>20</v>
      </c>
      <c r="C26" s="312" t="str">
        <f>IF(DATA!E24="","",DATA!E24)</f>
        <v/>
      </c>
      <c r="D26" s="53" t="str">
        <f>IF(DATA!C24="","",DATA!C24)</f>
        <v/>
      </c>
      <c r="E26" s="54"/>
      <c r="F26" s="54"/>
      <c r="G26" s="54"/>
      <c r="H26" s="54"/>
      <c r="I26" s="54"/>
      <c r="J26" s="54"/>
      <c r="K26" s="223"/>
      <c r="M26" s="238" t="str">
        <f>'GREEN SHEET'!BR26</f>
        <v/>
      </c>
      <c r="N26" s="51" t="str">
        <f>'GREEN SHEET'!BS26</f>
        <v/>
      </c>
      <c r="O26" s="50"/>
      <c r="P26" s="239" t="str">
        <f>'GREEN SHEET'!BV26</f>
        <v/>
      </c>
    </row>
    <row r="27" spans="1:16" ht="20.399999999999999" x14ac:dyDescent="0.3">
      <c r="A27" s="230"/>
      <c r="B27" s="52">
        <v>21</v>
      </c>
      <c r="C27" s="312" t="str">
        <f>IF(DATA!E25="","",DATA!E25)</f>
        <v/>
      </c>
      <c r="D27" s="53" t="str">
        <f>IF(DATA!C25="","",DATA!C25)</f>
        <v/>
      </c>
      <c r="E27" s="54"/>
      <c r="F27" s="54"/>
      <c r="G27" s="54"/>
      <c r="H27" s="54"/>
      <c r="I27" s="54"/>
      <c r="J27" s="54"/>
      <c r="K27" s="223"/>
      <c r="M27" s="238" t="str">
        <f>'GREEN SHEET'!BR27</f>
        <v/>
      </c>
      <c r="N27" s="51" t="str">
        <f>'GREEN SHEET'!BS27</f>
        <v/>
      </c>
      <c r="O27" s="50"/>
      <c r="P27" s="239" t="str">
        <f>'GREEN SHEET'!BV27</f>
        <v/>
      </c>
    </row>
    <row r="28" spans="1:16" ht="20.399999999999999" x14ac:dyDescent="0.3">
      <c r="A28" s="230"/>
      <c r="B28" s="52">
        <v>22</v>
      </c>
      <c r="C28" s="312" t="str">
        <f>IF(DATA!E26="","",DATA!E26)</f>
        <v/>
      </c>
      <c r="D28" s="53" t="str">
        <f>IF(DATA!C26="","",DATA!C26)</f>
        <v/>
      </c>
      <c r="E28" s="54"/>
      <c r="F28" s="54"/>
      <c r="G28" s="54"/>
      <c r="H28" s="54"/>
      <c r="I28" s="54"/>
      <c r="J28" s="54"/>
      <c r="K28" s="223"/>
      <c r="M28" s="238" t="str">
        <f>'GREEN SHEET'!BR28</f>
        <v/>
      </c>
      <c r="N28" s="51" t="str">
        <f>'GREEN SHEET'!BS28</f>
        <v/>
      </c>
      <c r="O28" s="50"/>
      <c r="P28" s="239" t="str">
        <f>'GREEN SHEET'!BV28</f>
        <v/>
      </c>
    </row>
    <row r="29" spans="1:16" ht="20.399999999999999" x14ac:dyDescent="0.3">
      <c r="A29" s="230"/>
      <c r="B29" s="52">
        <v>23</v>
      </c>
      <c r="C29" s="312" t="str">
        <f>IF(DATA!E27="","",DATA!E27)</f>
        <v/>
      </c>
      <c r="D29" s="53" t="str">
        <f>IF(DATA!C27="","",DATA!C27)</f>
        <v/>
      </c>
      <c r="E29" s="54"/>
      <c r="F29" s="54"/>
      <c r="G29" s="54"/>
      <c r="H29" s="54"/>
      <c r="I29" s="54"/>
      <c r="J29" s="54"/>
      <c r="K29" s="223"/>
      <c r="M29" s="238" t="str">
        <f>'GREEN SHEET'!BR29</f>
        <v/>
      </c>
      <c r="N29" s="51" t="str">
        <f>'GREEN SHEET'!BS29</f>
        <v/>
      </c>
      <c r="O29" s="50"/>
      <c r="P29" s="239" t="str">
        <f>'GREEN SHEET'!BV29</f>
        <v/>
      </c>
    </row>
    <row r="30" spans="1:16" ht="20.399999999999999" x14ac:dyDescent="0.3">
      <c r="A30" s="230"/>
      <c r="B30" s="52">
        <v>24</v>
      </c>
      <c r="C30" s="312" t="str">
        <f>IF(DATA!E28="","",DATA!E28)</f>
        <v/>
      </c>
      <c r="D30" s="53" t="str">
        <f>IF(DATA!C28="","",DATA!C28)</f>
        <v/>
      </c>
      <c r="E30" s="54"/>
      <c r="F30" s="54"/>
      <c r="G30" s="54"/>
      <c r="H30" s="54"/>
      <c r="I30" s="54"/>
      <c r="J30" s="54"/>
      <c r="K30" s="223"/>
      <c r="M30" s="238" t="str">
        <f>'GREEN SHEET'!BR30</f>
        <v/>
      </c>
      <c r="N30" s="51" t="str">
        <f>'GREEN SHEET'!BS30</f>
        <v/>
      </c>
      <c r="O30" s="50"/>
      <c r="P30" s="239" t="str">
        <f>'GREEN SHEET'!BV30</f>
        <v/>
      </c>
    </row>
    <row r="31" spans="1:16" ht="20.399999999999999" x14ac:dyDescent="0.3">
      <c r="A31" s="230"/>
      <c r="B31" s="52">
        <v>25</v>
      </c>
      <c r="C31" s="312" t="str">
        <f>IF(DATA!E29="","",DATA!E29)</f>
        <v/>
      </c>
      <c r="D31" s="53" t="str">
        <f>IF(DATA!C29="","",DATA!C29)</f>
        <v/>
      </c>
      <c r="E31" s="54"/>
      <c r="F31" s="54"/>
      <c r="G31" s="54"/>
      <c r="H31" s="54"/>
      <c r="I31" s="54"/>
      <c r="J31" s="54"/>
      <c r="K31" s="223"/>
      <c r="M31" s="238" t="str">
        <f>'GREEN SHEET'!BR31</f>
        <v/>
      </c>
      <c r="N31" s="51" t="str">
        <f>'GREEN SHEET'!BS31</f>
        <v/>
      </c>
      <c r="O31" s="50"/>
      <c r="P31" s="239" t="str">
        <f>'GREEN SHEET'!BV31</f>
        <v/>
      </c>
    </row>
    <row r="32" spans="1:16" ht="20.399999999999999" x14ac:dyDescent="0.3">
      <c r="A32" s="230"/>
      <c r="B32" s="52">
        <v>26</v>
      </c>
      <c r="C32" s="312" t="str">
        <f>IF(DATA!E30="","",DATA!E30)</f>
        <v/>
      </c>
      <c r="D32" s="53" t="str">
        <f>IF(DATA!C30="","",DATA!C30)</f>
        <v/>
      </c>
      <c r="E32" s="54"/>
      <c r="F32" s="54"/>
      <c r="G32" s="54"/>
      <c r="H32" s="54"/>
      <c r="I32" s="54"/>
      <c r="J32" s="54"/>
      <c r="K32" s="223"/>
      <c r="M32" s="238" t="str">
        <f>'GREEN SHEET'!BR32</f>
        <v/>
      </c>
      <c r="N32" s="51" t="str">
        <f>'GREEN SHEET'!BS32</f>
        <v/>
      </c>
      <c r="O32" s="50"/>
      <c r="P32" s="239" t="str">
        <f>'GREEN SHEET'!BV32</f>
        <v/>
      </c>
    </row>
    <row r="33" spans="1:16" ht="20.399999999999999" x14ac:dyDescent="0.3">
      <c r="A33" s="230"/>
      <c r="B33" s="52">
        <v>27</v>
      </c>
      <c r="C33" s="312" t="str">
        <f>IF(DATA!E31="","",DATA!E31)</f>
        <v/>
      </c>
      <c r="D33" s="53" t="str">
        <f>IF(DATA!C31="","",DATA!C31)</f>
        <v/>
      </c>
      <c r="E33" s="54"/>
      <c r="F33" s="54"/>
      <c r="G33" s="54"/>
      <c r="H33" s="54"/>
      <c r="I33" s="54"/>
      <c r="J33" s="54"/>
      <c r="K33" s="223"/>
      <c r="M33" s="238" t="str">
        <f>'GREEN SHEET'!BR33</f>
        <v/>
      </c>
      <c r="N33" s="51" t="str">
        <f>'GREEN SHEET'!BS33</f>
        <v/>
      </c>
      <c r="O33" s="50"/>
      <c r="P33" s="239" t="str">
        <f>'GREEN SHEET'!BV33</f>
        <v/>
      </c>
    </row>
    <row r="34" spans="1:16" ht="20.399999999999999" x14ac:dyDescent="0.3">
      <c r="A34" s="230"/>
      <c r="B34" s="52">
        <v>28</v>
      </c>
      <c r="C34" s="312" t="str">
        <f>IF(DATA!E32="","",DATA!E32)</f>
        <v/>
      </c>
      <c r="D34" s="53" t="str">
        <f>IF(DATA!C32="","",DATA!C32)</f>
        <v/>
      </c>
      <c r="E34" s="54"/>
      <c r="F34" s="54"/>
      <c r="G34" s="54"/>
      <c r="H34" s="54"/>
      <c r="I34" s="54"/>
      <c r="J34" s="54"/>
      <c r="K34" s="223"/>
      <c r="M34" s="238" t="str">
        <f>'GREEN SHEET'!BR34</f>
        <v/>
      </c>
      <c r="N34" s="51" t="str">
        <f>'GREEN SHEET'!BS34</f>
        <v/>
      </c>
      <c r="O34" s="50"/>
      <c r="P34" s="239" t="str">
        <f>'GREEN SHEET'!BV34</f>
        <v/>
      </c>
    </row>
    <row r="35" spans="1:16" ht="20.399999999999999" x14ac:dyDescent="0.3">
      <c r="A35" s="230"/>
      <c r="B35" s="52">
        <v>29</v>
      </c>
      <c r="C35" s="312" t="str">
        <f>IF(DATA!E33="","",DATA!E33)</f>
        <v/>
      </c>
      <c r="D35" s="53" t="str">
        <f>IF(DATA!C33="","",DATA!C33)</f>
        <v/>
      </c>
      <c r="E35" s="54"/>
      <c r="F35" s="54"/>
      <c r="G35" s="54"/>
      <c r="H35" s="54"/>
      <c r="I35" s="54"/>
      <c r="J35" s="54"/>
      <c r="K35" s="223"/>
      <c r="M35" s="238" t="str">
        <f>'GREEN SHEET'!BR35</f>
        <v/>
      </c>
      <c r="N35" s="51" t="str">
        <f>'GREEN SHEET'!BS35</f>
        <v/>
      </c>
      <c r="O35" s="50"/>
      <c r="P35" s="239" t="str">
        <f>'GREEN SHEET'!BV35</f>
        <v/>
      </c>
    </row>
    <row r="36" spans="1:16" ht="20.399999999999999" x14ac:dyDescent="0.3">
      <c r="A36" s="230"/>
      <c r="B36" s="52">
        <v>30</v>
      </c>
      <c r="C36" s="312" t="str">
        <f>IF(DATA!E34="","",DATA!E34)</f>
        <v/>
      </c>
      <c r="D36" s="53" t="str">
        <f>IF(DATA!C34="","",DATA!C34)</f>
        <v/>
      </c>
      <c r="E36" s="54"/>
      <c r="F36" s="54"/>
      <c r="G36" s="54"/>
      <c r="H36" s="54"/>
      <c r="I36" s="54"/>
      <c r="J36" s="54"/>
      <c r="K36" s="223"/>
      <c r="M36" s="238" t="str">
        <f>'GREEN SHEET'!BR36</f>
        <v/>
      </c>
      <c r="N36" s="51" t="str">
        <f>'GREEN SHEET'!BS36</f>
        <v/>
      </c>
      <c r="O36" s="50"/>
      <c r="P36" s="239" t="str">
        <f>'GREEN SHEET'!BV36</f>
        <v/>
      </c>
    </row>
    <row r="37" spans="1:16" ht="20.399999999999999" x14ac:dyDescent="0.3">
      <c r="A37" s="230"/>
      <c r="B37" s="52">
        <v>31</v>
      </c>
      <c r="C37" s="312" t="str">
        <f>IF(DATA!E35="","",DATA!E35)</f>
        <v/>
      </c>
      <c r="D37" s="53" t="str">
        <f>IF(DATA!C35="","",DATA!C35)</f>
        <v/>
      </c>
      <c r="E37" s="54"/>
      <c r="F37" s="54"/>
      <c r="G37" s="54"/>
      <c r="H37" s="54"/>
      <c r="I37" s="54"/>
      <c r="J37" s="54"/>
      <c r="K37" s="223"/>
      <c r="M37" s="238" t="str">
        <f>'GREEN SHEET'!BR37</f>
        <v/>
      </c>
      <c r="N37" s="51" t="str">
        <f>'GREEN SHEET'!BS37</f>
        <v/>
      </c>
      <c r="O37" s="50"/>
      <c r="P37" s="239" t="str">
        <f>'GREEN SHEET'!BV37</f>
        <v/>
      </c>
    </row>
    <row r="38" spans="1:16" ht="20.399999999999999" x14ac:dyDescent="0.3">
      <c r="A38" s="230"/>
      <c r="B38" s="52">
        <v>32</v>
      </c>
      <c r="C38" s="312" t="str">
        <f>IF(DATA!E36="","",DATA!E36)</f>
        <v/>
      </c>
      <c r="D38" s="53" t="str">
        <f>IF(DATA!C36="","",DATA!C36)</f>
        <v/>
      </c>
      <c r="E38" s="54"/>
      <c r="F38" s="54"/>
      <c r="G38" s="54"/>
      <c r="H38" s="54"/>
      <c r="I38" s="54"/>
      <c r="J38" s="54"/>
      <c r="K38" s="223"/>
      <c r="M38" s="238" t="str">
        <f>'GREEN SHEET'!BR38</f>
        <v/>
      </c>
      <c r="N38" s="51" t="str">
        <f>'GREEN SHEET'!BS38</f>
        <v/>
      </c>
      <c r="O38" s="50"/>
      <c r="P38" s="239" t="str">
        <f>'GREEN SHEET'!BV38</f>
        <v/>
      </c>
    </row>
    <row r="39" spans="1:16" ht="20.399999999999999" x14ac:dyDescent="0.3">
      <c r="A39" s="230"/>
      <c r="B39" s="52">
        <v>33</v>
      </c>
      <c r="C39" s="312" t="str">
        <f>IF(DATA!E37="","",DATA!E37)</f>
        <v/>
      </c>
      <c r="D39" s="53" t="str">
        <f>IF(DATA!C37="","",DATA!C37)</f>
        <v/>
      </c>
      <c r="E39" s="54"/>
      <c r="F39" s="54"/>
      <c r="G39" s="54"/>
      <c r="H39" s="54"/>
      <c r="I39" s="54"/>
      <c r="J39" s="54"/>
      <c r="K39" s="223"/>
      <c r="M39" s="238" t="str">
        <f>'GREEN SHEET'!BR39</f>
        <v/>
      </c>
      <c r="N39" s="51" t="str">
        <f>'GREEN SHEET'!BS39</f>
        <v/>
      </c>
      <c r="O39" s="50"/>
      <c r="P39" s="239" t="str">
        <f>'GREEN SHEET'!BV39</f>
        <v/>
      </c>
    </row>
    <row r="40" spans="1:16" ht="20.399999999999999" x14ac:dyDescent="0.3">
      <c r="A40" s="230"/>
      <c r="B40" s="52">
        <v>34</v>
      </c>
      <c r="C40" s="312" t="str">
        <f>IF(DATA!E38="","",DATA!E38)</f>
        <v/>
      </c>
      <c r="D40" s="53" t="str">
        <f>IF(DATA!C38="","",DATA!C38)</f>
        <v/>
      </c>
      <c r="E40" s="54"/>
      <c r="F40" s="54"/>
      <c r="G40" s="54"/>
      <c r="H40" s="54"/>
      <c r="I40" s="54"/>
      <c r="J40" s="54"/>
      <c r="K40" s="223"/>
      <c r="M40" s="238" t="str">
        <f>'GREEN SHEET'!BR40</f>
        <v/>
      </c>
      <c r="N40" s="51" t="str">
        <f>'GREEN SHEET'!BS40</f>
        <v/>
      </c>
      <c r="O40" s="50"/>
      <c r="P40" s="239" t="str">
        <f>'GREEN SHEET'!BV40</f>
        <v/>
      </c>
    </row>
    <row r="41" spans="1:16" ht="20.399999999999999" x14ac:dyDescent="0.3">
      <c r="A41" s="230"/>
      <c r="B41" s="52">
        <v>35</v>
      </c>
      <c r="C41" s="312" t="str">
        <f>IF(DATA!E39="","",DATA!E39)</f>
        <v/>
      </c>
      <c r="D41" s="53" t="str">
        <f>IF(DATA!C39="","",DATA!C39)</f>
        <v/>
      </c>
      <c r="E41" s="54"/>
      <c r="F41" s="54"/>
      <c r="G41" s="54"/>
      <c r="H41" s="54"/>
      <c r="I41" s="54"/>
      <c r="J41" s="54"/>
      <c r="K41" s="223"/>
      <c r="M41" s="238" t="str">
        <f>'GREEN SHEET'!BR41</f>
        <v/>
      </c>
      <c r="N41" s="51" t="str">
        <f>'GREEN SHEET'!BS41</f>
        <v/>
      </c>
      <c r="O41" s="50"/>
      <c r="P41" s="239" t="str">
        <f>'GREEN SHEET'!BV41</f>
        <v/>
      </c>
    </row>
    <row r="42" spans="1:16" ht="20.399999999999999" x14ac:dyDescent="0.3">
      <c r="A42" s="230"/>
      <c r="B42" s="52">
        <v>36</v>
      </c>
      <c r="C42" s="312" t="str">
        <f>IF(DATA!E40="","",DATA!E40)</f>
        <v/>
      </c>
      <c r="D42" s="53" t="str">
        <f>IF(DATA!C40="","",DATA!C40)</f>
        <v/>
      </c>
      <c r="E42" s="54"/>
      <c r="F42" s="54"/>
      <c r="G42" s="54"/>
      <c r="H42" s="54"/>
      <c r="I42" s="54"/>
      <c r="J42" s="54"/>
      <c r="K42" s="223"/>
      <c r="M42" s="238" t="str">
        <f>'GREEN SHEET'!BR42</f>
        <v/>
      </c>
      <c r="N42" s="51" t="str">
        <f>'GREEN SHEET'!BS42</f>
        <v/>
      </c>
      <c r="O42" s="50"/>
      <c r="P42" s="239" t="str">
        <f>'GREEN SHEET'!BV42</f>
        <v/>
      </c>
    </row>
    <row r="43" spans="1:16" ht="20.399999999999999" x14ac:dyDescent="0.3">
      <c r="A43" s="230"/>
      <c r="B43" s="52">
        <v>37</v>
      </c>
      <c r="C43" s="312" t="str">
        <f>IF(DATA!E41="","",DATA!E41)</f>
        <v/>
      </c>
      <c r="D43" s="53" t="str">
        <f>IF(DATA!C41="","",DATA!C41)</f>
        <v/>
      </c>
      <c r="E43" s="54"/>
      <c r="F43" s="54"/>
      <c r="G43" s="54"/>
      <c r="H43" s="54"/>
      <c r="I43" s="54"/>
      <c r="J43" s="54"/>
      <c r="K43" s="223"/>
      <c r="M43" s="238" t="str">
        <f>'GREEN SHEET'!BR43</f>
        <v/>
      </c>
      <c r="N43" s="51" t="str">
        <f>'GREEN SHEET'!BS43</f>
        <v/>
      </c>
      <c r="O43" s="50"/>
      <c r="P43" s="239" t="str">
        <f>'GREEN SHEET'!BV43</f>
        <v/>
      </c>
    </row>
    <row r="44" spans="1:16" ht="20.399999999999999" x14ac:dyDescent="0.3">
      <c r="A44" s="230"/>
      <c r="B44" s="52">
        <v>38</v>
      </c>
      <c r="C44" s="312" t="str">
        <f>IF(DATA!E42="","",DATA!E42)</f>
        <v/>
      </c>
      <c r="D44" s="53" t="str">
        <f>IF(DATA!C42="","",DATA!C42)</f>
        <v/>
      </c>
      <c r="E44" s="54"/>
      <c r="F44" s="54"/>
      <c r="G44" s="54"/>
      <c r="H44" s="54"/>
      <c r="I44" s="54"/>
      <c r="J44" s="54"/>
      <c r="K44" s="223"/>
      <c r="M44" s="238" t="str">
        <f>'GREEN SHEET'!BR44</f>
        <v/>
      </c>
      <c r="N44" s="51" t="str">
        <f>'GREEN SHEET'!BS44</f>
        <v/>
      </c>
      <c r="O44" s="50"/>
      <c r="P44" s="239" t="str">
        <f>'GREEN SHEET'!BV44</f>
        <v/>
      </c>
    </row>
    <row r="45" spans="1:16" ht="20.399999999999999" x14ac:dyDescent="0.3">
      <c r="A45" s="230"/>
      <c r="B45" s="52">
        <v>39</v>
      </c>
      <c r="C45" s="312" t="str">
        <f>IF(DATA!E43="","",DATA!E43)</f>
        <v/>
      </c>
      <c r="D45" s="53" t="str">
        <f>IF(DATA!C43="","",DATA!C43)</f>
        <v/>
      </c>
      <c r="E45" s="54"/>
      <c r="F45" s="54"/>
      <c r="G45" s="54"/>
      <c r="H45" s="54"/>
      <c r="I45" s="54"/>
      <c r="J45" s="54"/>
      <c r="K45" s="223"/>
      <c r="M45" s="238" t="str">
        <f>'GREEN SHEET'!BR45</f>
        <v/>
      </c>
      <c r="N45" s="51" t="str">
        <f>'GREEN SHEET'!BS45</f>
        <v/>
      </c>
      <c r="O45" s="50"/>
      <c r="P45" s="239" t="str">
        <f>'GREEN SHEET'!BV45</f>
        <v/>
      </c>
    </row>
    <row r="46" spans="1:16" ht="20.399999999999999" x14ac:dyDescent="0.3">
      <c r="A46" s="230"/>
      <c r="B46" s="52">
        <v>40</v>
      </c>
      <c r="C46" s="312" t="str">
        <f>IF(DATA!E44="","",DATA!E44)</f>
        <v/>
      </c>
      <c r="D46" s="53" t="str">
        <f>IF(DATA!C44="","",DATA!C44)</f>
        <v/>
      </c>
      <c r="E46" s="54"/>
      <c r="F46" s="54"/>
      <c r="G46" s="54"/>
      <c r="H46" s="54"/>
      <c r="I46" s="54"/>
      <c r="J46" s="54"/>
      <c r="K46" s="223"/>
      <c r="M46" s="238" t="str">
        <f>'GREEN SHEET'!BR46</f>
        <v/>
      </c>
      <c r="N46" s="51" t="str">
        <f>'GREEN SHEET'!BS46</f>
        <v/>
      </c>
      <c r="O46" s="50"/>
      <c r="P46" s="239" t="str">
        <f>'GREEN SHEET'!BV46</f>
        <v/>
      </c>
    </row>
    <row r="47" spans="1:16" ht="20.399999999999999" x14ac:dyDescent="0.3">
      <c r="A47" s="230"/>
      <c r="B47" s="52">
        <v>41</v>
      </c>
      <c r="C47" s="312" t="str">
        <f>IF(DATA!E45="","",DATA!E45)</f>
        <v/>
      </c>
      <c r="D47" s="53" t="str">
        <f>IF(DATA!C45="","",DATA!C45)</f>
        <v/>
      </c>
      <c r="E47" s="54"/>
      <c r="F47" s="54"/>
      <c r="G47" s="54"/>
      <c r="H47" s="54"/>
      <c r="I47" s="54"/>
      <c r="J47" s="54"/>
      <c r="K47" s="223"/>
      <c r="M47" s="238" t="str">
        <f>'GREEN SHEET'!BR47</f>
        <v/>
      </c>
      <c r="N47" s="51" t="str">
        <f>'GREEN SHEET'!BS47</f>
        <v/>
      </c>
      <c r="O47" s="50"/>
      <c r="P47" s="239" t="str">
        <f>'GREEN SHEET'!BV47</f>
        <v/>
      </c>
    </row>
    <row r="48" spans="1:16" ht="20.399999999999999" x14ac:dyDescent="0.3">
      <c r="A48" s="230"/>
      <c r="B48" s="52">
        <v>42</v>
      </c>
      <c r="C48" s="312" t="str">
        <f>IF(DATA!E46="","",DATA!E46)</f>
        <v/>
      </c>
      <c r="D48" s="53" t="str">
        <f>IF(DATA!C46="","",DATA!C46)</f>
        <v/>
      </c>
      <c r="E48" s="54"/>
      <c r="F48" s="54"/>
      <c r="G48" s="54"/>
      <c r="H48" s="54"/>
      <c r="I48" s="54"/>
      <c r="J48" s="54"/>
      <c r="K48" s="223"/>
      <c r="M48" s="238" t="str">
        <f>'GREEN SHEET'!BR48</f>
        <v/>
      </c>
      <c r="N48" s="51" t="str">
        <f>'GREEN SHEET'!BS48</f>
        <v/>
      </c>
      <c r="O48" s="50"/>
      <c r="P48" s="239" t="str">
        <f>'GREEN SHEET'!BV48</f>
        <v/>
      </c>
    </row>
    <row r="49" spans="1:17" ht="20.399999999999999" x14ac:dyDescent="0.3">
      <c r="A49" s="230"/>
      <c r="B49" s="52">
        <v>43</v>
      </c>
      <c r="C49" s="312" t="str">
        <f>IF(DATA!E47="","",DATA!E47)</f>
        <v/>
      </c>
      <c r="D49" s="53" t="str">
        <f>IF(DATA!C47="","",DATA!C47)</f>
        <v/>
      </c>
      <c r="E49" s="54"/>
      <c r="F49" s="54"/>
      <c r="G49" s="54"/>
      <c r="H49" s="54"/>
      <c r="I49" s="54"/>
      <c r="J49" s="54"/>
      <c r="K49" s="223"/>
      <c r="M49" s="238" t="str">
        <f>'GREEN SHEET'!BR49</f>
        <v/>
      </c>
      <c r="N49" s="51" t="str">
        <f>'GREEN SHEET'!BS49</f>
        <v/>
      </c>
      <c r="O49" s="50"/>
      <c r="P49" s="239" t="str">
        <f>'GREEN SHEET'!BV49</f>
        <v/>
      </c>
    </row>
    <row r="50" spans="1:17" ht="20.399999999999999" x14ac:dyDescent="0.3">
      <c r="A50" s="230"/>
      <c r="B50" s="52">
        <v>44</v>
      </c>
      <c r="C50" s="312" t="str">
        <f>IF(DATA!E48="","",DATA!E48)</f>
        <v/>
      </c>
      <c r="D50" s="53" t="str">
        <f>IF(DATA!C48="","",DATA!C48)</f>
        <v/>
      </c>
      <c r="E50" s="54"/>
      <c r="F50" s="54"/>
      <c r="G50" s="54"/>
      <c r="H50" s="54"/>
      <c r="I50" s="54"/>
      <c r="J50" s="54"/>
      <c r="K50" s="223"/>
      <c r="M50" s="238" t="str">
        <f>'GREEN SHEET'!BR50</f>
        <v/>
      </c>
      <c r="N50" s="51" t="str">
        <f>'GREEN SHEET'!BS50</f>
        <v/>
      </c>
      <c r="O50" s="50"/>
      <c r="P50" s="239" t="str">
        <f>'GREEN SHEET'!BV50</f>
        <v/>
      </c>
    </row>
    <row r="51" spans="1:17" ht="21" thickBot="1" x14ac:dyDescent="0.35">
      <c r="A51" s="230"/>
      <c r="B51" s="55">
        <v>45</v>
      </c>
      <c r="C51" s="313" t="str">
        <f>IF(DATA!E49="","",DATA!E49)</f>
        <v/>
      </c>
      <c r="D51" s="224" t="str">
        <f>IF(DATA!C49="","",DATA!C49)</f>
        <v/>
      </c>
      <c r="E51" s="56"/>
      <c r="F51" s="56"/>
      <c r="G51" s="56"/>
      <c r="H51" s="56"/>
      <c r="I51" s="56"/>
      <c r="J51" s="56"/>
      <c r="K51" s="225"/>
      <c r="M51" s="238" t="str">
        <f>'GREEN SHEET'!BR112</f>
        <v/>
      </c>
      <c r="N51" s="51" t="str">
        <f>'GREEN SHEET'!BS112</f>
        <v/>
      </c>
      <c r="O51" s="50"/>
      <c r="P51" s="239" t="str">
        <f>'GREEN SHEET'!BV51</f>
        <v/>
      </c>
    </row>
    <row r="52" spans="1:17" ht="59.25" customHeight="1" thickBot="1" x14ac:dyDescent="0.35">
      <c r="A52" s="230"/>
      <c r="B52" s="711" t="s">
        <v>224</v>
      </c>
      <c r="C52" s="712"/>
      <c r="D52" s="712"/>
      <c r="E52" s="723"/>
      <c r="F52" s="724"/>
      <c r="G52" s="724"/>
      <c r="H52" s="724"/>
      <c r="I52" s="724"/>
      <c r="J52" s="724"/>
      <c r="K52" s="725"/>
      <c r="M52" s="708"/>
      <c r="N52" s="709"/>
      <c r="O52" s="709"/>
      <c r="P52" s="710"/>
    </row>
    <row r="53" spans="1:17" ht="15" customHeight="1" x14ac:dyDescent="0.3">
      <c r="A53" s="228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44"/>
      <c r="P53" s="44"/>
    </row>
    <row r="54" spans="1:17" ht="15" hidden="1" customHeight="1" x14ac:dyDescent="0.3">
      <c r="Q54" s="8"/>
    </row>
  </sheetData>
  <sheetProtection algorithmName="SHA-512" hashValue="QK7e6hFMRVHr+h5OviIYn9T2SNChYoAC1990qgoiKYkM4sd7XDPtyV9NDQJD+WlidE9v9yMlwBKdiVuo53pO6w==" saltValue="H5Ehsgmcs4ca/Gr472x9MQ==" spinCount="100000" sheet="1" objects="1" scenarios="1" selectLockedCells="1"/>
  <mergeCells count="7">
    <mergeCell ref="M52:P52"/>
    <mergeCell ref="B52:D52"/>
    <mergeCell ref="H4:K4"/>
    <mergeCell ref="B6:D6"/>
    <mergeCell ref="B2:K2"/>
    <mergeCell ref="B3:K3"/>
    <mergeCell ref="E52:K52"/>
  </mergeCells>
  <conditionalFormatting sqref="O7:O51">
    <cfRule type="expression" dxfId="3" priority="1">
      <formula>AND(OR(M7&gt;=33,$O$6="",O7&gt;$O$6),O7&lt;&gt;"")</formula>
    </cfRule>
  </conditionalFormatting>
  <dataValidations count="1">
    <dataValidation type="custom" allowBlank="1" showInputMessage="1" showErrorMessage="1" errorTitle="Invalid Entry" error="Entry not allowed._x000a_Check the following:_x000a_• STUDENT ALREADY PASSED_x000a_• DEFINE MAX MARKS_x000a_• ENTERED VALUE MUST NOT GREATER THAN MAX MARKS" sqref="O7:O51">
      <formula1>AND(M7&lt;33,$O$6&lt;&gt;"",O7&lt;=$O$6)</formula1>
    </dataValidation>
  </dataValidations>
  <hyperlinks>
    <hyperlink ref="A1" location="DASHBOARD!A1" display="D"/>
  </hyperlinks>
  <pageMargins left="0.59055118110236227" right="0.23" top="0.36" bottom="0.27" header="0.31496062992125984" footer="0.31496062992125984"/>
  <pageSetup scale="64" orientation="portrait" r:id="rId1"/>
  <ignoredErrors>
    <ignoredError sqref="C7:D51 M6:N51" unlocked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S54"/>
  <sheetViews>
    <sheetView workbookViewId="0">
      <selection activeCell="O12" sqref="O12"/>
    </sheetView>
  </sheetViews>
  <sheetFormatPr defaultColWidth="0" defaultRowHeight="15" customHeight="1" zeroHeight="1" x14ac:dyDescent="0.3"/>
  <cols>
    <col min="1" max="1" width="3.109375" style="231" bestFit="1" customWidth="1"/>
    <col min="2" max="2" width="4.88671875" style="24" bestFit="1" customWidth="1"/>
    <col min="3" max="3" width="45.5546875" style="24" bestFit="1" customWidth="1"/>
    <col min="4" max="4" width="7.109375" style="24" bestFit="1" customWidth="1"/>
    <col min="5" max="5" width="7.5546875" style="24" bestFit="1" customWidth="1"/>
    <col min="6" max="6" width="5.5546875" style="24" bestFit="1" customWidth="1"/>
    <col min="7" max="7" width="6.5546875" style="24" bestFit="1" customWidth="1"/>
    <col min="8" max="8" width="10.6640625" style="24" bestFit="1" customWidth="1"/>
    <col min="9" max="9" width="3.33203125" style="24" bestFit="1" customWidth="1"/>
    <col min="10" max="10" width="8.33203125" style="24" bestFit="1" customWidth="1"/>
    <col min="11" max="11" width="8.5546875" style="24" bestFit="1" customWidth="1"/>
    <col min="12" max="12" width="1.44140625" style="235" customWidth="1"/>
    <col min="13" max="13" width="7.33203125" style="43" customWidth="1"/>
    <col min="14" max="14" width="7.6640625" style="43" customWidth="1"/>
    <col min="15" max="15" width="8.88671875" style="43" customWidth="1"/>
    <col min="16" max="16" width="7.6640625" style="43" customWidth="1"/>
    <col min="17" max="17" width="2.33203125" style="7" customWidth="1"/>
    <col min="18" max="19" width="0" style="8" hidden="1" customWidth="1"/>
    <col min="20" max="16384" width="9.109375" style="8" hidden="1"/>
  </cols>
  <sheetData>
    <row r="1" spans="1:17" ht="11.25" customHeight="1" thickBot="1" x14ac:dyDescent="0.35">
      <c r="A1" s="226" t="s">
        <v>24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</row>
    <row r="2" spans="1:17" ht="36.75" customHeight="1" x14ac:dyDescent="0.3">
      <c r="A2" s="228"/>
      <c r="B2" s="717" t="str">
        <f>"SWAMI VIVEKANAND GOVT. MODEL SCHOOL,"&amp;DASHBOARD!C3</f>
        <v>SWAMI VIVEKANAND GOVT. MODEL SCHOOL,XXXX,  BLOCK-XXXX (RAJSAMAND)</v>
      </c>
      <c r="C2" s="718"/>
      <c r="D2" s="718"/>
      <c r="E2" s="718"/>
      <c r="F2" s="718"/>
      <c r="G2" s="718"/>
      <c r="H2" s="718"/>
      <c r="I2" s="718"/>
      <c r="J2" s="718"/>
      <c r="K2" s="719"/>
      <c r="M2" s="330"/>
      <c r="N2" s="331"/>
      <c r="O2" s="331"/>
      <c r="P2" s="332"/>
    </row>
    <row r="3" spans="1:17" ht="23.25" customHeight="1" thickBot="1" x14ac:dyDescent="0.35">
      <c r="A3" s="228"/>
      <c r="B3" s="720" t="str">
        <f>IF(DASHBOARD!B4="","",DASHBOARD!B4)</f>
        <v>SESSION  -  2025-26</v>
      </c>
      <c r="C3" s="721"/>
      <c r="D3" s="721"/>
      <c r="E3" s="721"/>
      <c r="F3" s="721"/>
      <c r="G3" s="721"/>
      <c r="H3" s="721"/>
      <c r="I3" s="721"/>
      <c r="J3" s="721"/>
      <c r="K3" s="722"/>
      <c r="M3" s="330"/>
      <c r="N3" s="331"/>
      <c r="O3" s="331"/>
      <c r="P3" s="332"/>
    </row>
    <row r="4" spans="1:17" s="18" customFormat="1" ht="27.75" customHeight="1" thickBot="1" x14ac:dyDescent="0.5">
      <c r="A4" s="229"/>
      <c r="B4" s="232"/>
      <c r="C4" s="233" t="s">
        <v>87</v>
      </c>
      <c r="D4" s="234" t="str">
        <f>DASHBOARD!B8&amp;DASHBOARD!C8</f>
        <v>9A</v>
      </c>
      <c r="E4" s="234"/>
      <c r="F4" s="234"/>
      <c r="G4" s="234"/>
      <c r="H4" s="715" t="s">
        <v>84</v>
      </c>
      <c r="I4" s="715"/>
      <c r="J4" s="715"/>
      <c r="K4" s="716"/>
      <c r="L4" s="235"/>
      <c r="M4" s="236"/>
      <c r="N4" s="47"/>
      <c r="O4" s="47"/>
      <c r="P4" s="237"/>
      <c r="Q4" s="16"/>
    </row>
    <row r="5" spans="1:17" ht="75" x14ac:dyDescent="0.3">
      <c r="A5" s="228"/>
      <c r="B5" s="304" t="s">
        <v>97</v>
      </c>
      <c r="C5" s="305" t="s">
        <v>96</v>
      </c>
      <c r="D5" s="305" t="s">
        <v>5</v>
      </c>
      <c r="E5" s="305" t="s">
        <v>93</v>
      </c>
      <c r="F5" s="305" t="s">
        <v>94</v>
      </c>
      <c r="G5" s="305" t="s">
        <v>95</v>
      </c>
      <c r="H5" s="306" t="s">
        <v>140</v>
      </c>
      <c r="I5" s="306" t="s">
        <v>138</v>
      </c>
      <c r="J5" s="306" t="s">
        <v>141</v>
      </c>
      <c r="K5" s="307" t="s">
        <v>22</v>
      </c>
      <c r="L5" s="308"/>
      <c r="M5" s="309" t="s">
        <v>57</v>
      </c>
      <c r="N5" s="310" t="s">
        <v>146</v>
      </c>
      <c r="O5" s="310" t="s">
        <v>152</v>
      </c>
      <c r="P5" s="311" t="s">
        <v>57</v>
      </c>
    </row>
    <row r="6" spans="1:17" ht="20.399999999999999" x14ac:dyDescent="0.3">
      <c r="A6" s="228"/>
      <c r="B6" s="713" t="s">
        <v>23</v>
      </c>
      <c r="C6" s="714"/>
      <c r="D6" s="714"/>
      <c r="E6" s="50">
        <v>10</v>
      </c>
      <c r="F6" s="50">
        <v>80</v>
      </c>
      <c r="G6" s="50">
        <v>10</v>
      </c>
      <c r="H6" s="50">
        <v>5</v>
      </c>
      <c r="I6" s="50">
        <v>5</v>
      </c>
      <c r="J6" s="50">
        <v>5</v>
      </c>
      <c r="K6" s="222">
        <v>80</v>
      </c>
      <c r="M6" s="238">
        <f>'GREEN SHEET'!CM6</f>
        <v>100</v>
      </c>
      <c r="N6" s="51" t="str">
        <f>'GREEN SHEET'!CN6</f>
        <v>A1</v>
      </c>
      <c r="O6" s="50">
        <v>80</v>
      </c>
      <c r="P6" s="239">
        <f>'GREEN SHEET'!CQ6</f>
        <v>100</v>
      </c>
    </row>
    <row r="7" spans="1:17" ht="20.399999999999999" x14ac:dyDescent="0.3">
      <c r="A7" s="230"/>
      <c r="B7" s="52">
        <v>1</v>
      </c>
      <c r="C7" s="312" t="str">
        <f>IF(DATA!E5="","",DATA!E5)</f>
        <v>ARTI PRAJAPAT</v>
      </c>
      <c r="D7" s="53">
        <f>IF(DATA!C5="","",DATA!C5)</f>
        <v>901</v>
      </c>
      <c r="E7" s="54">
        <v>0</v>
      </c>
      <c r="F7" s="54">
        <v>21</v>
      </c>
      <c r="G7" s="54">
        <v>8</v>
      </c>
      <c r="H7" s="54">
        <v>3</v>
      </c>
      <c r="I7" s="54">
        <v>3</v>
      </c>
      <c r="J7" s="54">
        <v>3</v>
      </c>
      <c r="K7" s="223">
        <v>10</v>
      </c>
      <c r="M7" s="238">
        <f>'GREEN SHEET'!CM7</f>
        <v>22</v>
      </c>
      <c r="N7" s="51" t="str">
        <f>'GREEN SHEET'!CN7</f>
        <v>E</v>
      </c>
      <c r="O7" s="50"/>
      <c r="P7" s="239" t="str">
        <f>'GREEN SHEET'!CQ7</f>
        <v/>
      </c>
    </row>
    <row r="8" spans="1:17" ht="20.399999999999999" x14ac:dyDescent="0.3">
      <c r="A8" s="230"/>
      <c r="B8" s="52">
        <v>2</v>
      </c>
      <c r="C8" s="312" t="str">
        <f>IF(DATA!E6="","",DATA!E6)</f>
        <v>ARVIND SINGH BALLA</v>
      </c>
      <c r="D8" s="53">
        <f>IF(DATA!C6="","",DATA!C6)</f>
        <v>902</v>
      </c>
      <c r="E8" s="54">
        <v>7</v>
      </c>
      <c r="F8" s="54">
        <v>21</v>
      </c>
      <c r="G8" s="54">
        <v>7</v>
      </c>
      <c r="H8" s="54">
        <v>4</v>
      </c>
      <c r="I8" s="54">
        <v>4</v>
      </c>
      <c r="J8" s="54">
        <v>4</v>
      </c>
      <c r="K8" s="223">
        <v>20</v>
      </c>
      <c r="M8" s="238">
        <f>'GREEN SHEET'!CM8</f>
        <v>36</v>
      </c>
      <c r="N8" s="51" t="str">
        <f>'GREEN SHEET'!CN8</f>
        <v>D</v>
      </c>
      <c r="O8" s="50"/>
      <c r="P8" s="239" t="str">
        <f>'GREEN SHEET'!CQ8</f>
        <v/>
      </c>
    </row>
    <row r="9" spans="1:17" ht="20.399999999999999" x14ac:dyDescent="0.3">
      <c r="A9" s="230"/>
      <c r="B9" s="52">
        <v>3</v>
      </c>
      <c r="C9" s="312" t="str">
        <f>IF(DATA!E7="","",DATA!E7)</f>
        <v>BHAVESH SINGH RAO</v>
      </c>
      <c r="D9" s="53" t="str">
        <f>IF(DATA!C7="","",DATA!C7)</f>
        <v>TC</v>
      </c>
      <c r="E9" s="54">
        <v>5</v>
      </c>
      <c r="F9" s="54">
        <v>31</v>
      </c>
      <c r="G9" s="54">
        <v>8</v>
      </c>
      <c r="H9" s="54">
        <v>5</v>
      </c>
      <c r="I9" s="54">
        <v>5</v>
      </c>
      <c r="J9" s="54">
        <v>4</v>
      </c>
      <c r="K9" s="223">
        <v>30</v>
      </c>
      <c r="M9" s="238" t="str">
        <f>'GREEN SHEET'!CM9</f>
        <v/>
      </c>
      <c r="N9" s="51" t="str">
        <f>'GREEN SHEET'!CN9</f>
        <v/>
      </c>
      <c r="O9" s="50"/>
      <c r="P9" s="239" t="str">
        <f>'GREEN SHEET'!CQ9</f>
        <v/>
      </c>
    </row>
    <row r="10" spans="1:17" ht="20.399999999999999" x14ac:dyDescent="0.3">
      <c r="A10" s="230"/>
      <c r="B10" s="52">
        <v>4</v>
      </c>
      <c r="C10" s="312" t="str">
        <f>IF(DATA!E8="","",DATA!E8)</f>
        <v/>
      </c>
      <c r="D10" s="53" t="str">
        <f>IF(DATA!C8="","",DATA!C8)</f>
        <v/>
      </c>
      <c r="E10" s="54"/>
      <c r="F10" s="54"/>
      <c r="G10" s="54"/>
      <c r="H10" s="54"/>
      <c r="I10" s="54"/>
      <c r="J10" s="54"/>
      <c r="K10" s="223"/>
      <c r="M10" s="238" t="str">
        <f>'GREEN SHEET'!CM10</f>
        <v/>
      </c>
      <c r="N10" s="51" t="str">
        <f>'GREEN SHEET'!CN10</f>
        <v/>
      </c>
      <c r="O10" s="50"/>
      <c r="P10" s="239" t="str">
        <f>'GREEN SHEET'!CQ10</f>
        <v/>
      </c>
    </row>
    <row r="11" spans="1:17" ht="20.399999999999999" x14ac:dyDescent="0.3">
      <c r="A11" s="230"/>
      <c r="B11" s="52">
        <v>5</v>
      </c>
      <c r="C11" s="312" t="str">
        <f>IF(DATA!E9="","",DATA!E9)</f>
        <v/>
      </c>
      <c r="D11" s="53" t="str">
        <f>IF(DATA!C9="","",DATA!C9)</f>
        <v/>
      </c>
      <c r="E11" s="54"/>
      <c r="F11" s="54"/>
      <c r="G11" s="54"/>
      <c r="H11" s="54"/>
      <c r="I11" s="54"/>
      <c r="J11" s="54"/>
      <c r="K11" s="223"/>
      <c r="M11" s="238" t="str">
        <f>'GREEN SHEET'!CM11</f>
        <v/>
      </c>
      <c r="N11" s="51" t="str">
        <f>'GREEN SHEET'!CN11</f>
        <v/>
      </c>
      <c r="O11" s="50"/>
      <c r="P11" s="239" t="str">
        <f>'GREEN SHEET'!CQ11</f>
        <v/>
      </c>
    </row>
    <row r="12" spans="1:17" ht="20.399999999999999" x14ac:dyDescent="0.3">
      <c r="A12" s="230"/>
      <c r="B12" s="52">
        <v>6</v>
      </c>
      <c r="C12" s="312" t="str">
        <f>IF(DATA!E10="","",DATA!E10)</f>
        <v/>
      </c>
      <c r="D12" s="53" t="str">
        <f>IF(DATA!C10="","",DATA!C10)</f>
        <v/>
      </c>
      <c r="E12" s="54"/>
      <c r="F12" s="54"/>
      <c r="G12" s="54"/>
      <c r="H12" s="54"/>
      <c r="I12" s="54"/>
      <c r="J12" s="54"/>
      <c r="K12" s="223"/>
      <c r="M12" s="238" t="str">
        <f>'GREEN SHEET'!CM12</f>
        <v/>
      </c>
      <c r="N12" s="51" t="str">
        <f>'GREEN SHEET'!CN12</f>
        <v/>
      </c>
      <c r="O12" s="50"/>
      <c r="P12" s="239" t="str">
        <f>'GREEN SHEET'!CQ12</f>
        <v/>
      </c>
    </row>
    <row r="13" spans="1:17" ht="20.399999999999999" x14ac:dyDescent="0.3">
      <c r="A13" s="230"/>
      <c r="B13" s="52">
        <v>7</v>
      </c>
      <c r="C13" s="312" t="str">
        <f>IF(DATA!E11="","",DATA!E11)</f>
        <v/>
      </c>
      <c r="D13" s="53" t="str">
        <f>IF(DATA!C11="","",DATA!C11)</f>
        <v/>
      </c>
      <c r="E13" s="54"/>
      <c r="F13" s="54"/>
      <c r="G13" s="54"/>
      <c r="H13" s="54"/>
      <c r="I13" s="54"/>
      <c r="J13" s="54"/>
      <c r="K13" s="223"/>
      <c r="M13" s="238" t="str">
        <f>'GREEN SHEET'!CM13</f>
        <v/>
      </c>
      <c r="N13" s="51" t="str">
        <f>'GREEN SHEET'!CN13</f>
        <v/>
      </c>
      <c r="O13" s="50"/>
      <c r="P13" s="239" t="str">
        <f>'GREEN SHEET'!CQ13</f>
        <v/>
      </c>
    </row>
    <row r="14" spans="1:17" ht="20.399999999999999" x14ac:dyDescent="0.3">
      <c r="A14" s="230"/>
      <c r="B14" s="52">
        <v>8</v>
      </c>
      <c r="C14" s="312" t="str">
        <f>IF(DATA!E12="","",DATA!E12)</f>
        <v/>
      </c>
      <c r="D14" s="53" t="str">
        <f>IF(DATA!C12="","",DATA!C12)</f>
        <v/>
      </c>
      <c r="E14" s="54"/>
      <c r="F14" s="54"/>
      <c r="G14" s="54"/>
      <c r="H14" s="54"/>
      <c r="I14" s="54"/>
      <c r="J14" s="54"/>
      <c r="K14" s="223"/>
      <c r="M14" s="238" t="str">
        <f>'GREEN SHEET'!CM14</f>
        <v/>
      </c>
      <c r="N14" s="51" t="str">
        <f>'GREEN SHEET'!CN14</f>
        <v/>
      </c>
      <c r="O14" s="50"/>
      <c r="P14" s="239" t="str">
        <f>'GREEN SHEET'!CQ14</f>
        <v/>
      </c>
    </row>
    <row r="15" spans="1:17" ht="20.399999999999999" x14ac:dyDescent="0.3">
      <c r="A15" s="230"/>
      <c r="B15" s="52">
        <v>9</v>
      </c>
      <c r="C15" s="312" t="str">
        <f>IF(DATA!E13="","",DATA!E13)</f>
        <v/>
      </c>
      <c r="D15" s="53" t="str">
        <f>IF(DATA!C13="","",DATA!C13)</f>
        <v/>
      </c>
      <c r="E15" s="54"/>
      <c r="F15" s="54"/>
      <c r="G15" s="54"/>
      <c r="H15" s="54"/>
      <c r="I15" s="54"/>
      <c r="J15" s="54"/>
      <c r="K15" s="223"/>
      <c r="M15" s="238" t="str">
        <f>'GREEN SHEET'!CM15</f>
        <v/>
      </c>
      <c r="N15" s="51" t="str">
        <f>'GREEN SHEET'!CN15</f>
        <v/>
      </c>
      <c r="O15" s="50"/>
      <c r="P15" s="239" t="str">
        <f>'GREEN SHEET'!CQ15</f>
        <v/>
      </c>
    </row>
    <row r="16" spans="1:17" ht="20.399999999999999" x14ac:dyDescent="0.3">
      <c r="A16" s="230"/>
      <c r="B16" s="52">
        <v>10</v>
      </c>
      <c r="C16" s="312" t="str">
        <f>IF(DATA!E14="","",DATA!E14)</f>
        <v/>
      </c>
      <c r="D16" s="53" t="str">
        <f>IF(DATA!C14="","",DATA!C14)</f>
        <v/>
      </c>
      <c r="E16" s="54"/>
      <c r="F16" s="54"/>
      <c r="G16" s="54"/>
      <c r="H16" s="54"/>
      <c r="I16" s="54"/>
      <c r="J16" s="54"/>
      <c r="K16" s="223"/>
      <c r="M16" s="238" t="str">
        <f>'GREEN SHEET'!CM16</f>
        <v/>
      </c>
      <c r="N16" s="51" t="str">
        <f>'GREEN SHEET'!CN16</f>
        <v/>
      </c>
      <c r="O16" s="50"/>
      <c r="P16" s="239" t="str">
        <f>'GREEN SHEET'!CQ16</f>
        <v/>
      </c>
    </row>
    <row r="17" spans="1:16" ht="20.399999999999999" x14ac:dyDescent="0.3">
      <c r="A17" s="230"/>
      <c r="B17" s="52">
        <v>11</v>
      </c>
      <c r="C17" s="312" t="str">
        <f>IF(DATA!E15="","",DATA!E15)</f>
        <v/>
      </c>
      <c r="D17" s="53" t="str">
        <f>IF(DATA!C15="","",DATA!C15)</f>
        <v/>
      </c>
      <c r="E17" s="54"/>
      <c r="F17" s="54"/>
      <c r="G17" s="54"/>
      <c r="H17" s="54"/>
      <c r="I17" s="54"/>
      <c r="J17" s="54"/>
      <c r="K17" s="223"/>
      <c r="M17" s="238" t="str">
        <f>'GREEN SHEET'!CM17</f>
        <v/>
      </c>
      <c r="N17" s="51" t="str">
        <f>'GREEN SHEET'!CN17</f>
        <v/>
      </c>
      <c r="O17" s="50"/>
      <c r="P17" s="239" t="str">
        <f>'GREEN SHEET'!CQ17</f>
        <v/>
      </c>
    </row>
    <row r="18" spans="1:16" ht="20.399999999999999" x14ac:dyDescent="0.3">
      <c r="A18" s="230"/>
      <c r="B18" s="52">
        <v>12</v>
      </c>
      <c r="C18" s="312" t="str">
        <f>IF(DATA!E16="","",DATA!E16)</f>
        <v/>
      </c>
      <c r="D18" s="53" t="str">
        <f>IF(DATA!C16="","",DATA!C16)</f>
        <v/>
      </c>
      <c r="E18" s="54"/>
      <c r="F18" s="54"/>
      <c r="G18" s="54"/>
      <c r="H18" s="54"/>
      <c r="I18" s="54"/>
      <c r="J18" s="54"/>
      <c r="K18" s="223"/>
      <c r="M18" s="238" t="str">
        <f>'GREEN SHEET'!CM18</f>
        <v/>
      </c>
      <c r="N18" s="51" t="str">
        <f>'GREEN SHEET'!CN18</f>
        <v/>
      </c>
      <c r="O18" s="50"/>
      <c r="P18" s="239" t="str">
        <f>'GREEN SHEET'!CQ18</f>
        <v/>
      </c>
    </row>
    <row r="19" spans="1:16" ht="20.399999999999999" x14ac:dyDescent="0.3">
      <c r="A19" s="230"/>
      <c r="B19" s="52">
        <v>13</v>
      </c>
      <c r="C19" s="312" t="str">
        <f>IF(DATA!E17="","",DATA!E17)</f>
        <v/>
      </c>
      <c r="D19" s="53" t="str">
        <f>IF(DATA!C17="","",DATA!C17)</f>
        <v/>
      </c>
      <c r="E19" s="54"/>
      <c r="F19" s="54"/>
      <c r="G19" s="54"/>
      <c r="H19" s="54"/>
      <c r="I19" s="54"/>
      <c r="J19" s="54"/>
      <c r="K19" s="223"/>
      <c r="M19" s="238" t="str">
        <f>'GREEN SHEET'!CM19</f>
        <v/>
      </c>
      <c r="N19" s="51" t="str">
        <f>'GREEN SHEET'!CN19</f>
        <v/>
      </c>
      <c r="O19" s="50"/>
      <c r="P19" s="239" t="str">
        <f>'GREEN SHEET'!CQ19</f>
        <v/>
      </c>
    </row>
    <row r="20" spans="1:16" ht="20.399999999999999" x14ac:dyDescent="0.3">
      <c r="A20" s="230"/>
      <c r="B20" s="52">
        <v>14</v>
      </c>
      <c r="C20" s="312" t="str">
        <f>IF(DATA!E18="","",DATA!E18)</f>
        <v/>
      </c>
      <c r="D20" s="53" t="str">
        <f>IF(DATA!C18="","",DATA!C18)</f>
        <v/>
      </c>
      <c r="E20" s="54"/>
      <c r="F20" s="54"/>
      <c r="G20" s="54"/>
      <c r="H20" s="54"/>
      <c r="I20" s="54"/>
      <c r="J20" s="54"/>
      <c r="K20" s="223"/>
      <c r="M20" s="238" t="str">
        <f>'GREEN SHEET'!CM20</f>
        <v/>
      </c>
      <c r="N20" s="51" t="str">
        <f>'GREEN SHEET'!CN20</f>
        <v/>
      </c>
      <c r="O20" s="50"/>
      <c r="P20" s="239" t="str">
        <f>'GREEN SHEET'!CQ20</f>
        <v/>
      </c>
    </row>
    <row r="21" spans="1:16" ht="20.399999999999999" x14ac:dyDescent="0.3">
      <c r="A21" s="230"/>
      <c r="B21" s="52">
        <v>15</v>
      </c>
      <c r="C21" s="312" t="str">
        <f>IF(DATA!E19="","",DATA!E19)</f>
        <v/>
      </c>
      <c r="D21" s="53" t="str">
        <f>IF(DATA!C19="","",DATA!C19)</f>
        <v/>
      </c>
      <c r="E21" s="54"/>
      <c r="F21" s="54"/>
      <c r="G21" s="54"/>
      <c r="H21" s="54"/>
      <c r="I21" s="54"/>
      <c r="J21" s="54"/>
      <c r="K21" s="223"/>
      <c r="M21" s="238" t="str">
        <f>'GREEN SHEET'!CM21</f>
        <v/>
      </c>
      <c r="N21" s="51" t="str">
        <f>'GREEN SHEET'!CN21</f>
        <v/>
      </c>
      <c r="O21" s="50"/>
      <c r="P21" s="239" t="str">
        <f>'GREEN SHEET'!CQ21</f>
        <v/>
      </c>
    </row>
    <row r="22" spans="1:16" ht="20.399999999999999" x14ac:dyDescent="0.3">
      <c r="A22" s="230"/>
      <c r="B22" s="52">
        <v>16</v>
      </c>
      <c r="C22" s="312" t="str">
        <f>IF(DATA!E20="","",DATA!E20)</f>
        <v/>
      </c>
      <c r="D22" s="53" t="str">
        <f>IF(DATA!C20="","",DATA!C20)</f>
        <v/>
      </c>
      <c r="E22" s="54"/>
      <c r="F22" s="54"/>
      <c r="G22" s="54"/>
      <c r="H22" s="54"/>
      <c r="I22" s="54"/>
      <c r="J22" s="54"/>
      <c r="K22" s="223"/>
      <c r="M22" s="238" t="str">
        <f>'GREEN SHEET'!CM22</f>
        <v/>
      </c>
      <c r="N22" s="51" t="str">
        <f>'GREEN SHEET'!CN22</f>
        <v/>
      </c>
      <c r="O22" s="50"/>
      <c r="P22" s="239" t="str">
        <f>'GREEN SHEET'!CQ22</f>
        <v/>
      </c>
    </row>
    <row r="23" spans="1:16" ht="20.399999999999999" x14ac:dyDescent="0.3">
      <c r="A23" s="230"/>
      <c r="B23" s="52">
        <v>17</v>
      </c>
      <c r="C23" s="312" t="str">
        <f>IF(DATA!E21="","",DATA!E21)</f>
        <v/>
      </c>
      <c r="D23" s="53" t="str">
        <f>IF(DATA!C21="","",DATA!C21)</f>
        <v/>
      </c>
      <c r="E23" s="54"/>
      <c r="F23" s="54"/>
      <c r="G23" s="54"/>
      <c r="H23" s="54"/>
      <c r="I23" s="54"/>
      <c r="J23" s="54"/>
      <c r="K23" s="223"/>
      <c r="M23" s="238" t="str">
        <f>'GREEN SHEET'!CM23</f>
        <v/>
      </c>
      <c r="N23" s="51" t="str">
        <f>'GREEN SHEET'!CN23</f>
        <v/>
      </c>
      <c r="O23" s="50"/>
      <c r="P23" s="239" t="str">
        <f>'GREEN SHEET'!CQ23</f>
        <v/>
      </c>
    </row>
    <row r="24" spans="1:16" ht="20.399999999999999" x14ac:dyDescent="0.3">
      <c r="A24" s="230"/>
      <c r="B24" s="52">
        <v>18</v>
      </c>
      <c r="C24" s="312" t="str">
        <f>IF(DATA!E22="","",DATA!E22)</f>
        <v/>
      </c>
      <c r="D24" s="53" t="str">
        <f>IF(DATA!C22="","",DATA!C22)</f>
        <v/>
      </c>
      <c r="E24" s="54"/>
      <c r="F24" s="54"/>
      <c r="G24" s="54"/>
      <c r="H24" s="54"/>
      <c r="I24" s="54"/>
      <c r="J24" s="54"/>
      <c r="K24" s="223"/>
      <c r="M24" s="238" t="str">
        <f>'GREEN SHEET'!CM24</f>
        <v/>
      </c>
      <c r="N24" s="51" t="str">
        <f>'GREEN SHEET'!CN24</f>
        <v/>
      </c>
      <c r="O24" s="50"/>
      <c r="P24" s="239" t="str">
        <f>'GREEN SHEET'!CQ24</f>
        <v/>
      </c>
    </row>
    <row r="25" spans="1:16" ht="20.399999999999999" x14ac:dyDescent="0.3">
      <c r="A25" s="230"/>
      <c r="B25" s="52">
        <v>19</v>
      </c>
      <c r="C25" s="312" t="str">
        <f>IF(DATA!E23="","",DATA!E23)</f>
        <v/>
      </c>
      <c r="D25" s="53" t="str">
        <f>IF(DATA!C23="","",DATA!C23)</f>
        <v/>
      </c>
      <c r="E25" s="54"/>
      <c r="F25" s="54"/>
      <c r="G25" s="54"/>
      <c r="H25" s="54"/>
      <c r="I25" s="54"/>
      <c r="J25" s="54"/>
      <c r="K25" s="223"/>
      <c r="M25" s="238" t="str">
        <f>'GREEN SHEET'!CM25</f>
        <v/>
      </c>
      <c r="N25" s="51" t="str">
        <f>'GREEN SHEET'!CN25</f>
        <v/>
      </c>
      <c r="O25" s="50"/>
      <c r="P25" s="239" t="str">
        <f>'GREEN SHEET'!CQ25</f>
        <v/>
      </c>
    </row>
    <row r="26" spans="1:16" ht="20.399999999999999" x14ac:dyDescent="0.3">
      <c r="A26" s="230"/>
      <c r="B26" s="52">
        <v>20</v>
      </c>
      <c r="C26" s="312" t="str">
        <f>IF(DATA!E24="","",DATA!E24)</f>
        <v/>
      </c>
      <c r="D26" s="53" t="str">
        <f>IF(DATA!C24="","",DATA!C24)</f>
        <v/>
      </c>
      <c r="E26" s="54"/>
      <c r="F26" s="54"/>
      <c r="G26" s="54"/>
      <c r="H26" s="54"/>
      <c r="I26" s="54"/>
      <c r="J26" s="54"/>
      <c r="K26" s="223"/>
      <c r="M26" s="238" t="str">
        <f>'GREEN SHEET'!CM26</f>
        <v/>
      </c>
      <c r="N26" s="51" t="str">
        <f>'GREEN SHEET'!CN26</f>
        <v/>
      </c>
      <c r="O26" s="50"/>
      <c r="P26" s="239" t="str">
        <f>'GREEN SHEET'!CQ26</f>
        <v/>
      </c>
    </row>
    <row r="27" spans="1:16" ht="20.399999999999999" x14ac:dyDescent="0.3">
      <c r="A27" s="230"/>
      <c r="B27" s="52">
        <v>21</v>
      </c>
      <c r="C27" s="312" t="str">
        <f>IF(DATA!E25="","",DATA!E25)</f>
        <v/>
      </c>
      <c r="D27" s="53" t="str">
        <f>IF(DATA!C25="","",DATA!C25)</f>
        <v/>
      </c>
      <c r="E27" s="54"/>
      <c r="F27" s="54"/>
      <c r="G27" s="54"/>
      <c r="H27" s="54"/>
      <c r="I27" s="54"/>
      <c r="J27" s="54"/>
      <c r="K27" s="223"/>
      <c r="M27" s="238" t="str">
        <f>'GREEN SHEET'!CM27</f>
        <v/>
      </c>
      <c r="N27" s="51" t="str">
        <f>'GREEN SHEET'!CN27</f>
        <v/>
      </c>
      <c r="O27" s="50"/>
      <c r="P27" s="239" t="str">
        <f>'GREEN SHEET'!CQ27</f>
        <v/>
      </c>
    </row>
    <row r="28" spans="1:16" ht="20.399999999999999" x14ac:dyDescent="0.3">
      <c r="A28" s="230"/>
      <c r="B28" s="52">
        <v>22</v>
      </c>
      <c r="C28" s="312" t="str">
        <f>IF(DATA!E26="","",DATA!E26)</f>
        <v/>
      </c>
      <c r="D28" s="53" t="str">
        <f>IF(DATA!C26="","",DATA!C26)</f>
        <v/>
      </c>
      <c r="E28" s="54"/>
      <c r="F28" s="54"/>
      <c r="G28" s="54"/>
      <c r="H28" s="54"/>
      <c r="I28" s="54"/>
      <c r="J28" s="54"/>
      <c r="K28" s="223"/>
      <c r="M28" s="238" t="str">
        <f>'GREEN SHEET'!CM28</f>
        <v/>
      </c>
      <c r="N28" s="51" t="str">
        <f>'GREEN SHEET'!CN28</f>
        <v/>
      </c>
      <c r="O28" s="50"/>
      <c r="P28" s="239" t="str">
        <f>'GREEN SHEET'!CQ28</f>
        <v/>
      </c>
    </row>
    <row r="29" spans="1:16" ht="20.399999999999999" x14ac:dyDescent="0.3">
      <c r="A29" s="230"/>
      <c r="B29" s="52">
        <v>23</v>
      </c>
      <c r="C29" s="312" t="str">
        <f>IF(DATA!E27="","",DATA!E27)</f>
        <v/>
      </c>
      <c r="D29" s="53" t="str">
        <f>IF(DATA!C27="","",DATA!C27)</f>
        <v/>
      </c>
      <c r="E29" s="54"/>
      <c r="F29" s="54"/>
      <c r="G29" s="54"/>
      <c r="H29" s="54"/>
      <c r="I29" s="54"/>
      <c r="J29" s="54"/>
      <c r="K29" s="223"/>
      <c r="M29" s="238" t="str">
        <f>'GREEN SHEET'!CM29</f>
        <v/>
      </c>
      <c r="N29" s="51" t="str">
        <f>'GREEN SHEET'!CN29</f>
        <v/>
      </c>
      <c r="O29" s="50"/>
      <c r="P29" s="239" t="str">
        <f>'GREEN SHEET'!CQ29</f>
        <v/>
      </c>
    </row>
    <row r="30" spans="1:16" ht="20.399999999999999" x14ac:dyDescent="0.3">
      <c r="A30" s="230"/>
      <c r="B30" s="52">
        <v>24</v>
      </c>
      <c r="C30" s="312" t="str">
        <f>IF(DATA!E28="","",DATA!E28)</f>
        <v/>
      </c>
      <c r="D30" s="53" t="str">
        <f>IF(DATA!C28="","",DATA!C28)</f>
        <v/>
      </c>
      <c r="E30" s="54"/>
      <c r="F30" s="54"/>
      <c r="G30" s="54"/>
      <c r="H30" s="54"/>
      <c r="I30" s="54"/>
      <c r="J30" s="54"/>
      <c r="K30" s="223"/>
      <c r="M30" s="238" t="str">
        <f>'GREEN SHEET'!CM30</f>
        <v/>
      </c>
      <c r="N30" s="51" t="str">
        <f>'GREEN SHEET'!CN30</f>
        <v/>
      </c>
      <c r="O30" s="50"/>
      <c r="P30" s="239" t="str">
        <f>'GREEN SHEET'!CQ30</f>
        <v/>
      </c>
    </row>
    <row r="31" spans="1:16" ht="20.399999999999999" x14ac:dyDescent="0.3">
      <c r="A31" s="230"/>
      <c r="B31" s="52">
        <v>25</v>
      </c>
      <c r="C31" s="312" t="str">
        <f>IF(DATA!E29="","",DATA!E29)</f>
        <v/>
      </c>
      <c r="D31" s="53" t="str">
        <f>IF(DATA!C29="","",DATA!C29)</f>
        <v/>
      </c>
      <c r="E31" s="54"/>
      <c r="F31" s="54"/>
      <c r="G31" s="54"/>
      <c r="H31" s="54"/>
      <c r="I31" s="54"/>
      <c r="J31" s="54"/>
      <c r="K31" s="223"/>
      <c r="M31" s="238" t="str">
        <f>'GREEN SHEET'!CM31</f>
        <v/>
      </c>
      <c r="N31" s="51" t="str">
        <f>'GREEN SHEET'!CN31</f>
        <v/>
      </c>
      <c r="O31" s="50"/>
      <c r="P31" s="239" t="str">
        <f>'GREEN SHEET'!CQ31</f>
        <v/>
      </c>
    </row>
    <row r="32" spans="1:16" ht="20.399999999999999" x14ac:dyDescent="0.3">
      <c r="A32" s="230"/>
      <c r="B32" s="52">
        <v>26</v>
      </c>
      <c r="C32" s="312" t="str">
        <f>IF(DATA!E30="","",DATA!E30)</f>
        <v/>
      </c>
      <c r="D32" s="53" t="str">
        <f>IF(DATA!C30="","",DATA!C30)</f>
        <v/>
      </c>
      <c r="E32" s="54"/>
      <c r="F32" s="54"/>
      <c r="G32" s="54"/>
      <c r="H32" s="54"/>
      <c r="I32" s="54"/>
      <c r="J32" s="54"/>
      <c r="K32" s="223"/>
      <c r="M32" s="238" t="str">
        <f>'GREEN SHEET'!CM32</f>
        <v/>
      </c>
      <c r="N32" s="51" t="str">
        <f>'GREEN SHEET'!CN32</f>
        <v/>
      </c>
      <c r="O32" s="50"/>
      <c r="P32" s="239" t="str">
        <f>'GREEN SHEET'!CQ32</f>
        <v/>
      </c>
    </row>
    <row r="33" spans="1:16" ht="20.399999999999999" x14ac:dyDescent="0.3">
      <c r="A33" s="230"/>
      <c r="B33" s="52">
        <v>27</v>
      </c>
      <c r="C33" s="312" t="str">
        <f>IF(DATA!E31="","",DATA!E31)</f>
        <v/>
      </c>
      <c r="D33" s="53" t="str">
        <f>IF(DATA!C31="","",DATA!C31)</f>
        <v/>
      </c>
      <c r="E33" s="54"/>
      <c r="F33" s="54"/>
      <c r="G33" s="54"/>
      <c r="H33" s="54"/>
      <c r="I33" s="54"/>
      <c r="J33" s="54"/>
      <c r="K33" s="223"/>
      <c r="M33" s="238" t="str">
        <f>'GREEN SHEET'!CM33</f>
        <v/>
      </c>
      <c r="N33" s="51" t="str">
        <f>'GREEN SHEET'!CN33</f>
        <v/>
      </c>
      <c r="O33" s="50"/>
      <c r="P33" s="239" t="str">
        <f>'GREEN SHEET'!CQ33</f>
        <v/>
      </c>
    </row>
    <row r="34" spans="1:16" ht="20.399999999999999" x14ac:dyDescent="0.3">
      <c r="A34" s="230"/>
      <c r="B34" s="52">
        <v>28</v>
      </c>
      <c r="C34" s="312" t="str">
        <f>IF(DATA!E32="","",DATA!E32)</f>
        <v/>
      </c>
      <c r="D34" s="53" t="str">
        <f>IF(DATA!C32="","",DATA!C32)</f>
        <v/>
      </c>
      <c r="E34" s="54"/>
      <c r="F34" s="54"/>
      <c r="G34" s="54"/>
      <c r="H34" s="54"/>
      <c r="I34" s="54"/>
      <c r="J34" s="54"/>
      <c r="K34" s="223"/>
      <c r="M34" s="238" t="str">
        <f>'GREEN SHEET'!CM34</f>
        <v/>
      </c>
      <c r="N34" s="51" t="str">
        <f>'GREEN SHEET'!CN34</f>
        <v/>
      </c>
      <c r="O34" s="50"/>
      <c r="P34" s="239" t="str">
        <f>'GREEN SHEET'!CQ34</f>
        <v/>
      </c>
    </row>
    <row r="35" spans="1:16" ht="20.399999999999999" x14ac:dyDescent="0.3">
      <c r="A35" s="230"/>
      <c r="B35" s="52">
        <v>29</v>
      </c>
      <c r="C35" s="312" t="str">
        <f>IF(DATA!E33="","",DATA!E33)</f>
        <v/>
      </c>
      <c r="D35" s="53" t="str">
        <f>IF(DATA!C33="","",DATA!C33)</f>
        <v/>
      </c>
      <c r="E35" s="54"/>
      <c r="F35" s="54"/>
      <c r="G35" s="54"/>
      <c r="H35" s="54"/>
      <c r="I35" s="54"/>
      <c r="J35" s="54"/>
      <c r="K35" s="223"/>
      <c r="M35" s="238" t="str">
        <f>'GREEN SHEET'!CM35</f>
        <v/>
      </c>
      <c r="N35" s="51" t="str">
        <f>'GREEN SHEET'!CN35</f>
        <v/>
      </c>
      <c r="O35" s="50"/>
      <c r="P35" s="239" t="str">
        <f>'GREEN SHEET'!CQ35</f>
        <v/>
      </c>
    </row>
    <row r="36" spans="1:16" ht="20.399999999999999" x14ac:dyDescent="0.3">
      <c r="A36" s="230"/>
      <c r="B36" s="52">
        <v>30</v>
      </c>
      <c r="C36" s="312" t="str">
        <f>IF(DATA!E34="","",DATA!E34)</f>
        <v/>
      </c>
      <c r="D36" s="53" t="str">
        <f>IF(DATA!C34="","",DATA!C34)</f>
        <v/>
      </c>
      <c r="E36" s="54"/>
      <c r="F36" s="54"/>
      <c r="G36" s="54"/>
      <c r="H36" s="54"/>
      <c r="I36" s="54"/>
      <c r="J36" s="54"/>
      <c r="K36" s="223"/>
      <c r="M36" s="238" t="str">
        <f>'GREEN SHEET'!CM36</f>
        <v/>
      </c>
      <c r="N36" s="51" t="str">
        <f>'GREEN SHEET'!CN36</f>
        <v/>
      </c>
      <c r="O36" s="50"/>
      <c r="P36" s="239" t="str">
        <f>'GREEN SHEET'!CQ36</f>
        <v/>
      </c>
    </row>
    <row r="37" spans="1:16" ht="20.399999999999999" x14ac:dyDescent="0.3">
      <c r="A37" s="230"/>
      <c r="B37" s="52">
        <v>31</v>
      </c>
      <c r="C37" s="312" t="str">
        <f>IF(DATA!E35="","",DATA!E35)</f>
        <v/>
      </c>
      <c r="D37" s="53" t="str">
        <f>IF(DATA!C35="","",DATA!C35)</f>
        <v/>
      </c>
      <c r="E37" s="54"/>
      <c r="F37" s="54"/>
      <c r="G37" s="54"/>
      <c r="H37" s="54"/>
      <c r="I37" s="54"/>
      <c r="J37" s="54"/>
      <c r="K37" s="223"/>
      <c r="M37" s="238" t="str">
        <f>'GREEN SHEET'!CM37</f>
        <v/>
      </c>
      <c r="N37" s="51" t="str">
        <f>'GREEN SHEET'!CN37</f>
        <v/>
      </c>
      <c r="O37" s="50"/>
      <c r="P37" s="239" t="str">
        <f>'GREEN SHEET'!CQ37</f>
        <v/>
      </c>
    </row>
    <row r="38" spans="1:16" ht="20.399999999999999" x14ac:dyDescent="0.3">
      <c r="A38" s="230"/>
      <c r="B38" s="52">
        <v>32</v>
      </c>
      <c r="C38" s="312" t="str">
        <f>IF(DATA!E36="","",DATA!E36)</f>
        <v/>
      </c>
      <c r="D38" s="53" t="str">
        <f>IF(DATA!C36="","",DATA!C36)</f>
        <v/>
      </c>
      <c r="E38" s="54"/>
      <c r="F38" s="54"/>
      <c r="G38" s="54"/>
      <c r="H38" s="54"/>
      <c r="I38" s="54"/>
      <c r="J38" s="54"/>
      <c r="K38" s="223"/>
      <c r="M38" s="238" t="str">
        <f>'GREEN SHEET'!CM38</f>
        <v/>
      </c>
      <c r="N38" s="51" t="str">
        <f>'GREEN SHEET'!CN38</f>
        <v/>
      </c>
      <c r="O38" s="50"/>
      <c r="P38" s="239" t="str">
        <f>'GREEN SHEET'!CQ38</f>
        <v/>
      </c>
    </row>
    <row r="39" spans="1:16" ht="20.399999999999999" x14ac:dyDescent="0.3">
      <c r="A39" s="230"/>
      <c r="B39" s="52">
        <v>33</v>
      </c>
      <c r="C39" s="312" t="str">
        <f>IF(DATA!E37="","",DATA!E37)</f>
        <v/>
      </c>
      <c r="D39" s="53" t="str">
        <f>IF(DATA!C37="","",DATA!C37)</f>
        <v/>
      </c>
      <c r="E39" s="54"/>
      <c r="F39" s="54"/>
      <c r="G39" s="54"/>
      <c r="H39" s="54"/>
      <c r="I39" s="54"/>
      <c r="J39" s="54"/>
      <c r="K39" s="223"/>
      <c r="M39" s="238" t="str">
        <f>'GREEN SHEET'!CM39</f>
        <v/>
      </c>
      <c r="N39" s="51" t="str">
        <f>'GREEN SHEET'!CN39</f>
        <v/>
      </c>
      <c r="O39" s="50"/>
      <c r="P39" s="239" t="str">
        <f>'GREEN SHEET'!CQ39</f>
        <v/>
      </c>
    </row>
    <row r="40" spans="1:16" ht="20.399999999999999" x14ac:dyDescent="0.3">
      <c r="A40" s="230"/>
      <c r="B40" s="52">
        <v>34</v>
      </c>
      <c r="C40" s="312" t="str">
        <f>IF(DATA!E38="","",DATA!E38)</f>
        <v/>
      </c>
      <c r="D40" s="53" t="str">
        <f>IF(DATA!C38="","",DATA!C38)</f>
        <v/>
      </c>
      <c r="E40" s="54"/>
      <c r="F40" s="54"/>
      <c r="G40" s="54"/>
      <c r="H40" s="54"/>
      <c r="I40" s="54"/>
      <c r="J40" s="54"/>
      <c r="K40" s="223"/>
      <c r="M40" s="238" t="str">
        <f>'GREEN SHEET'!CM40</f>
        <v/>
      </c>
      <c r="N40" s="51" t="str">
        <f>'GREEN SHEET'!CN40</f>
        <v/>
      </c>
      <c r="O40" s="50"/>
      <c r="P40" s="239" t="str">
        <f>'GREEN SHEET'!CQ40</f>
        <v/>
      </c>
    </row>
    <row r="41" spans="1:16" ht="20.399999999999999" x14ac:dyDescent="0.3">
      <c r="A41" s="230"/>
      <c r="B41" s="52">
        <v>35</v>
      </c>
      <c r="C41" s="312" t="str">
        <f>IF(DATA!E39="","",DATA!E39)</f>
        <v/>
      </c>
      <c r="D41" s="53" t="str">
        <f>IF(DATA!C39="","",DATA!C39)</f>
        <v/>
      </c>
      <c r="E41" s="54"/>
      <c r="F41" s="54"/>
      <c r="G41" s="54"/>
      <c r="H41" s="54"/>
      <c r="I41" s="54"/>
      <c r="J41" s="54"/>
      <c r="K41" s="223"/>
      <c r="M41" s="238" t="str">
        <f>'GREEN SHEET'!CM41</f>
        <v/>
      </c>
      <c r="N41" s="51" t="str">
        <f>'GREEN SHEET'!CN41</f>
        <v/>
      </c>
      <c r="O41" s="50"/>
      <c r="P41" s="239" t="str">
        <f>'GREEN SHEET'!CQ41</f>
        <v/>
      </c>
    </row>
    <row r="42" spans="1:16" ht="20.399999999999999" x14ac:dyDescent="0.3">
      <c r="A42" s="230"/>
      <c r="B42" s="52">
        <v>36</v>
      </c>
      <c r="C42" s="312" t="str">
        <f>IF(DATA!E40="","",DATA!E40)</f>
        <v/>
      </c>
      <c r="D42" s="53" t="str">
        <f>IF(DATA!C40="","",DATA!C40)</f>
        <v/>
      </c>
      <c r="E42" s="54"/>
      <c r="F42" s="54"/>
      <c r="G42" s="54"/>
      <c r="H42" s="54"/>
      <c r="I42" s="54"/>
      <c r="J42" s="54"/>
      <c r="K42" s="223"/>
      <c r="M42" s="238" t="str">
        <f>'GREEN SHEET'!CM42</f>
        <v/>
      </c>
      <c r="N42" s="51" t="str">
        <f>'GREEN SHEET'!CN42</f>
        <v/>
      </c>
      <c r="O42" s="50"/>
      <c r="P42" s="239" t="str">
        <f>'GREEN SHEET'!CQ42</f>
        <v/>
      </c>
    </row>
    <row r="43" spans="1:16" ht="20.399999999999999" x14ac:dyDescent="0.3">
      <c r="A43" s="230"/>
      <c r="B43" s="52">
        <v>37</v>
      </c>
      <c r="C43" s="312" t="str">
        <f>IF(DATA!E41="","",DATA!E41)</f>
        <v/>
      </c>
      <c r="D43" s="53" t="str">
        <f>IF(DATA!C41="","",DATA!C41)</f>
        <v/>
      </c>
      <c r="E43" s="54"/>
      <c r="F43" s="54"/>
      <c r="G43" s="54"/>
      <c r="H43" s="54"/>
      <c r="I43" s="54"/>
      <c r="J43" s="54"/>
      <c r="K43" s="223"/>
      <c r="M43" s="238" t="str">
        <f>'GREEN SHEET'!CM43</f>
        <v/>
      </c>
      <c r="N43" s="51" t="str">
        <f>'GREEN SHEET'!CN43</f>
        <v/>
      </c>
      <c r="O43" s="50"/>
      <c r="P43" s="239" t="str">
        <f>'GREEN SHEET'!CQ43</f>
        <v/>
      </c>
    </row>
    <row r="44" spans="1:16" ht="20.399999999999999" x14ac:dyDescent="0.3">
      <c r="A44" s="230"/>
      <c r="B44" s="52">
        <v>38</v>
      </c>
      <c r="C44" s="312" t="str">
        <f>IF(DATA!E42="","",DATA!E42)</f>
        <v/>
      </c>
      <c r="D44" s="53" t="str">
        <f>IF(DATA!C42="","",DATA!C42)</f>
        <v/>
      </c>
      <c r="E44" s="54"/>
      <c r="F44" s="54"/>
      <c r="G44" s="54"/>
      <c r="H44" s="54"/>
      <c r="I44" s="54"/>
      <c r="J44" s="54"/>
      <c r="K44" s="223"/>
      <c r="M44" s="238" t="str">
        <f>'GREEN SHEET'!CM44</f>
        <v/>
      </c>
      <c r="N44" s="51" t="str">
        <f>'GREEN SHEET'!CN44</f>
        <v/>
      </c>
      <c r="O44" s="50"/>
      <c r="P44" s="239" t="str">
        <f>'GREEN SHEET'!CQ44</f>
        <v/>
      </c>
    </row>
    <row r="45" spans="1:16" ht="20.399999999999999" x14ac:dyDescent="0.3">
      <c r="A45" s="230"/>
      <c r="B45" s="52">
        <v>39</v>
      </c>
      <c r="C45" s="312" t="str">
        <f>IF(DATA!E43="","",DATA!E43)</f>
        <v/>
      </c>
      <c r="D45" s="53" t="str">
        <f>IF(DATA!C43="","",DATA!C43)</f>
        <v/>
      </c>
      <c r="E45" s="54"/>
      <c r="F45" s="54"/>
      <c r="G45" s="54"/>
      <c r="H45" s="54"/>
      <c r="I45" s="54"/>
      <c r="J45" s="54"/>
      <c r="K45" s="223"/>
      <c r="M45" s="238" t="str">
        <f>'GREEN SHEET'!CM45</f>
        <v/>
      </c>
      <c r="N45" s="51" t="str">
        <f>'GREEN SHEET'!CN45</f>
        <v/>
      </c>
      <c r="O45" s="50"/>
      <c r="P45" s="239" t="str">
        <f>'GREEN SHEET'!CQ45</f>
        <v/>
      </c>
    </row>
    <row r="46" spans="1:16" ht="20.399999999999999" x14ac:dyDescent="0.3">
      <c r="A46" s="230"/>
      <c r="B46" s="52">
        <v>40</v>
      </c>
      <c r="C46" s="312" t="str">
        <f>IF(DATA!E44="","",DATA!E44)</f>
        <v/>
      </c>
      <c r="D46" s="53" t="str">
        <f>IF(DATA!C44="","",DATA!C44)</f>
        <v/>
      </c>
      <c r="E46" s="54"/>
      <c r="F46" s="54"/>
      <c r="G46" s="54"/>
      <c r="H46" s="54"/>
      <c r="I46" s="54"/>
      <c r="J46" s="54"/>
      <c r="K46" s="223"/>
      <c r="M46" s="238" t="str">
        <f>'GREEN SHEET'!CM46</f>
        <v/>
      </c>
      <c r="N46" s="51" t="str">
        <f>'GREEN SHEET'!CN46</f>
        <v/>
      </c>
      <c r="O46" s="50"/>
      <c r="P46" s="239" t="str">
        <f>'GREEN SHEET'!CQ46</f>
        <v/>
      </c>
    </row>
    <row r="47" spans="1:16" ht="20.399999999999999" x14ac:dyDescent="0.3">
      <c r="A47" s="230"/>
      <c r="B47" s="52">
        <v>41</v>
      </c>
      <c r="C47" s="312" t="str">
        <f>IF(DATA!E45="","",DATA!E45)</f>
        <v/>
      </c>
      <c r="D47" s="53" t="str">
        <f>IF(DATA!C45="","",DATA!C45)</f>
        <v/>
      </c>
      <c r="E47" s="54"/>
      <c r="F47" s="54"/>
      <c r="G47" s="54"/>
      <c r="H47" s="54"/>
      <c r="I47" s="54"/>
      <c r="J47" s="54"/>
      <c r="K47" s="223"/>
      <c r="M47" s="238" t="str">
        <f>'GREEN SHEET'!CM47</f>
        <v/>
      </c>
      <c r="N47" s="51" t="str">
        <f>'GREEN SHEET'!CN47</f>
        <v/>
      </c>
      <c r="O47" s="50"/>
      <c r="P47" s="239" t="str">
        <f>'GREEN SHEET'!CQ47</f>
        <v/>
      </c>
    </row>
    <row r="48" spans="1:16" ht="20.399999999999999" x14ac:dyDescent="0.3">
      <c r="A48" s="230"/>
      <c r="B48" s="52">
        <v>42</v>
      </c>
      <c r="C48" s="312" t="str">
        <f>IF(DATA!E46="","",DATA!E46)</f>
        <v/>
      </c>
      <c r="D48" s="53" t="str">
        <f>IF(DATA!C46="","",DATA!C46)</f>
        <v/>
      </c>
      <c r="E48" s="54"/>
      <c r="F48" s="54"/>
      <c r="G48" s="54"/>
      <c r="H48" s="54"/>
      <c r="I48" s="54"/>
      <c r="J48" s="54"/>
      <c r="K48" s="223"/>
      <c r="M48" s="238" t="str">
        <f>'GREEN SHEET'!CM48</f>
        <v/>
      </c>
      <c r="N48" s="51" t="str">
        <f>'GREEN SHEET'!CN48</f>
        <v/>
      </c>
      <c r="O48" s="50"/>
      <c r="P48" s="239" t="str">
        <f>'GREEN SHEET'!CQ48</f>
        <v/>
      </c>
    </row>
    <row r="49" spans="1:17" ht="20.399999999999999" x14ac:dyDescent="0.3">
      <c r="A49" s="230"/>
      <c r="B49" s="52">
        <v>43</v>
      </c>
      <c r="C49" s="312" t="str">
        <f>IF(DATA!E47="","",DATA!E47)</f>
        <v/>
      </c>
      <c r="D49" s="53" t="str">
        <f>IF(DATA!C47="","",DATA!C47)</f>
        <v/>
      </c>
      <c r="E49" s="54"/>
      <c r="F49" s="54"/>
      <c r="G49" s="54"/>
      <c r="H49" s="54"/>
      <c r="I49" s="54"/>
      <c r="J49" s="54"/>
      <c r="K49" s="223"/>
      <c r="M49" s="238" t="str">
        <f>'GREEN SHEET'!CM49</f>
        <v/>
      </c>
      <c r="N49" s="51" t="str">
        <f>'GREEN SHEET'!CN49</f>
        <v/>
      </c>
      <c r="O49" s="50"/>
      <c r="P49" s="239" t="str">
        <f>'GREEN SHEET'!CQ49</f>
        <v/>
      </c>
    </row>
    <row r="50" spans="1:17" ht="20.399999999999999" x14ac:dyDescent="0.3">
      <c r="A50" s="230"/>
      <c r="B50" s="52">
        <v>44</v>
      </c>
      <c r="C50" s="312" t="str">
        <f>IF(DATA!E48="","",DATA!E48)</f>
        <v/>
      </c>
      <c r="D50" s="53" t="str">
        <f>IF(DATA!C48="","",DATA!C48)</f>
        <v/>
      </c>
      <c r="E50" s="54"/>
      <c r="F50" s="54"/>
      <c r="G50" s="54"/>
      <c r="H50" s="54"/>
      <c r="I50" s="54"/>
      <c r="J50" s="54"/>
      <c r="K50" s="223"/>
      <c r="M50" s="238" t="str">
        <f>'GREEN SHEET'!CM50</f>
        <v/>
      </c>
      <c r="N50" s="51" t="str">
        <f>'GREEN SHEET'!CN50</f>
        <v/>
      </c>
      <c r="O50" s="50"/>
      <c r="P50" s="239" t="str">
        <f>'GREEN SHEET'!CQ50</f>
        <v/>
      </c>
    </row>
    <row r="51" spans="1:17" ht="21" thickBot="1" x14ac:dyDescent="0.35">
      <c r="A51" s="230"/>
      <c r="B51" s="55">
        <v>45</v>
      </c>
      <c r="C51" s="313" t="str">
        <f>IF(DATA!E49="","",DATA!E49)</f>
        <v/>
      </c>
      <c r="D51" s="224" t="str">
        <f>IF(DATA!C49="","",DATA!C49)</f>
        <v/>
      </c>
      <c r="E51" s="56"/>
      <c r="F51" s="56"/>
      <c r="G51" s="56"/>
      <c r="H51" s="56"/>
      <c r="I51" s="56"/>
      <c r="J51" s="56"/>
      <c r="K51" s="225"/>
      <c r="M51" s="238" t="str">
        <f>'GREEN SHEET'!CM112</f>
        <v/>
      </c>
      <c r="N51" s="51" t="str">
        <f>'GREEN SHEET'!CN112</f>
        <v/>
      </c>
      <c r="O51" s="50"/>
      <c r="P51" s="239" t="str">
        <f>'GREEN SHEET'!CQ51</f>
        <v/>
      </c>
    </row>
    <row r="52" spans="1:17" ht="59.25" customHeight="1" thickBot="1" x14ac:dyDescent="0.35">
      <c r="A52" s="230"/>
      <c r="B52" s="711" t="s">
        <v>224</v>
      </c>
      <c r="C52" s="712"/>
      <c r="D52" s="712"/>
      <c r="E52" s="723"/>
      <c r="F52" s="724"/>
      <c r="G52" s="724"/>
      <c r="H52" s="724"/>
      <c r="I52" s="724"/>
      <c r="J52" s="724"/>
      <c r="K52" s="725"/>
      <c r="M52" s="708"/>
      <c r="N52" s="709"/>
      <c r="O52" s="709"/>
      <c r="P52" s="710"/>
    </row>
    <row r="53" spans="1:17" ht="15" customHeight="1" x14ac:dyDescent="0.3">
      <c r="A53" s="228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44"/>
      <c r="P53" s="44"/>
    </row>
    <row r="54" spans="1:17" ht="15" hidden="1" customHeight="1" x14ac:dyDescent="0.3">
      <c r="Q54" s="8"/>
    </row>
  </sheetData>
  <sheetProtection algorithmName="SHA-512" hashValue="30ifs8ot9BPK4QOXVo2n03Kpu7J5ZQLAvwO0VsMP4ZXKHZB43oWDWfPs3SO01OgKQIGzHvmF/vWkirA9REO5uw==" saltValue="QFcNQEy/fryO0aFXUc0tJA==" spinCount="100000" sheet="1" objects="1" scenarios="1" selectLockedCells="1"/>
  <mergeCells count="7">
    <mergeCell ref="M52:P52"/>
    <mergeCell ref="B52:D52"/>
    <mergeCell ref="H4:K4"/>
    <mergeCell ref="B6:D6"/>
    <mergeCell ref="B2:K2"/>
    <mergeCell ref="B3:K3"/>
    <mergeCell ref="E52:K52"/>
  </mergeCells>
  <conditionalFormatting sqref="O7:O51">
    <cfRule type="expression" dxfId="2" priority="1">
      <formula>AND(OR(M7&gt;=33,$O$6="",O7&gt;$O$6),O7&lt;&gt;"")</formula>
    </cfRule>
  </conditionalFormatting>
  <dataValidations count="1">
    <dataValidation type="custom" allowBlank="1" showInputMessage="1" showErrorMessage="1" errorTitle="Invalid Entry" error="Entry not allowed._x000a_Check the following:_x000a_• STUDENT ALREADY PASSED_x000a_• DEFINE MAX MARKS_x000a_• ENTERED VALUE MUST NOT GREATER THAN MAX MARKS" sqref="O7:O51">
      <formula1>AND(M7&lt;33,$O$6&lt;&gt;"",O7&lt;=$O$6)</formula1>
    </dataValidation>
  </dataValidations>
  <hyperlinks>
    <hyperlink ref="A1" location="DASHBOARD!A1" display="D"/>
  </hyperlinks>
  <pageMargins left="0.59055118110236227" right="0.35433070866141736" top="0.33" bottom="0.17" header="0.31496062992125984" footer="0.31496062992125984"/>
  <pageSetup scale="65" orientation="portrait" r:id="rId1"/>
  <ignoredErrors>
    <ignoredError sqref="M6:N6 D35:D51 D14:D34 C7:D13 C14:C34 C35:C47 C48:C51 N8 N7 M14:N51 N9:N13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S54"/>
  <sheetViews>
    <sheetView workbookViewId="0">
      <selection activeCell="O9" sqref="O9"/>
    </sheetView>
  </sheetViews>
  <sheetFormatPr defaultColWidth="0" defaultRowHeight="15" customHeight="1" zeroHeight="1" x14ac:dyDescent="0.3"/>
  <cols>
    <col min="1" max="1" width="3.109375" style="231" bestFit="1" customWidth="1"/>
    <col min="2" max="2" width="4.88671875" style="24" bestFit="1" customWidth="1"/>
    <col min="3" max="3" width="45.5546875" style="24" bestFit="1" customWidth="1"/>
    <col min="4" max="4" width="7.109375" style="24" bestFit="1" customWidth="1"/>
    <col min="5" max="5" width="7.5546875" style="24" bestFit="1" customWidth="1"/>
    <col min="6" max="6" width="5.5546875" style="24" bestFit="1" customWidth="1"/>
    <col min="7" max="7" width="6.5546875" style="24" bestFit="1" customWidth="1"/>
    <col min="8" max="8" width="10.6640625" style="24" bestFit="1" customWidth="1"/>
    <col min="9" max="9" width="3.33203125" style="24" bestFit="1" customWidth="1"/>
    <col min="10" max="10" width="8.33203125" style="24" bestFit="1" customWidth="1"/>
    <col min="11" max="11" width="8.5546875" style="24" bestFit="1" customWidth="1"/>
    <col min="12" max="12" width="1.44140625" style="235" customWidth="1"/>
    <col min="13" max="13" width="7.33203125" style="43" customWidth="1"/>
    <col min="14" max="14" width="7.6640625" style="43" customWidth="1"/>
    <col min="15" max="15" width="8.88671875" style="43" customWidth="1"/>
    <col min="16" max="16" width="7.6640625" style="43" customWidth="1"/>
    <col min="17" max="17" width="2.33203125" style="7" customWidth="1"/>
    <col min="18" max="19" width="0" style="8" hidden="1" customWidth="1"/>
    <col min="20" max="16384" width="9.109375" style="8" hidden="1"/>
  </cols>
  <sheetData>
    <row r="1" spans="1:17" ht="11.25" customHeight="1" thickBot="1" x14ac:dyDescent="0.35">
      <c r="A1" s="226" t="s">
        <v>24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</row>
    <row r="2" spans="1:17" ht="36.75" customHeight="1" x14ac:dyDescent="0.3">
      <c r="A2" s="228"/>
      <c r="B2" s="717" t="str">
        <f>"SWAMI VIVEKANAND GOVT. MODEL SCHOOL,"&amp;DASHBOARD!C3</f>
        <v>SWAMI VIVEKANAND GOVT. MODEL SCHOOL,XXXX,  BLOCK-XXXX (RAJSAMAND)</v>
      </c>
      <c r="C2" s="718"/>
      <c r="D2" s="718"/>
      <c r="E2" s="718"/>
      <c r="F2" s="718"/>
      <c r="G2" s="718"/>
      <c r="H2" s="718"/>
      <c r="I2" s="718"/>
      <c r="J2" s="718"/>
      <c r="K2" s="719"/>
      <c r="M2" s="330"/>
      <c r="N2" s="331"/>
      <c r="O2" s="331"/>
      <c r="P2" s="332"/>
    </row>
    <row r="3" spans="1:17" ht="23.25" customHeight="1" thickBot="1" x14ac:dyDescent="0.35">
      <c r="A3" s="228"/>
      <c r="B3" s="720" t="str">
        <f>IF(DASHBOARD!B4="","",DASHBOARD!B4)</f>
        <v>SESSION  -  2025-26</v>
      </c>
      <c r="C3" s="721"/>
      <c r="D3" s="721"/>
      <c r="E3" s="721"/>
      <c r="F3" s="721"/>
      <c r="G3" s="721"/>
      <c r="H3" s="721"/>
      <c r="I3" s="721"/>
      <c r="J3" s="721"/>
      <c r="K3" s="722"/>
      <c r="M3" s="330"/>
      <c r="N3" s="331"/>
      <c r="O3" s="331"/>
      <c r="P3" s="332"/>
    </row>
    <row r="4" spans="1:17" s="18" customFormat="1" ht="27.75" customHeight="1" thickBot="1" x14ac:dyDescent="0.5">
      <c r="A4" s="229"/>
      <c r="B4" s="232"/>
      <c r="C4" s="233" t="s">
        <v>87</v>
      </c>
      <c r="D4" s="234" t="str">
        <f>DASHBOARD!B8&amp;DASHBOARD!C8</f>
        <v>9A</v>
      </c>
      <c r="E4" s="234"/>
      <c r="F4" s="234"/>
      <c r="G4" s="234"/>
      <c r="H4" s="715" t="s">
        <v>99</v>
      </c>
      <c r="I4" s="715"/>
      <c r="J4" s="715"/>
      <c r="K4" s="716"/>
      <c r="L4" s="235"/>
      <c r="M4" s="236"/>
      <c r="N4" s="47"/>
      <c r="O4" s="47"/>
      <c r="P4" s="237"/>
      <c r="Q4" s="16"/>
    </row>
    <row r="5" spans="1:17" ht="75" x14ac:dyDescent="0.3">
      <c r="A5" s="228"/>
      <c r="B5" s="304" t="s">
        <v>97</v>
      </c>
      <c r="C5" s="305" t="s">
        <v>96</v>
      </c>
      <c r="D5" s="305" t="s">
        <v>5</v>
      </c>
      <c r="E5" s="305" t="s">
        <v>93</v>
      </c>
      <c r="F5" s="305" t="s">
        <v>94</v>
      </c>
      <c r="G5" s="305" t="s">
        <v>95</v>
      </c>
      <c r="H5" s="306" t="s">
        <v>140</v>
      </c>
      <c r="I5" s="306" t="s">
        <v>138</v>
      </c>
      <c r="J5" s="306" t="s">
        <v>141</v>
      </c>
      <c r="K5" s="307" t="s">
        <v>22</v>
      </c>
      <c r="L5" s="308"/>
      <c r="M5" s="309" t="s">
        <v>57</v>
      </c>
      <c r="N5" s="310" t="s">
        <v>146</v>
      </c>
      <c r="O5" s="310" t="s">
        <v>152</v>
      </c>
      <c r="P5" s="311" t="s">
        <v>57</v>
      </c>
    </row>
    <row r="6" spans="1:17" ht="20.399999999999999" x14ac:dyDescent="0.3">
      <c r="A6" s="228"/>
      <c r="B6" s="713" t="s">
        <v>23</v>
      </c>
      <c r="C6" s="714"/>
      <c r="D6" s="714"/>
      <c r="E6" s="50">
        <v>10</v>
      </c>
      <c r="F6" s="50">
        <v>80</v>
      </c>
      <c r="G6" s="50">
        <v>10</v>
      </c>
      <c r="H6" s="50">
        <v>5</v>
      </c>
      <c r="I6" s="50">
        <v>5</v>
      </c>
      <c r="J6" s="50">
        <v>5</v>
      </c>
      <c r="K6" s="222">
        <v>80</v>
      </c>
      <c r="M6" s="238">
        <f>'GREEN SHEET'!DH6</f>
        <v>100</v>
      </c>
      <c r="N6" s="51" t="str">
        <f>'GREEN SHEET'!DI6</f>
        <v>A1</v>
      </c>
      <c r="O6" s="50">
        <v>80</v>
      </c>
      <c r="P6" s="239">
        <f>'GREEN SHEET'!DL6</f>
        <v>100</v>
      </c>
    </row>
    <row r="7" spans="1:17" ht="20.399999999999999" x14ac:dyDescent="0.3">
      <c r="A7" s="230"/>
      <c r="B7" s="52">
        <v>1</v>
      </c>
      <c r="C7" s="312" t="str">
        <f>IF(DATA!E5="","",DATA!E5)</f>
        <v>ARTI PRAJAPAT</v>
      </c>
      <c r="D7" s="53">
        <f>IF(DATA!C5="","",DATA!C5)</f>
        <v>901</v>
      </c>
      <c r="E7" s="54">
        <v>0</v>
      </c>
      <c r="F7" s="54">
        <v>26</v>
      </c>
      <c r="G7" s="54">
        <v>5</v>
      </c>
      <c r="H7" s="54">
        <v>4</v>
      </c>
      <c r="I7" s="54">
        <v>4</v>
      </c>
      <c r="J7" s="54">
        <v>4</v>
      </c>
      <c r="K7" s="223">
        <v>50</v>
      </c>
      <c r="M7" s="238">
        <f>'GREEN SHEET'!DH7</f>
        <v>65</v>
      </c>
      <c r="N7" s="51" t="str">
        <f>'GREEN SHEET'!DI7</f>
        <v>B2</v>
      </c>
      <c r="O7" s="50"/>
      <c r="P7" s="239" t="str">
        <f>'GREEN SHEET'!DL7</f>
        <v/>
      </c>
    </row>
    <row r="8" spans="1:17" ht="20.399999999999999" x14ac:dyDescent="0.3">
      <c r="A8" s="230"/>
      <c r="B8" s="52">
        <v>2</v>
      </c>
      <c r="C8" s="312" t="str">
        <f>IF(DATA!E6="","",DATA!E6)</f>
        <v>ARVIND SINGH BALLA</v>
      </c>
      <c r="D8" s="53">
        <f>IF(DATA!C6="","",DATA!C6)</f>
        <v>902</v>
      </c>
      <c r="E8" s="54">
        <v>7</v>
      </c>
      <c r="F8" s="54">
        <v>54</v>
      </c>
      <c r="G8" s="54">
        <v>7</v>
      </c>
      <c r="H8" s="54">
        <v>4</v>
      </c>
      <c r="I8" s="54">
        <v>4</v>
      </c>
      <c r="J8" s="54">
        <v>4</v>
      </c>
      <c r="K8" s="223">
        <v>0</v>
      </c>
      <c r="M8" s="238">
        <f>'GREEN SHEET'!DH8</f>
        <v>16</v>
      </c>
      <c r="N8" s="51" t="str">
        <f>'GREEN SHEET'!DI8</f>
        <v>E</v>
      </c>
      <c r="O8" s="50">
        <v>50</v>
      </c>
      <c r="P8" s="239">
        <f>'GREEN SHEET'!DL8</f>
        <v>66</v>
      </c>
    </row>
    <row r="9" spans="1:17" ht="20.399999999999999" x14ac:dyDescent="0.3">
      <c r="A9" s="230"/>
      <c r="B9" s="52">
        <v>3</v>
      </c>
      <c r="C9" s="312" t="str">
        <f>IF(DATA!E7="","",DATA!E7)</f>
        <v>BHAVESH SINGH RAO</v>
      </c>
      <c r="D9" s="53" t="str">
        <f>IF(DATA!C7="","",DATA!C7)</f>
        <v>TC</v>
      </c>
      <c r="E9" s="54">
        <v>6</v>
      </c>
      <c r="F9" s="54">
        <v>66</v>
      </c>
      <c r="G9" s="54">
        <v>0</v>
      </c>
      <c r="H9" s="54">
        <v>5</v>
      </c>
      <c r="I9" s="54">
        <v>5</v>
      </c>
      <c r="J9" s="54">
        <v>5</v>
      </c>
      <c r="K9" s="223">
        <v>22</v>
      </c>
      <c r="M9" s="238" t="str">
        <f>'GREEN SHEET'!DH9</f>
        <v/>
      </c>
      <c r="N9" s="51" t="str">
        <f>'GREEN SHEET'!DI9</f>
        <v/>
      </c>
      <c r="O9" s="50"/>
      <c r="P9" s="239" t="str">
        <f>'GREEN SHEET'!DL9</f>
        <v/>
      </c>
    </row>
    <row r="10" spans="1:17" ht="20.399999999999999" x14ac:dyDescent="0.3">
      <c r="A10" s="230"/>
      <c r="B10" s="52">
        <v>4</v>
      </c>
      <c r="C10" s="312" t="str">
        <f>IF(DATA!E8="","",DATA!E8)</f>
        <v/>
      </c>
      <c r="D10" s="53" t="str">
        <f>IF(DATA!C8="","",DATA!C8)</f>
        <v/>
      </c>
      <c r="E10" s="54"/>
      <c r="F10" s="54"/>
      <c r="G10" s="54"/>
      <c r="H10" s="54"/>
      <c r="I10" s="54"/>
      <c r="J10" s="54"/>
      <c r="K10" s="223"/>
      <c r="M10" s="238" t="str">
        <f>'GREEN SHEET'!DH10</f>
        <v/>
      </c>
      <c r="N10" s="51" t="str">
        <f>'GREEN SHEET'!DI10</f>
        <v/>
      </c>
      <c r="O10" s="50"/>
      <c r="P10" s="239" t="str">
        <f>'GREEN SHEET'!DL10</f>
        <v/>
      </c>
    </row>
    <row r="11" spans="1:17" ht="20.399999999999999" x14ac:dyDescent="0.3">
      <c r="A11" s="230"/>
      <c r="B11" s="52">
        <v>5</v>
      </c>
      <c r="C11" s="312" t="str">
        <f>IF(DATA!E9="","",DATA!E9)</f>
        <v/>
      </c>
      <c r="D11" s="53" t="str">
        <f>IF(DATA!C9="","",DATA!C9)</f>
        <v/>
      </c>
      <c r="E11" s="54"/>
      <c r="F11" s="54"/>
      <c r="G11" s="54"/>
      <c r="H11" s="54"/>
      <c r="I11" s="54"/>
      <c r="J11" s="54"/>
      <c r="K11" s="223"/>
      <c r="M11" s="238" t="str">
        <f>'GREEN SHEET'!DH11</f>
        <v/>
      </c>
      <c r="N11" s="51" t="str">
        <f>'GREEN SHEET'!DI11</f>
        <v/>
      </c>
      <c r="O11" s="50"/>
      <c r="P11" s="239" t="str">
        <f>'GREEN SHEET'!DL11</f>
        <v/>
      </c>
    </row>
    <row r="12" spans="1:17" ht="20.399999999999999" x14ac:dyDescent="0.3">
      <c r="A12" s="230"/>
      <c r="B12" s="52">
        <v>6</v>
      </c>
      <c r="C12" s="312" t="str">
        <f>IF(DATA!E10="","",DATA!E10)</f>
        <v/>
      </c>
      <c r="D12" s="53" t="str">
        <f>IF(DATA!C10="","",DATA!C10)</f>
        <v/>
      </c>
      <c r="E12" s="54"/>
      <c r="F12" s="54"/>
      <c r="G12" s="54"/>
      <c r="H12" s="54"/>
      <c r="I12" s="54"/>
      <c r="J12" s="54"/>
      <c r="K12" s="223"/>
      <c r="M12" s="238" t="str">
        <f>'GREEN SHEET'!DH12</f>
        <v/>
      </c>
      <c r="N12" s="51" t="str">
        <f>'GREEN SHEET'!DI12</f>
        <v/>
      </c>
      <c r="O12" s="50"/>
      <c r="P12" s="239" t="str">
        <f>'GREEN SHEET'!DL12</f>
        <v/>
      </c>
    </row>
    <row r="13" spans="1:17" ht="20.399999999999999" x14ac:dyDescent="0.3">
      <c r="A13" s="230"/>
      <c r="B13" s="52">
        <v>7</v>
      </c>
      <c r="C13" s="312" t="str">
        <f>IF(DATA!E11="","",DATA!E11)</f>
        <v/>
      </c>
      <c r="D13" s="53" t="str">
        <f>IF(DATA!C11="","",DATA!C11)</f>
        <v/>
      </c>
      <c r="E13" s="54"/>
      <c r="F13" s="54"/>
      <c r="G13" s="54"/>
      <c r="H13" s="54"/>
      <c r="I13" s="54"/>
      <c r="J13" s="54"/>
      <c r="K13" s="223"/>
      <c r="M13" s="238" t="str">
        <f>'GREEN SHEET'!DH13</f>
        <v/>
      </c>
      <c r="N13" s="51" t="str">
        <f>'GREEN SHEET'!DI13</f>
        <v/>
      </c>
      <c r="O13" s="50"/>
      <c r="P13" s="239" t="str">
        <f>'GREEN SHEET'!DL13</f>
        <v/>
      </c>
    </row>
    <row r="14" spans="1:17" ht="20.399999999999999" x14ac:dyDescent="0.3">
      <c r="A14" s="230"/>
      <c r="B14" s="52">
        <v>8</v>
      </c>
      <c r="C14" s="312" t="str">
        <f>IF(DATA!E12="","",DATA!E12)</f>
        <v/>
      </c>
      <c r="D14" s="53" t="str">
        <f>IF(DATA!C12="","",DATA!C12)</f>
        <v/>
      </c>
      <c r="E14" s="54"/>
      <c r="F14" s="54"/>
      <c r="G14" s="54"/>
      <c r="H14" s="54"/>
      <c r="I14" s="54"/>
      <c r="J14" s="54"/>
      <c r="K14" s="223"/>
      <c r="M14" s="238" t="str">
        <f>'GREEN SHEET'!DH14</f>
        <v/>
      </c>
      <c r="N14" s="51" t="str">
        <f>'GREEN SHEET'!DI14</f>
        <v/>
      </c>
      <c r="O14" s="50"/>
      <c r="P14" s="239" t="str">
        <f>'GREEN SHEET'!DL14</f>
        <v/>
      </c>
    </row>
    <row r="15" spans="1:17" ht="20.399999999999999" x14ac:dyDescent="0.3">
      <c r="A15" s="230"/>
      <c r="B15" s="52">
        <v>9</v>
      </c>
      <c r="C15" s="312" t="str">
        <f>IF(DATA!E13="","",DATA!E13)</f>
        <v/>
      </c>
      <c r="D15" s="53" t="str">
        <f>IF(DATA!C13="","",DATA!C13)</f>
        <v/>
      </c>
      <c r="E15" s="54"/>
      <c r="F15" s="54"/>
      <c r="G15" s="54"/>
      <c r="H15" s="54"/>
      <c r="I15" s="54"/>
      <c r="J15" s="54"/>
      <c r="K15" s="223"/>
      <c r="M15" s="238" t="str">
        <f>'GREEN SHEET'!DH15</f>
        <v/>
      </c>
      <c r="N15" s="51" t="str">
        <f>'GREEN SHEET'!DI15</f>
        <v/>
      </c>
      <c r="O15" s="50"/>
      <c r="P15" s="239" t="str">
        <f>'GREEN SHEET'!DL15</f>
        <v/>
      </c>
    </row>
    <row r="16" spans="1:17" ht="20.399999999999999" x14ac:dyDescent="0.3">
      <c r="A16" s="230"/>
      <c r="B16" s="52">
        <v>10</v>
      </c>
      <c r="C16" s="312" t="str">
        <f>IF(DATA!E14="","",DATA!E14)</f>
        <v/>
      </c>
      <c r="D16" s="53" t="str">
        <f>IF(DATA!C14="","",DATA!C14)</f>
        <v/>
      </c>
      <c r="E16" s="54"/>
      <c r="F16" s="54"/>
      <c r="G16" s="54"/>
      <c r="H16" s="54"/>
      <c r="I16" s="54"/>
      <c r="J16" s="54"/>
      <c r="K16" s="223"/>
      <c r="M16" s="238" t="str">
        <f>'GREEN SHEET'!DH16</f>
        <v/>
      </c>
      <c r="N16" s="51" t="str">
        <f>'GREEN SHEET'!DI16</f>
        <v/>
      </c>
      <c r="O16" s="50"/>
      <c r="P16" s="239" t="str">
        <f>'GREEN SHEET'!DL16</f>
        <v/>
      </c>
    </row>
    <row r="17" spans="1:16" ht="20.399999999999999" x14ac:dyDescent="0.3">
      <c r="A17" s="230"/>
      <c r="B17" s="52">
        <v>11</v>
      </c>
      <c r="C17" s="312" t="str">
        <f>IF(DATA!E15="","",DATA!E15)</f>
        <v/>
      </c>
      <c r="D17" s="53" t="str">
        <f>IF(DATA!C15="","",DATA!C15)</f>
        <v/>
      </c>
      <c r="E17" s="54"/>
      <c r="F17" s="54"/>
      <c r="G17" s="54"/>
      <c r="H17" s="54"/>
      <c r="I17" s="54"/>
      <c r="J17" s="54"/>
      <c r="K17" s="223"/>
      <c r="M17" s="238" t="str">
        <f>'GREEN SHEET'!DH17</f>
        <v/>
      </c>
      <c r="N17" s="51" t="str">
        <f>'GREEN SHEET'!DI17</f>
        <v/>
      </c>
      <c r="O17" s="50"/>
      <c r="P17" s="239" t="str">
        <f>'GREEN SHEET'!DL17</f>
        <v/>
      </c>
    </row>
    <row r="18" spans="1:16" ht="20.399999999999999" x14ac:dyDescent="0.3">
      <c r="A18" s="230"/>
      <c r="B18" s="52">
        <v>12</v>
      </c>
      <c r="C18" s="312" t="str">
        <f>IF(DATA!E16="","",DATA!E16)</f>
        <v/>
      </c>
      <c r="D18" s="53" t="str">
        <f>IF(DATA!C16="","",DATA!C16)</f>
        <v/>
      </c>
      <c r="E18" s="54"/>
      <c r="F18" s="54"/>
      <c r="G18" s="54"/>
      <c r="H18" s="54"/>
      <c r="I18" s="54"/>
      <c r="J18" s="54"/>
      <c r="K18" s="223"/>
      <c r="M18" s="238" t="str">
        <f>'GREEN SHEET'!DH18</f>
        <v/>
      </c>
      <c r="N18" s="51" t="str">
        <f>'GREEN SHEET'!DI18</f>
        <v/>
      </c>
      <c r="O18" s="50"/>
      <c r="P18" s="239" t="str">
        <f>'GREEN SHEET'!DL18</f>
        <v/>
      </c>
    </row>
    <row r="19" spans="1:16" ht="20.399999999999999" x14ac:dyDescent="0.3">
      <c r="A19" s="230"/>
      <c r="B19" s="52">
        <v>13</v>
      </c>
      <c r="C19" s="312" t="str">
        <f>IF(DATA!E17="","",DATA!E17)</f>
        <v/>
      </c>
      <c r="D19" s="53" t="str">
        <f>IF(DATA!C17="","",DATA!C17)</f>
        <v/>
      </c>
      <c r="E19" s="54"/>
      <c r="F19" s="54"/>
      <c r="G19" s="54"/>
      <c r="H19" s="54"/>
      <c r="I19" s="54"/>
      <c r="J19" s="54"/>
      <c r="K19" s="223"/>
      <c r="M19" s="238" t="str">
        <f>'GREEN SHEET'!DH19</f>
        <v/>
      </c>
      <c r="N19" s="51" t="str">
        <f>'GREEN SHEET'!DI19</f>
        <v/>
      </c>
      <c r="O19" s="50"/>
      <c r="P19" s="239" t="str">
        <f>'GREEN SHEET'!DL19</f>
        <v/>
      </c>
    </row>
    <row r="20" spans="1:16" ht="20.399999999999999" x14ac:dyDescent="0.3">
      <c r="A20" s="230"/>
      <c r="B20" s="52">
        <v>14</v>
      </c>
      <c r="C20" s="312" t="str">
        <f>IF(DATA!E18="","",DATA!E18)</f>
        <v/>
      </c>
      <c r="D20" s="53" t="str">
        <f>IF(DATA!C18="","",DATA!C18)</f>
        <v/>
      </c>
      <c r="E20" s="54"/>
      <c r="F20" s="54"/>
      <c r="G20" s="54"/>
      <c r="H20" s="54"/>
      <c r="I20" s="54"/>
      <c r="J20" s="54"/>
      <c r="K20" s="223"/>
      <c r="M20" s="238" t="str">
        <f>'GREEN SHEET'!DH20</f>
        <v/>
      </c>
      <c r="N20" s="51" t="str">
        <f>'GREEN SHEET'!DI20</f>
        <v/>
      </c>
      <c r="O20" s="50"/>
      <c r="P20" s="239" t="str">
        <f>'GREEN SHEET'!DL20</f>
        <v/>
      </c>
    </row>
    <row r="21" spans="1:16" ht="20.399999999999999" x14ac:dyDescent="0.3">
      <c r="A21" s="230"/>
      <c r="B21" s="52">
        <v>15</v>
      </c>
      <c r="C21" s="312" t="str">
        <f>IF(DATA!E19="","",DATA!E19)</f>
        <v/>
      </c>
      <c r="D21" s="53" t="str">
        <f>IF(DATA!C19="","",DATA!C19)</f>
        <v/>
      </c>
      <c r="E21" s="54"/>
      <c r="F21" s="54"/>
      <c r="G21" s="54"/>
      <c r="H21" s="54"/>
      <c r="I21" s="54"/>
      <c r="J21" s="54"/>
      <c r="K21" s="223"/>
      <c r="M21" s="238" t="str">
        <f>'GREEN SHEET'!DH21</f>
        <v/>
      </c>
      <c r="N21" s="51" t="str">
        <f>'GREEN SHEET'!DI21</f>
        <v/>
      </c>
      <c r="O21" s="50"/>
      <c r="P21" s="239" t="str">
        <f>'GREEN SHEET'!DL21</f>
        <v/>
      </c>
    </row>
    <row r="22" spans="1:16" ht="20.399999999999999" x14ac:dyDescent="0.3">
      <c r="A22" s="230"/>
      <c r="B22" s="52">
        <v>16</v>
      </c>
      <c r="C22" s="312" t="str">
        <f>IF(DATA!E20="","",DATA!E20)</f>
        <v/>
      </c>
      <c r="D22" s="53" t="str">
        <f>IF(DATA!C20="","",DATA!C20)</f>
        <v/>
      </c>
      <c r="E22" s="54"/>
      <c r="F22" s="54"/>
      <c r="G22" s="54"/>
      <c r="H22" s="54"/>
      <c r="I22" s="54"/>
      <c r="J22" s="54"/>
      <c r="K22" s="223"/>
      <c r="M22" s="238" t="str">
        <f>'GREEN SHEET'!DH22</f>
        <v/>
      </c>
      <c r="N22" s="51" t="str">
        <f>'GREEN SHEET'!DI22</f>
        <v/>
      </c>
      <c r="O22" s="50"/>
      <c r="P22" s="239" t="str">
        <f>'GREEN SHEET'!DL22</f>
        <v/>
      </c>
    </row>
    <row r="23" spans="1:16" ht="20.399999999999999" x14ac:dyDescent="0.3">
      <c r="A23" s="230"/>
      <c r="B23" s="52">
        <v>17</v>
      </c>
      <c r="C23" s="312" t="str">
        <f>IF(DATA!E21="","",DATA!E21)</f>
        <v/>
      </c>
      <c r="D23" s="53" t="str">
        <f>IF(DATA!C21="","",DATA!C21)</f>
        <v/>
      </c>
      <c r="E23" s="54"/>
      <c r="F23" s="54"/>
      <c r="G23" s="54"/>
      <c r="H23" s="54"/>
      <c r="I23" s="54"/>
      <c r="J23" s="54"/>
      <c r="K23" s="223"/>
      <c r="M23" s="238" t="str">
        <f>'GREEN SHEET'!DH23</f>
        <v/>
      </c>
      <c r="N23" s="51" t="str">
        <f>'GREEN SHEET'!DI23</f>
        <v/>
      </c>
      <c r="O23" s="50"/>
      <c r="P23" s="239" t="str">
        <f>'GREEN SHEET'!DL23</f>
        <v/>
      </c>
    </row>
    <row r="24" spans="1:16" ht="20.399999999999999" x14ac:dyDescent="0.3">
      <c r="A24" s="230"/>
      <c r="B24" s="52">
        <v>18</v>
      </c>
      <c r="C24" s="312" t="str">
        <f>IF(DATA!E22="","",DATA!E22)</f>
        <v/>
      </c>
      <c r="D24" s="53" t="str">
        <f>IF(DATA!C22="","",DATA!C22)</f>
        <v/>
      </c>
      <c r="E24" s="54"/>
      <c r="F24" s="54"/>
      <c r="G24" s="54"/>
      <c r="H24" s="54"/>
      <c r="I24" s="54"/>
      <c r="J24" s="54"/>
      <c r="K24" s="223"/>
      <c r="M24" s="238" t="str">
        <f>'GREEN SHEET'!DH24</f>
        <v/>
      </c>
      <c r="N24" s="51" t="str">
        <f>'GREEN SHEET'!DI24</f>
        <v/>
      </c>
      <c r="O24" s="50"/>
      <c r="P24" s="239" t="str">
        <f>'GREEN SHEET'!DL24</f>
        <v/>
      </c>
    </row>
    <row r="25" spans="1:16" ht="20.399999999999999" x14ac:dyDescent="0.3">
      <c r="A25" s="230"/>
      <c r="B25" s="52">
        <v>19</v>
      </c>
      <c r="C25" s="312" t="str">
        <f>IF(DATA!E23="","",DATA!E23)</f>
        <v/>
      </c>
      <c r="D25" s="53" t="str">
        <f>IF(DATA!C23="","",DATA!C23)</f>
        <v/>
      </c>
      <c r="E25" s="54"/>
      <c r="F25" s="54"/>
      <c r="G25" s="54"/>
      <c r="H25" s="54"/>
      <c r="I25" s="54"/>
      <c r="J25" s="54"/>
      <c r="K25" s="223"/>
      <c r="M25" s="238" t="str">
        <f>'GREEN SHEET'!DH25</f>
        <v/>
      </c>
      <c r="N25" s="51" t="str">
        <f>'GREEN SHEET'!DI25</f>
        <v/>
      </c>
      <c r="O25" s="50"/>
      <c r="P25" s="239" t="str">
        <f>'GREEN SHEET'!DL25</f>
        <v/>
      </c>
    </row>
    <row r="26" spans="1:16" ht="20.399999999999999" x14ac:dyDescent="0.3">
      <c r="A26" s="230"/>
      <c r="B26" s="52">
        <v>20</v>
      </c>
      <c r="C26" s="312" t="str">
        <f>IF(DATA!E24="","",DATA!E24)</f>
        <v/>
      </c>
      <c r="D26" s="53" t="str">
        <f>IF(DATA!C24="","",DATA!C24)</f>
        <v/>
      </c>
      <c r="E26" s="54"/>
      <c r="F26" s="54"/>
      <c r="G26" s="54"/>
      <c r="H26" s="54"/>
      <c r="I26" s="54"/>
      <c r="J26" s="54"/>
      <c r="K26" s="223"/>
      <c r="M26" s="238" t="str">
        <f>'GREEN SHEET'!DH26</f>
        <v/>
      </c>
      <c r="N26" s="51" t="str">
        <f>'GREEN SHEET'!DI26</f>
        <v/>
      </c>
      <c r="O26" s="50"/>
      <c r="P26" s="239" t="str">
        <f>'GREEN SHEET'!DL26</f>
        <v/>
      </c>
    </row>
    <row r="27" spans="1:16" ht="20.399999999999999" x14ac:dyDescent="0.3">
      <c r="A27" s="230"/>
      <c r="B27" s="52">
        <v>21</v>
      </c>
      <c r="C27" s="312" t="str">
        <f>IF(DATA!E25="","",DATA!E25)</f>
        <v/>
      </c>
      <c r="D27" s="53" t="str">
        <f>IF(DATA!C25="","",DATA!C25)</f>
        <v/>
      </c>
      <c r="E27" s="54"/>
      <c r="F27" s="54"/>
      <c r="G27" s="54"/>
      <c r="H27" s="54"/>
      <c r="I27" s="54"/>
      <c r="J27" s="54"/>
      <c r="K27" s="223"/>
      <c r="M27" s="238" t="str">
        <f>'GREEN SHEET'!DH27</f>
        <v/>
      </c>
      <c r="N27" s="51" t="str">
        <f>'GREEN SHEET'!DI27</f>
        <v/>
      </c>
      <c r="O27" s="50"/>
      <c r="P27" s="239" t="str">
        <f>'GREEN SHEET'!DL27</f>
        <v/>
      </c>
    </row>
    <row r="28" spans="1:16" ht="20.399999999999999" x14ac:dyDescent="0.3">
      <c r="A28" s="230"/>
      <c r="B28" s="52">
        <v>22</v>
      </c>
      <c r="C28" s="312" t="str">
        <f>IF(DATA!E26="","",DATA!E26)</f>
        <v/>
      </c>
      <c r="D28" s="53" t="str">
        <f>IF(DATA!C26="","",DATA!C26)</f>
        <v/>
      </c>
      <c r="E28" s="54"/>
      <c r="F28" s="54"/>
      <c r="G28" s="54"/>
      <c r="H28" s="54"/>
      <c r="I28" s="54"/>
      <c r="J28" s="54"/>
      <c r="K28" s="223"/>
      <c r="M28" s="238" t="str">
        <f>'GREEN SHEET'!DH28</f>
        <v/>
      </c>
      <c r="N28" s="51" t="str">
        <f>'GREEN SHEET'!DI28</f>
        <v/>
      </c>
      <c r="O28" s="50"/>
      <c r="P28" s="239" t="str">
        <f>'GREEN SHEET'!DL28</f>
        <v/>
      </c>
    </row>
    <row r="29" spans="1:16" ht="20.399999999999999" x14ac:dyDescent="0.3">
      <c r="A29" s="230"/>
      <c r="B29" s="52">
        <v>23</v>
      </c>
      <c r="C29" s="312" t="str">
        <f>IF(DATA!E27="","",DATA!E27)</f>
        <v/>
      </c>
      <c r="D29" s="53" t="str">
        <f>IF(DATA!C27="","",DATA!C27)</f>
        <v/>
      </c>
      <c r="E29" s="54"/>
      <c r="F29" s="54"/>
      <c r="G29" s="54"/>
      <c r="H29" s="54"/>
      <c r="I29" s="54"/>
      <c r="J29" s="54"/>
      <c r="K29" s="223"/>
      <c r="M29" s="238" t="str">
        <f>'GREEN SHEET'!DH29</f>
        <v/>
      </c>
      <c r="N29" s="51" t="str">
        <f>'GREEN SHEET'!DI29</f>
        <v/>
      </c>
      <c r="O29" s="50"/>
      <c r="P29" s="239" t="str">
        <f>'GREEN SHEET'!DL29</f>
        <v/>
      </c>
    </row>
    <row r="30" spans="1:16" ht="20.399999999999999" x14ac:dyDescent="0.3">
      <c r="A30" s="230"/>
      <c r="B30" s="52">
        <v>24</v>
      </c>
      <c r="C30" s="312" t="str">
        <f>IF(DATA!E28="","",DATA!E28)</f>
        <v/>
      </c>
      <c r="D30" s="53" t="str">
        <f>IF(DATA!C28="","",DATA!C28)</f>
        <v/>
      </c>
      <c r="E30" s="54"/>
      <c r="F30" s="54"/>
      <c r="G30" s="54"/>
      <c r="H30" s="54"/>
      <c r="I30" s="54"/>
      <c r="J30" s="54"/>
      <c r="K30" s="223"/>
      <c r="M30" s="238" t="str">
        <f>'GREEN SHEET'!DH30</f>
        <v/>
      </c>
      <c r="N30" s="51" t="str">
        <f>'GREEN SHEET'!DI30</f>
        <v/>
      </c>
      <c r="O30" s="50"/>
      <c r="P30" s="239" t="str">
        <f>'GREEN SHEET'!DL30</f>
        <v/>
      </c>
    </row>
    <row r="31" spans="1:16" ht="20.399999999999999" x14ac:dyDescent="0.3">
      <c r="A31" s="230"/>
      <c r="B31" s="52">
        <v>25</v>
      </c>
      <c r="C31" s="312" t="str">
        <f>IF(DATA!E29="","",DATA!E29)</f>
        <v/>
      </c>
      <c r="D31" s="53" t="str">
        <f>IF(DATA!C29="","",DATA!C29)</f>
        <v/>
      </c>
      <c r="E31" s="54"/>
      <c r="F31" s="54"/>
      <c r="G31" s="54"/>
      <c r="H31" s="54"/>
      <c r="I31" s="54"/>
      <c r="J31" s="54"/>
      <c r="K31" s="223"/>
      <c r="M31" s="238" t="str">
        <f>'GREEN SHEET'!DH31</f>
        <v/>
      </c>
      <c r="N31" s="51" t="str">
        <f>'GREEN SHEET'!DI31</f>
        <v/>
      </c>
      <c r="O31" s="50"/>
      <c r="P31" s="239" t="str">
        <f>'GREEN SHEET'!DL31</f>
        <v/>
      </c>
    </row>
    <row r="32" spans="1:16" ht="20.399999999999999" x14ac:dyDescent="0.3">
      <c r="A32" s="230"/>
      <c r="B32" s="52">
        <v>26</v>
      </c>
      <c r="C32" s="312" t="str">
        <f>IF(DATA!E30="","",DATA!E30)</f>
        <v/>
      </c>
      <c r="D32" s="53" t="str">
        <f>IF(DATA!C30="","",DATA!C30)</f>
        <v/>
      </c>
      <c r="E32" s="54"/>
      <c r="F32" s="54"/>
      <c r="G32" s="54"/>
      <c r="H32" s="54"/>
      <c r="I32" s="54"/>
      <c r="J32" s="54"/>
      <c r="K32" s="223"/>
      <c r="M32" s="238" t="str">
        <f>'GREEN SHEET'!DH32</f>
        <v/>
      </c>
      <c r="N32" s="51" t="str">
        <f>'GREEN SHEET'!DI32</f>
        <v/>
      </c>
      <c r="O32" s="50"/>
      <c r="P32" s="239" t="str">
        <f>'GREEN SHEET'!DL32</f>
        <v/>
      </c>
    </row>
    <row r="33" spans="1:16" ht="20.399999999999999" x14ac:dyDescent="0.3">
      <c r="A33" s="230"/>
      <c r="B33" s="52">
        <v>27</v>
      </c>
      <c r="C33" s="312" t="str">
        <f>IF(DATA!E31="","",DATA!E31)</f>
        <v/>
      </c>
      <c r="D33" s="53" t="str">
        <f>IF(DATA!C31="","",DATA!C31)</f>
        <v/>
      </c>
      <c r="E33" s="54"/>
      <c r="F33" s="54"/>
      <c r="G33" s="54"/>
      <c r="H33" s="54"/>
      <c r="I33" s="54"/>
      <c r="J33" s="54"/>
      <c r="K33" s="223"/>
      <c r="M33" s="238" t="str">
        <f>'GREEN SHEET'!DH33</f>
        <v/>
      </c>
      <c r="N33" s="51" t="str">
        <f>'GREEN SHEET'!DI33</f>
        <v/>
      </c>
      <c r="O33" s="50"/>
      <c r="P33" s="239" t="str">
        <f>'GREEN SHEET'!DL33</f>
        <v/>
      </c>
    </row>
    <row r="34" spans="1:16" ht="20.399999999999999" x14ac:dyDescent="0.3">
      <c r="A34" s="230"/>
      <c r="B34" s="52">
        <v>28</v>
      </c>
      <c r="C34" s="312" t="str">
        <f>IF(DATA!E32="","",DATA!E32)</f>
        <v/>
      </c>
      <c r="D34" s="53" t="str">
        <f>IF(DATA!C32="","",DATA!C32)</f>
        <v/>
      </c>
      <c r="E34" s="54"/>
      <c r="F34" s="54"/>
      <c r="G34" s="54"/>
      <c r="H34" s="54"/>
      <c r="I34" s="54"/>
      <c r="J34" s="54"/>
      <c r="K34" s="223"/>
      <c r="M34" s="238" t="str">
        <f>'GREEN SHEET'!DH34</f>
        <v/>
      </c>
      <c r="N34" s="51" t="str">
        <f>'GREEN SHEET'!DI34</f>
        <v/>
      </c>
      <c r="O34" s="50"/>
      <c r="P34" s="239" t="str">
        <f>'GREEN SHEET'!DL34</f>
        <v/>
      </c>
    </row>
    <row r="35" spans="1:16" ht="20.399999999999999" x14ac:dyDescent="0.3">
      <c r="A35" s="230"/>
      <c r="B35" s="52">
        <v>29</v>
      </c>
      <c r="C35" s="312" t="str">
        <f>IF(DATA!E33="","",DATA!E33)</f>
        <v/>
      </c>
      <c r="D35" s="53" t="str">
        <f>IF(DATA!C33="","",DATA!C33)</f>
        <v/>
      </c>
      <c r="E35" s="54"/>
      <c r="F35" s="54"/>
      <c r="G35" s="54"/>
      <c r="H35" s="54"/>
      <c r="I35" s="54"/>
      <c r="J35" s="54"/>
      <c r="K35" s="223"/>
      <c r="M35" s="238" t="str">
        <f>'GREEN SHEET'!DH35</f>
        <v/>
      </c>
      <c r="N35" s="51" t="str">
        <f>'GREEN SHEET'!DI35</f>
        <v/>
      </c>
      <c r="O35" s="50"/>
      <c r="P35" s="239" t="str">
        <f>'GREEN SHEET'!DL35</f>
        <v/>
      </c>
    </row>
    <row r="36" spans="1:16" ht="20.399999999999999" x14ac:dyDescent="0.3">
      <c r="A36" s="230"/>
      <c r="B36" s="52">
        <v>30</v>
      </c>
      <c r="C36" s="312" t="str">
        <f>IF(DATA!E34="","",DATA!E34)</f>
        <v/>
      </c>
      <c r="D36" s="53" t="str">
        <f>IF(DATA!C34="","",DATA!C34)</f>
        <v/>
      </c>
      <c r="E36" s="54"/>
      <c r="F36" s="54"/>
      <c r="G36" s="54"/>
      <c r="H36" s="54"/>
      <c r="I36" s="54"/>
      <c r="J36" s="54"/>
      <c r="K36" s="223"/>
      <c r="M36" s="238" t="str">
        <f>'GREEN SHEET'!DH36</f>
        <v/>
      </c>
      <c r="N36" s="51" t="str">
        <f>'GREEN SHEET'!DI36</f>
        <v/>
      </c>
      <c r="O36" s="50"/>
      <c r="P36" s="239" t="str">
        <f>'GREEN SHEET'!DL36</f>
        <v/>
      </c>
    </row>
    <row r="37" spans="1:16" ht="20.399999999999999" x14ac:dyDescent="0.3">
      <c r="A37" s="230"/>
      <c r="B37" s="52">
        <v>31</v>
      </c>
      <c r="C37" s="312" t="str">
        <f>IF(DATA!E35="","",DATA!E35)</f>
        <v/>
      </c>
      <c r="D37" s="53" t="str">
        <f>IF(DATA!C35="","",DATA!C35)</f>
        <v/>
      </c>
      <c r="E37" s="54"/>
      <c r="F37" s="54"/>
      <c r="G37" s="54"/>
      <c r="H37" s="54"/>
      <c r="I37" s="54"/>
      <c r="J37" s="54"/>
      <c r="K37" s="223"/>
      <c r="M37" s="238" t="str">
        <f>'GREEN SHEET'!DH37</f>
        <v/>
      </c>
      <c r="N37" s="51" t="str">
        <f>'GREEN SHEET'!DI37</f>
        <v/>
      </c>
      <c r="O37" s="50"/>
      <c r="P37" s="239" t="str">
        <f>'GREEN SHEET'!DL37</f>
        <v/>
      </c>
    </row>
    <row r="38" spans="1:16" ht="20.399999999999999" x14ac:dyDescent="0.3">
      <c r="A38" s="230"/>
      <c r="B38" s="52">
        <v>32</v>
      </c>
      <c r="C38" s="312" t="str">
        <f>IF(DATA!E36="","",DATA!E36)</f>
        <v/>
      </c>
      <c r="D38" s="53" t="str">
        <f>IF(DATA!C36="","",DATA!C36)</f>
        <v/>
      </c>
      <c r="E38" s="54"/>
      <c r="F38" s="54"/>
      <c r="G38" s="54"/>
      <c r="H38" s="54"/>
      <c r="I38" s="54"/>
      <c r="J38" s="54"/>
      <c r="K38" s="223"/>
      <c r="M38" s="238" t="str">
        <f>'GREEN SHEET'!DH38</f>
        <v/>
      </c>
      <c r="N38" s="51" t="str">
        <f>'GREEN SHEET'!DI38</f>
        <v/>
      </c>
      <c r="O38" s="50"/>
      <c r="P38" s="239" t="str">
        <f>'GREEN SHEET'!DL38</f>
        <v/>
      </c>
    </row>
    <row r="39" spans="1:16" ht="20.399999999999999" x14ac:dyDescent="0.3">
      <c r="A39" s="230"/>
      <c r="B39" s="52">
        <v>33</v>
      </c>
      <c r="C39" s="312" t="str">
        <f>IF(DATA!E37="","",DATA!E37)</f>
        <v/>
      </c>
      <c r="D39" s="53" t="str">
        <f>IF(DATA!C37="","",DATA!C37)</f>
        <v/>
      </c>
      <c r="E39" s="54"/>
      <c r="F39" s="54"/>
      <c r="G39" s="54"/>
      <c r="H39" s="54"/>
      <c r="I39" s="54"/>
      <c r="J39" s="54"/>
      <c r="K39" s="223"/>
      <c r="M39" s="238" t="str">
        <f>'GREEN SHEET'!DH39</f>
        <v/>
      </c>
      <c r="N39" s="51" t="str">
        <f>'GREEN SHEET'!DI39</f>
        <v/>
      </c>
      <c r="O39" s="50"/>
      <c r="P39" s="239" t="str">
        <f>'GREEN SHEET'!DL39</f>
        <v/>
      </c>
    </row>
    <row r="40" spans="1:16" ht="20.399999999999999" x14ac:dyDescent="0.3">
      <c r="A40" s="230"/>
      <c r="B40" s="52">
        <v>34</v>
      </c>
      <c r="C40" s="312" t="str">
        <f>IF(DATA!E38="","",DATA!E38)</f>
        <v/>
      </c>
      <c r="D40" s="53" t="str">
        <f>IF(DATA!C38="","",DATA!C38)</f>
        <v/>
      </c>
      <c r="E40" s="54"/>
      <c r="F40" s="54"/>
      <c r="G40" s="54"/>
      <c r="H40" s="54"/>
      <c r="I40" s="54"/>
      <c r="J40" s="54"/>
      <c r="K40" s="223"/>
      <c r="M40" s="238" t="str">
        <f>'GREEN SHEET'!DH40</f>
        <v/>
      </c>
      <c r="N40" s="51" t="str">
        <f>'GREEN SHEET'!DI40</f>
        <v/>
      </c>
      <c r="O40" s="50"/>
      <c r="P40" s="239" t="str">
        <f>'GREEN SHEET'!DL40</f>
        <v/>
      </c>
    </row>
    <row r="41" spans="1:16" ht="20.399999999999999" x14ac:dyDescent="0.3">
      <c r="A41" s="230"/>
      <c r="B41" s="52">
        <v>35</v>
      </c>
      <c r="C41" s="312" t="str">
        <f>IF(DATA!E39="","",DATA!E39)</f>
        <v/>
      </c>
      <c r="D41" s="53" t="str">
        <f>IF(DATA!C39="","",DATA!C39)</f>
        <v/>
      </c>
      <c r="E41" s="54"/>
      <c r="F41" s="54"/>
      <c r="G41" s="54"/>
      <c r="H41" s="54"/>
      <c r="I41" s="54"/>
      <c r="J41" s="54"/>
      <c r="K41" s="223"/>
      <c r="M41" s="238" t="str">
        <f>'GREEN SHEET'!DH41</f>
        <v/>
      </c>
      <c r="N41" s="51" t="str">
        <f>'GREEN SHEET'!DI41</f>
        <v/>
      </c>
      <c r="O41" s="50"/>
      <c r="P41" s="239" t="str">
        <f>'GREEN SHEET'!DL41</f>
        <v/>
      </c>
    </row>
    <row r="42" spans="1:16" ht="20.399999999999999" x14ac:dyDescent="0.3">
      <c r="A42" s="230"/>
      <c r="B42" s="52">
        <v>36</v>
      </c>
      <c r="C42" s="312" t="str">
        <f>IF(DATA!E40="","",DATA!E40)</f>
        <v/>
      </c>
      <c r="D42" s="53" t="str">
        <f>IF(DATA!C40="","",DATA!C40)</f>
        <v/>
      </c>
      <c r="E42" s="54"/>
      <c r="F42" s="54"/>
      <c r="G42" s="54"/>
      <c r="H42" s="54"/>
      <c r="I42" s="54"/>
      <c r="J42" s="54"/>
      <c r="K42" s="223"/>
      <c r="M42" s="238" t="str">
        <f>'GREEN SHEET'!DH42</f>
        <v/>
      </c>
      <c r="N42" s="51" t="str">
        <f>'GREEN SHEET'!DI42</f>
        <v/>
      </c>
      <c r="O42" s="50"/>
      <c r="P42" s="239" t="str">
        <f>'GREEN SHEET'!DL42</f>
        <v/>
      </c>
    </row>
    <row r="43" spans="1:16" ht="20.399999999999999" x14ac:dyDescent="0.3">
      <c r="A43" s="230"/>
      <c r="B43" s="52">
        <v>37</v>
      </c>
      <c r="C43" s="312" t="str">
        <f>IF(DATA!E41="","",DATA!E41)</f>
        <v/>
      </c>
      <c r="D43" s="53" t="str">
        <f>IF(DATA!C41="","",DATA!C41)</f>
        <v/>
      </c>
      <c r="E43" s="54"/>
      <c r="F43" s="54"/>
      <c r="G43" s="54"/>
      <c r="H43" s="54"/>
      <c r="I43" s="54"/>
      <c r="J43" s="54"/>
      <c r="K43" s="223"/>
      <c r="M43" s="238" t="str">
        <f>'GREEN SHEET'!DH43</f>
        <v/>
      </c>
      <c r="N43" s="51" t="str">
        <f>'GREEN SHEET'!DI43</f>
        <v/>
      </c>
      <c r="O43" s="50"/>
      <c r="P43" s="239" t="str">
        <f>'GREEN SHEET'!DL43</f>
        <v/>
      </c>
    </row>
    <row r="44" spans="1:16" ht="20.399999999999999" x14ac:dyDescent="0.3">
      <c r="A44" s="230"/>
      <c r="B44" s="52">
        <v>38</v>
      </c>
      <c r="C44" s="312" t="str">
        <f>IF(DATA!E42="","",DATA!E42)</f>
        <v/>
      </c>
      <c r="D44" s="53" t="str">
        <f>IF(DATA!C42="","",DATA!C42)</f>
        <v/>
      </c>
      <c r="E44" s="54"/>
      <c r="F44" s="54"/>
      <c r="G44" s="54"/>
      <c r="H44" s="54"/>
      <c r="I44" s="54"/>
      <c r="J44" s="54"/>
      <c r="K44" s="223"/>
      <c r="M44" s="238" t="str">
        <f>'GREEN SHEET'!DH44</f>
        <v/>
      </c>
      <c r="N44" s="51" t="str">
        <f>'GREEN SHEET'!DI44</f>
        <v/>
      </c>
      <c r="O44" s="50"/>
      <c r="P44" s="239" t="str">
        <f>'GREEN SHEET'!DL44</f>
        <v/>
      </c>
    </row>
    <row r="45" spans="1:16" ht="20.399999999999999" x14ac:dyDescent="0.3">
      <c r="A45" s="230"/>
      <c r="B45" s="52">
        <v>39</v>
      </c>
      <c r="C45" s="312" t="str">
        <f>IF(DATA!E43="","",DATA!E43)</f>
        <v/>
      </c>
      <c r="D45" s="53" t="str">
        <f>IF(DATA!C43="","",DATA!C43)</f>
        <v/>
      </c>
      <c r="E45" s="54"/>
      <c r="F45" s="54"/>
      <c r="G45" s="54"/>
      <c r="H45" s="54"/>
      <c r="I45" s="54"/>
      <c r="J45" s="54"/>
      <c r="K45" s="223"/>
      <c r="M45" s="238" t="str">
        <f>'GREEN SHEET'!DH45</f>
        <v/>
      </c>
      <c r="N45" s="51" t="str">
        <f>'GREEN SHEET'!DI45</f>
        <v/>
      </c>
      <c r="O45" s="50"/>
      <c r="P45" s="239" t="str">
        <f>'GREEN SHEET'!DL45</f>
        <v/>
      </c>
    </row>
    <row r="46" spans="1:16" ht="20.399999999999999" x14ac:dyDescent="0.3">
      <c r="A46" s="230"/>
      <c r="B46" s="52">
        <v>40</v>
      </c>
      <c r="C46" s="312" t="str">
        <f>IF(DATA!E44="","",DATA!E44)</f>
        <v/>
      </c>
      <c r="D46" s="53" t="str">
        <f>IF(DATA!C44="","",DATA!C44)</f>
        <v/>
      </c>
      <c r="E46" s="54"/>
      <c r="F46" s="54"/>
      <c r="G46" s="54"/>
      <c r="H46" s="54"/>
      <c r="I46" s="54"/>
      <c r="J46" s="54"/>
      <c r="K46" s="223"/>
      <c r="M46" s="238" t="str">
        <f>'GREEN SHEET'!DH46</f>
        <v/>
      </c>
      <c r="N46" s="51" t="str">
        <f>'GREEN SHEET'!DI46</f>
        <v/>
      </c>
      <c r="O46" s="50"/>
      <c r="P46" s="239" t="str">
        <f>'GREEN SHEET'!DL46</f>
        <v/>
      </c>
    </row>
    <row r="47" spans="1:16" ht="20.399999999999999" x14ac:dyDescent="0.3">
      <c r="A47" s="230"/>
      <c r="B47" s="52">
        <v>41</v>
      </c>
      <c r="C47" s="312" t="str">
        <f>IF(DATA!E45="","",DATA!E45)</f>
        <v/>
      </c>
      <c r="D47" s="53" t="str">
        <f>IF(DATA!C45="","",DATA!C45)</f>
        <v/>
      </c>
      <c r="E47" s="54"/>
      <c r="F47" s="54"/>
      <c r="G47" s="54"/>
      <c r="H47" s="54"/>
      <c r="I47" s="54"/>
      <c r="J47" s="54"/>
      <c r="K47" s="223"/>
      <c r="M47" s="238" t="str">
        <f>'GREEN SHEET'!DH47</f>
        <v/>
      </c>
      <c r="N47" s="51" t="str">
        <f>'GREEN SHEET'!DI47</f>
        <v/>
      </c>
      <c r="O47" s="50"/>
      <c r="P47" s="239" t="str">
        <f>'GREEN SHEET'!DL47</f>
        <v/>
      </c>
    </row>
    <row r="48" spans="1:16" ht="20.399999999999999" x14ac:dyDescent="0.3">
      <c r="A48" s="230"/>
      <c r="B48" s="52">
        <v>42</v>
      </c>
      <c r="C48" s="312" t="str">
        <f>IF(DATA!E46="","",DATA!E46)</f>
        <v/>
      </c>
      <c r="D48" s="53" t="str">
        <f>IF(DATA!C46="","",DATA!C46)</f>
        <v/>
      </c>
      <c r="E48" s="54"/>
      <c r="F48" s="54"/>
      <c r="G48" s="54"/>
      <c r="H48" s="54"/>
      <c r="I48" s="54"/>
      <c r="J48" s="54"/>
      <c r="K48" s="223"/>
      <c r="M48" s="238" t="str">
        <f>'GREEN SHEET'!DH48</f>
        <v/>
      </c>
      <c r="N48" s="51" t="str">
        <f>'GREEN SHEET'!DI48</f>
        <v/>
      </c>
      <c r="O48" s="50"/>
      <c r="P48" s="239" t="str">
        <f>'GREEN SHEET'!DL48</f>
        <v/>
      </c>
    </row>
    <row r="49" spans="1:17" ht="20.399999999999999" x14ac:dyDescent="0.3">
      <c r="A49" s="230"/>
      <c r="B49" s="52">
        <v>43</v>
      </c>
      <c r="C49" s="312" t="str">
        <f>IF(DATA!E47="","",DATA!E47)</f>
        <v/>
      </c>
      <c r="D49" s="53" t="str">
        <f>IF(DATA!C47="","",DATA!C47)</f>
        <v/>
      </c>
      <c r="E49" s="54"/>
      <c r="F49" s="54"/>
      <c r="G49" s="54"/>
      <c r="H49" s="54"/>
      <c r="I49" s="54"/>
      <c r="J49" s="54"/>
      <c r="K49" s="223"/>
      <c r="M49" s="238" t="str">
        <f>'GREEN SHEET'!DH49</f>
        <v/>
      </c>
      <c r="N49" s="51" t="str">
        <f>'GREEN SHEET'!DI49</f>
        <v/>
      </c>
      <c r="O49" s="50"/>
      <c r="P49" s="239" t="str">
        <f>'GREEN SHEET'!DL49</f>
        <v/>
      </c>
    </row>
    <row r="50" spans="1:17" ht="20.399999999999999" x14ac:dyDescent="0.3">
      <c r="A50" s="230"/>
      <c r="B50" s="52">
        <v>44</v>
      </c>
      <c r="C50" s="312" t="str">
        <f>IF(DATA!E48="","",DATA!E48)</f>
        <v/>
      </c>
      <c r="D50" s="53" t="str">
        <f>IF(DATA!C48="","",DATA!C48)</f>
        <v/>
      </c>
      <c r="E50" s="54"/>
      <c r="F50" s="54"/>
      <c r="G50" s="54"/>
      <c r="H50" s="54"/>
      <c r="I50" s="54"/>
      <c r="J50" s="54"/>
      <c r="K50" s="223"/>
      <c r="M50" s="238" t="str">
        <f>'GREEN SHEET'!DH50</f>
        <v/>
      </c>
      <c r="N50" s="51" t="str">
        <f>'GREEN SHEET'!DI50</f>
        <v/>
      </c>
      <c r="O50" s="50"/>
      <c r="P50" s="239" t="str">
        <f>'GREEN SHEET'!DL50</f>
        <v/>
      </c>
    </row>
    <row r="51" spans="1:17" ht="21" thickBot="1" x14ac:dyDescent="0.35">
      <c r="A51" s="230"/>
      <c r="B51" s="55">
        <v>45</v>
      </c>
      <c r="C51" s="313" t="str">
        <f>IF(DATA!E49="","",DATA!E49)</f>
        <v/>
      </c>
      <c r="D51" s="224" t="str">
        <f>IF(DATA!C49="","",DATA!C49)</f>
        <v/>
      </c>
      <c r="E51" s="56"/>
      <c r="F51" s="56"/>
      <c r="G51" s="56"/>
      <c r="H51" s="56"/>
      <c r="I51" s="56"/>
      <c r="J51" s="56"/>
      <c r="K51" s="225"/>
      <c r="M51" s="238" t="str">
        <f>'GREEN SHEET'!DH112</f>
        <v/>
      </c>
      <c r="N51" s="51" t="str">
        <f>'GREEN SHEET'!DI112</f>
        <v/>
      </c>
      <c r="O51" s="50"/>
      <c r="P51" s="239" t="str">
        <f>'GREEN SHEET'!DL51</f>
        <v/>
      </c>
    </row>
    <row r="52" spans="1:17" ht="59.25" customHeight="1" thickBot="1" x14ac:dyDescent="0.35">
      <c r="A52" s="230"/>
      <c r="B52" s="711" t="s">
        <v>224</v>
      </c>
      <c r="C52" s="712"/>
      <c r="D52" s="712"/>
      <c r="E52" s="723"/>
      <c r="F52" s="724"/>
      <c r="G52" s="724"/>
      <c r="H52" s="724"/>
      <c r="I52" s="724"/>
      <c r="J52" s="724"/>
      <c r="K52" s="725"/>
      <c r="M52" s="708"/>
      <c r="N52" s="709"/>
      <c r="O52" s="709"/>
      <c r="P52" s="710"/>
    </row>
    <row r="53" spans="1:17" ht="15" customHeight="1" x14ac:dyDescent="0.3">
      <c r="A53" s="228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44"/>
      <c r="P53" s="44"/>
    </row>
    <row r="54" spans="1:17" ht="15" hidden="1" customHeight="1" x14ac:dyDescent="0.3">
      <c r="Q54" s="8"/>
    </row>
  </sheetData>
  <sheetProtection algorithmName="SHA-512" hashValue="7cfi2qyOKhpEQK3aObqVGu3YDNqnfnGqtcNGvQjJyOVZURHHyvLWOxf19b+ZVcHBhPyOZF+mnfTftkf88kZPnQ==" saltValue="M3Kha/wKvAAheSs8oBRWoQ==" spinCount="100000" sheet="1" objects="1" scenarios="1" selectLockedCells="1"/>
  <mergeCells count="7">
    <mergeCell ref="M52:P52"/>
    <mergeCell ref="B52:D52"/>
    <mergeCell ref="H4:K4"/>
    <mergeCell ref="B6:D6"/>
    <mergeCell ref="B2:K2"/>
    <mergeCell ref="B3:K3"/>
    <mergeCell ref="E52:K52"/>
  </mergeCells>
  <conditionalFormatting sqref="O7:O51">
    <cfRule type="expression" dxfId="1" priority="1">
      <formula>AND(OR(M7&gt;=33,$O$6="",O7&gt;$O$6),O7&lt;&gt;"")</formula>
    </cfRule>
  </conditionalFormatting>
  <dataValidations count="1">
    <dataValidation type="custom" allowBlank="1" showInputMessage="1" showErrorMessage="1" errorTitle="Invalid Entry" error="Entry not allowed._x000a_Check the following:_x000a_• STUDENT ALREADY PASSED_x000a_• DEFINE MAX MARKS_x000a_• ENTERED VALUE MUST NOT GREATER THAN MAX MARKS" sqref="O7:O51">
      <formula1>AND(M7&lt;33,$O$6&lt;&gt;"",O7&lt;=$O$6)</formula1>
    </dataValidation>
  </dataValidations>
  <hyperlinks>
    <hyperlink ref="A1" location="DASHBOARD!A1" display="D"/>
  </hyperlinks>
  <pageMargins left="0.47" right="0.35433070866141736" top="0.37" bottom="0.26" header="0.31496062992125984" footer="0.17"/>
  <pageSetup scale="64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T54"/>
  <sheetViews>
    <sheetView workbookViewId="0">
      <selection activeCell="G8" sqref="G8"/>
    </sheetView>
  </sheetViews>
  <sheetFormatPr defaultColWidth="0" defaultRowHeight="0" customHeight="1" zeroHeight="1" x14ac:dyDescent="0.3"/>
  <cols>
    <col min="1" max="1" width="3.109375" style="231" bestFit="1" customWidth="1"/>
    <col min="2" max="2" width="6.77734375" style="24" customWidth="1"/>
    <col min="3" max="3" width="45.5546875" style="24" bestFit="1" customWidth="1"/>
    <col min="4" max="4" width="10.33203125" style="24" customWidth="1"/>
    <col min="5" max="5" width="20.88671875" style="24" customWidth="1"/>
    <col min="6" max="6" width="12.6640625" style="24" bestFit="1" customWidth="1"/>
    <col min="7" max="7" width="11.44140625" style="24" customWidth="1"/>
    <col min="8" max="8" width="1.44140625" style="235" customWidth="1"/>
    <col min="9" max="9" width="7.33203125" style="43" customWidth="1"/>
    <col min="10" max="10" width="7.6640625" style="43" customWidth="1"/>
    <col min="11" max="11" width="8.21875" style="43" hidden="1" customWidth="1"/>
    <col min="12" max="12" width="7.109375" style="43" hidden="1" customWidth="1"/>
    <col min="13" max="13" width="2.33203125" style="7" customWidth="1"/>
    <col min="14" max="20" width="0" style="8" hidden="1" customWidth="1"/>
    <col min="21" max="16384" width="9.109375" style="8" hidden="1"/>
  </cols>
  <sheetData>
    <row r="1" spans="1:13" ht="11.25" customHeight="1" thickBot="1" x14ac:dyDescent="0.35">
      <c r="A1" s="226" t="s">
        <v>24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</row>
    <row r="2" spans="1:13" ht="36.75" customHeight="1" x14ac:dyDescent="0.3">
      <c r="A2" s="228"/>
      <c r="B2" s="717" t="str">
        <f>"SWAMI VIVEKANAND GOVT. MODEL SCHOOL,"&amp;DASHBOARD!C3</f>
        <v>SWAMI VIVEKANAND GOVT. MODEL SCHOOL,XXXX,  BLOCK-XXXX (RAJSAMAND)</v>
      </c>
      <c r="C2" s="718"/>
      <c r="D2" s="718"/>
      <c r="E2" s="718"/>
      <c r="F2" s="718"/>
      <c r="G2" s="719"/>
      <c r="I2" s="330"/>
      <c r="J2" s="331"/>
      <c r="K2" s="331"/>
      <c r="L2" s="332"/>
    </row>
    <row r="3" spans="1:13" ht="23.25" customHeight="1" thickBot="1" x14ac:dyDescent="0.35">
      <c r="A3" s="228"/>
      <c r="B3" s="720" t="str">
        <f>IF(DASHBOARD!B4="","",DASHBOARD!B4)</f>
        <v>SESSION  -  2025-26</v>
      </c>
      <c r="C3" s="721"/>
      <c r="D3" s="721"/>
      <c r="E3" s="734"/>
      <c r="F3" s="734"/>
      <c r="G3" s="735"/>
      <c r="I3" s="330"/>
      <c r="J3" s="331"/>
      <c r="K3" s="331"/>
      <c r="L3" s="332"/>
    </row>
    <row r="4" spans="1:13" s="18" customFormat="1" ht="27.75" customHeight="1" thickBot="1" x14ac:dyDescent="0.5">
      <c r="A4" s="229"/>
      <c r="B4" s="232"/>
      <c r="C4" s="233" t="s">
        <v>87</v>
      </c>
      <c r="D4" s="234" t="str">
        <f>DASHBOARD!B8&amp;DASHBOARD!C8</f>
        <v>9A</v>
      </c>
      <c r="E4" s="233"/>
      <c r="F4" s="360" t="s">
        <v>270</v>
      </c>
      <c r="G4" s="732" t="str">
        <f>DASHBOARD!B20</f>
        <v>BEAUTY &amp; WELLNESS</v>
      </c>
      <c r="H4" s="732"/>
      <c r="I4" s="732"/>
      <c r="J4" s="732"/>
      <c r="K4" s="732"/>
      <c r="L4" s="733"/>
      <c r="M4" s="16"/>
    </row>
    <row r="5" spans="1:13" ht="28.8" x14ac:dyDescent="0.3">
      <c r="A5" s="228"/>
      <c r="B5" s="304" t="s">
        <v>97</v>
      </c>
      <c r="C5" s="305" t="s">
        <v>96</v>
      </c>
      <c r="D5" s="305" t="s">
        <v>5</v>
      </c>
      <c r="E5" s="493" t="s">
        <v>305</v>
      </c>
      <c r="F5" s="359" t="s">
        <v>268</v>
      </c>
      <c r="G5" s="357" t="s">
        <v>269</v>
      </c>
      <c r="H5" s="308"/>
      <c r="I5" s="358" t="s">
        <v>57</v>
      </c>
      <c r="J5" s="359" t="s">
        <v>146</v>
      </c>
      <c r="K5" s="359"/>
      <c r="L5" s="357"/>
    </row>
    <row r="6" spans="1:13" ht="20.399999999999999" customHeight="1" x14ac:dyDescent="0.3">
      <c r="A6" s="228"/>
      <c r="B6" s="726" t="s">
        <v>307</v>
      </c>
      <c r="C6" s="727"/>
      <c r="D6" s="727"/>
      <c r="E6" s="728"/>
      <c r="F6" s="50">
        <v>50</v>
      </c>
      <c r="G6" s="222">
        <v>50</v>
      </c>
      <c r="I6" s="238">
        <f>'GREEN SHEET'!DR6</f>
        <v>100</v>
      </c>
      <c r="J6" s="51" t="str">
        <f>'GREEN SHEET'!DS6</f>
        <v>A1</v>
      </c>
      <c r="K6" s="50"/>
      <c r="L6" s="239"/>
    </row>
    <row r="7" spans="1:13" ht="20.399999999999999" x14ac:dyDescent="0.3">
      <c r="A7" s="228"/>
      <c r="B7" s="52">
        <v>1</v>
      </c>
      <c r="C7" s="312" t="str">
        <f>IF(DATA!E5="","",DATA!E5)</f>
        <v>ARTI PRAJAPAT</v>
      </c>
      <c r="D7" s="53">
        <f>IF(DATA!C5="","",DATA!C5)</f>
        <v>901</v>
      </c>
      <c r="E7" s="494" t="s">
        <v>272</v>
      </c>
      <c r="F7" s="54">
        <v>5</v>
      </c>
      <c r="G7" s="223">
        <v>50</v>
      </c>
      <c r="I7" s="238">
        <f>'GREEN SHEET'!DR7</f>
        <v>55</v>
      </c>
      <c r="J7" s="51" t="str">
        <f>'GREEN SHEET'!DS7</f>
        <v>C1</v>
      </c>
      <c r="K7" s="50"/>
      <c r="L7" s="239"/>
    </row>
    <row r="8" spans="1:13" ht="20.399999999999999" x14ac:dyDescent="0.3">
      <c r="A8" s="228"/>
      <c r="B8" s="52">
        <v>2</v>
      </c>
      <c r="C8" s="312" t="str">
        <f>IF(DATA!E6="","",DATA!E6)</f>
        <v>ARVIND SINGH BALLA</v>
      </c>
      <c r="D8" s="53">
        <f>IF(DATA!C6="","",DATA!C6)</f>
        <v>902</v>
      </c>
      <c r="E8" s="494" t="s">
        <v>111</v>
      </c>
      <c r="F8" s="54">
        <v>15</v>
      </c>
      <c r="G8" s="223">
        <v>10</v>
      </c>
      <c r="I8" s="238">
        <f>'GREEN SHEET'!DR8</f>
        <v>25</v>
      </c>
      <c r="J8" s="51" t="str">
        <f>'GREEN SHEET'!DS8</f>
        <v>E</v>
      </c>
      <c r="K8" s="50"/>
      <c r="L8" s="239"/>
    </row>
    <row r="9" spans="1:13" ht="20.399999999999999" x14ac:dyDescent="0.3">
      <c r="A9" s="228"/>
      <c r="B9" s="52">
        <v>3</v>
      </c>
      <c r="C9" s="312" t="str">
        <f>IF(DATA!E7="","",DATA!E7)</f>
        <v>BHAVESH SINGH RAO</v>
      </c>
      <c r="D9" s="53" t="str">
        <f>IF(DATA!C7="","",DATA!C7)</f>
        <v>TC</v>
      </c>
      <c r="E9" s="494"/>
      <c r="F9" s="54"/>
      <c r="G9" s="223"/>
      <c r="I9" s="238" t="str">
        <f>'GREEN SHEET'!DR9</f>
        <v/>
      </c>
      <c r="J9" s="51" t="str">
        <f>'GREEN SHEET'!DS9</f>
        <v/>
      </c>
      <c r="K9" s="50"/>
      <c r="L9" s="239"/>
    </row>
    <row r="10" spans="1:13" ht="20.399999999999999" x14ac:dyDescent="0.3">
      <c r="A10" s="228"/>
      <c r="B10" s="52">
        <v>4</v>
      </c>
      <c r="C10" s="312" t="str">
        <f>IF(DATA!E8="","",DATA!E8)</f>
        <v/>
      </c>
      <c r="D10" s="53" t="str">
        <f>IF(DATA!C8="","",DATA!C8)</f>
        <v/>
      </c>
      <c r="E10" s="494"/>
      <c r="F10" s="54"/>
      <c r="G10" s="223"/>
      <c r="I10" s="238" t="str">
        <f>'GREEN SHEET'!DR10</f>
        <v/>
      </c>
      <c r="J10" s="51" t="str">
        <f>'GREEN SHEET'!DS10</f>
        <v/>
      </c>
      <c r="K10" s="50"/>
      <c r="L10" s="239"/>
    </row>
    <row r="11" spans="1:13" ht="20.399999999999999" x14ac:dyDescent="0.3">
      <c r="A11" s="228"/>
      <c r="B11" s="52">
        <v>5</v>
      </c>
      <c r="C11" s="312" t="str">
        <f>IF(DATA!E9="","",DATA!E9)</f>
        <v/>
      </c>
      <c r="D11" s="53" t="str">
        <f>IF(DATA!C9="","",DATA!C9)</f>
        <v/>
      </c>
      <c r="E11" s="494"/>
      <c r="F11" s="54"/>
      <c r="G11" s="223"/>
      <c r="I11" s="238" t="str">
        <f>'GREEN SHEET'!DR11</f>
        <v/>
      </c>
      <c r="J11" s="51" t="str">
        <f>'GREEN SHEET'!DS11</f>
        <v/>
      </c>
      <c r="K11" s="50"/>
      <c r="L11" s="239"/>
    </row>
    <row r="12" spans="1:13" ht="20.399999999999999" x14ac:dyDescent="0.3">
      <c r="A12" s="228"/>
      <c r="B12" s="52">
        <v>6</v>
      </c>
      <c r="C12" s="312" t="str">
        <f>IF(DATA!E10="","",DATA!E10)</f>
        <v/>
      </c>
      <c r="D12" s="53" t="str">
        <f>IF(DATA!C10="","",DATA!C10)</f>
        <v/>
      </c>
      <c r="E12" s="494"/>
      <c r="F12" s="54"/>
      <c r="G12" s="223"/>
      <c r="I12" s="238" t="str">
        <f>'GREEN SHEET'!DR12</f>
        <v/>
      </c>
      <c r="J12" s="51" t="str">
        <f>'GREEN SHEET'!DS12</f>
        <v/>
      </c>
      <c r="K12" s="50"/>
      <c r="L12" s="239"/>
    </row>
    <row r="13" spans="1:13" ht="20.399999999999999" x14ac:dyDescent="0.3">
      <c r="A13" s="228"/>
      <c r="B13" s="52">
        <v>7</v>
      </c>
      <c r="C13" s="312" t="str">
        <f>IF(DATA!E11="","",DATA!E11)</f>
        <v/>
      </c>
      <c r="D13" s="53" t="str">
        <f>IF(DATA!C11="","",DATA!C11)</f>
        <v/>
      </c>
      <c r="E13" s="494"/>
      <c r="F13" s="54"/>
      <c r="G13" s="223"/>
      <c r="I13" s="238" t="str">
        <f>'GREEN SHEET'!DR13</f>
        <v/>
      </c>
      <c r="J13" s="51" t="str">
        <f>'GREEN SHEET'!DS13</f>
        <v/>
      </c>
      <c r="K13" s="50"/>
      <c r="L13" s="239"/>
    </row>
    <row r="14" spans="1:13" ht="20.399999999999999" x14ac:dyDescent="0.3">
      <c r="A14" s="228"/>
      <c r="B14" s="52">
        <v>8</v>
      </c>
      <c r="C14" s="312" t="str">
        <f>IF(DATA!E12="","",DATA!E12)</f>
        <v/>
      </c>
      <c r="D14" s="53" t="str">
        <f>IF(DATA!C12="","",DATA!C12)</f>
        <v/>
      </c>
      <c r="E14" s="494"/>
      <c r="F14" s="54"/>
      <c r="G14" s="223"/>
      <c r="I14" s="238" t="str">
        <f>'GREEN SHEET'!DR14</f>
        <v/>
      </c>
      <c r="J14" s="51" t="str">
        <f>'GREEN SHEET'!DS14</f>
        <v/>
      </c>
      <c r="K14" s="50"/>
      <c r="L14" s="239"/>
    </row>
    <row r="15" spans="1:13" ht="20.399999999999999" x14ac:dyDescent="0.3">
      <c r="A15" s="228"/>
      <c r="B15" s="52">
        <v>9</v>
      </c>
      <c r="C15" s="312" t="str">
        <f>IF(DATA!E13="","",DATA!E13)</f>
        <v/>
      </c>
      <c r="D15" s="53" t="str">
        <f>IF(DATA!C13="","",DATA!C13)</f>
        <v/>
      </c>
      <c r="E15" s="494"/>
      <c r="F15" s="54"/>
      <c r="G15" s="223"/>
      <c r="I15" s="238" t="str">
        <f>'GREEN SHEET'!DR15</f>
        <v/>
      </c>
      <c r="J15" s="51" t="str">
        <f>'GREEN SHEET'!DS15</f>
        <v/>
      </c>
      <c r="K15" s="50"/>
      <c r="L15" s="239"/>
    </row>
    <row r="16" spans="1:13" ht="20.399999999999999" x14ac:dyDescent="0.3">
      <c r="A16" s="228"/>
      <c r="B16" s="52">
        <v>10</v>
      </c>
      <c r="C16" s="312" t="str">
        <f>IF(DATA!E14="","",DATA!E14)</f>
        <v/>
      </c>
      <c r="D16" s="53" t="str">
        <f>IF(DATA!C14="","",DATA!C14)</f>
        <v/>
      </c>
      <c r="E16" s="494"/>
      <c r="F16" s="54"/>
      <c r="G16" s="223"/>
      <c r="I16" s="238" t="str">
        <f>'GREEN SHEET'!DR16</f>
        <v/>
      </c>
      <c r="J16" s="51" t="str">
        <f>'GREEN SHEET'!DS16</f>
        <v/>
      </c>
      <c r="K16" s="50"/>
      <c r="L16" s="239"/>
    </row>
    <row r="17" spans="1:12" ht="20.399999999999999" x14ac:dyDescent="0.3">
      <c r="A17" s="228"/>
      <c r="B17" s="52">
        <v>11</v>
      </c>
      <c r="C17" s="312" t="str">
        <f>IF(DATA!E15="","",DATA!E15)</f>
        <v/>
      </c>
      <c r="D17" s="53" t="str">
        <f>IF(DATA!C15="","",DATA!C15)</f>
        <v/>
      </c>
      <c r="E17" s="494"/>
      <c r="F17" s="54"/>
      <c r="G17" s="223"/>
      <c r="I17" s="238" t="str">
        <f>'GREEN SHEET'!DR17</f>
        <v/>
      </c>
      <c r="J17" s="51" t="str">
        <f>'GREEN SHEET'!DS17</f>
        <v/>
      </c>
      <c r="K17" s="50"/>
      <c r="L17" s="239"/>
    </row>
    <row r="18" spans="1:12" ht="20.399999999999999" x14ac:dyDescent="0.3">
      <c r="A18" s="228"/>
      <c r="B18" s="52">
        <v>12</v>
      </c>
      <c r="C18" s="312" t="str">
        <f>IF(DATA!E16="","",DATA!E16)</f>
        <v/>
      </c>
      <c r="D18" s="53" t="str">
        <f>IF(DATA!C16="","",DATA!C16)</f>
        <v/>
      </c>
      <c r="E18" s="494"/>
      <c r="F18" s="54"/>
      <c r="G18" s="223"/>
      <c r="I18" s="238" t="str">
        <f>'GREEN SHEET'!DR18</f>
        <v/>
      </c>
      <c r="J18" s="51" t="str">
        <f>'GREEN SHEET'!DS18</f>
        <v/>
      </c>
      <c r="K18" s="50"/>
      <c r="L18" s="239"/>
    </row>
    <row r="19" spans="1:12" ht="20.399999999999999" x14ac:dyDescent="0.3">
      <c r="A19" s="228"/>
      <c r="B19" s="52">
        <v>13</v>
      </c>
      <c r="C19" s="312" t="str">
        <f>IF(DATA!E17="","",DATA!E17)</f>
        <v/>
      </c>
      <c r="D19" s="53" t="str">
        <f>IF(DATA!C17="","",DATA!C17)</f>
        <v/>
      </c>
      <c r="E19" s="494"/>
      <c r="F19" s="54"/>
      <c r="G19" s="223"/>
      <c r="I19" s="238" t="str">
        <f>'GREEN SHEET'!DR19</f>
        <v/>
      </c>
      <c r="J19" s="51" t="str">
        <f>'GREEN SHEET'!DS19</f>
        <v/>
      </c>
      <c r="K19" s="50"/>
      <c r="L19" s="239"/>
    </row>
    <row r="20" spans="1:12" ht="20.399999999999999" x14ac:dyDescent="0.3">
      <c r="A20" s="228"/>
      <c r="B20" s="52">
        <v>14</v>
      </c>
      <c r="C20" s="312" t="str">
        <f>IF(DATA!E18="","",DATA!E18)</f>
        <v/>
      </c>
      <c r="D20" s="53" t="str">
        <f>IF(DATA!C18="","",DATA!C18)</f>
        <v/>
      </c>
      <c r="E20" s="494"/>
      <c r="F20" s="54"/>
      <c r="G20" s="223"/>
      <c r="I20" s="238" t="str">
        <f>'GREEN SHEET'!DR20</f>
        <v/>
      </c>
      <c r="J20" s="51" t="str">
        <f>'GREEN SHEET'!DS20</f>
        <v/>
      </c>
      <c r="K20" s="50"/>
      <c r="L20" s="239"/>
    </row>
    <row r="21" spans="1:12" ht="20.399999999999999" x14ac:dyDescent="0.3">
      <c r="A21" s="228"/>
      <c r="B21" s="52">
        <v>15</v>
      </c>
      <c r="C21" s="312" t="str">
        <f>IF(DATA!E19="","",DATA!E19)</f>
        <v/>
      </c>
      <c r="D21" s="53" t="str">
        <f>IF(DATA!C19="","",DATA!C19)</f>
        <v/>
      </c>
      <c r="E21" s="494"/>
      <c r="F21" s="54"/>
      <c r="G21" s="223"/>
      <c r="I21" s="238" t="str">
        <f>'GREEN SHEET'!DR21</f>
        <v/>
      </c>
      <c r="J21" s="51" t="str">
        <f>'GREEN SHEET'!DS21</f>
        <v/>
      </c>
      <c r="K21" s="50"/>
      <c r="L21" s="239"/>
    </row>
    <row r="22" spans="1:12" ht="20.399999999999999" x14ac:dyDescent="0.3">
      <c r="A22" s="228"/>
      <c r="B22" s="52">
        <v>16</v>
      </c>
      <c r="C22" s="312" t="str">
        <f>IF(DATA!E20="","",DATA!E20)</f>
        <v/>
      </c>
      <c r="D22" s="53" t="str">
        <f>IF(DATA!C20="","",DATA!C20)</f>
        <v/>
      </c>
      <c r="E22" s="494"/>
      <c r="F22" s="54"/>
      <c r="G22" s="223"/>
      <c r="I22" s="238" t="str">
        <f>'GREEN SHEET'!DR22</f>
        <v/>
      </c>
      <c r="J22" s="51" t="str">
        <f>'GREEN SHEET'!DS22</f>
        <v/>
      </c>
      <c r="K22" s="50"/>
      <c r="L22" s="239"/>
    </row>
    <row r="23" spans="1:12" ht="20.399999999999999" x14ac:dyDescent="0.3">
      <c r="A23" s="228"/>
      <c r="B23" s="52">
        <v>17</v>
      </c>
      <c r="C23" s="312" t="str">
        <f>IF(DATA!E21="","",DATA!E21)</f>
        <v/>
      </c>
      <c r="D23" s="53" t="str">
        <f>IF(DATA!C21="","",DATA!C21)</f>
        <v/>
      </c>
      <c r="E23" s="494"/>
      <c r="F23" s="54"/>
      <c r="G23" s="223"/>
      <c r="I23" s="238" t="str">
        <f>'GREEN SHEET'!DR23</f>
        <v/>
      </c>
      <c r="J23" s="51" t="str">
        <f>'GREEN SHEET'!DS23</f>
        <v/>
      </c>
      <c r="K23" s="50"/>
      <c r="L23" s="239"/>
    </row>
    <row r="24" spans="1:12" ht="20.399999999999999" x14ac:dyDescent="0.3">
      <c r="A24" s="228"/>
      <c r="B24" s="52">
        <v>18</v>
      </c>
      <c r="C24" s="312" t="str">
        <f>IF(DATA!E22="","",DATA!E22)</f>
        <v/>
      </c>
      <c r="D24" s="53" t="str">
        <f>IF(DATA!C22="","",DATA!C22)</f>
        <v/>
      </c>
      <c r="E24" s="494"/>
      <c r="F24" s="54"/>
      <c r="G24" s="223"/>
      <c r="I24" s="238" t="str">
        <f>'GREEN SHEET'!DR24</f>
        <v/>
      </c>
      <c r="J24" s="51" t="str">
        <f>'GREEN SHEET'!DS24</f>
        <v/>
      </c>
      <c r="K24" s="50"/>
      <c r="L24" s="239"/>
    </row>
    <row r="25" spans="1:12" ht="20.399999999999999" x14ac:dyDescent="0.3">
      <c r="A25" s="228"/>
      <c r="B25" s="52">
        <v>19</v>
      </c>
      <c r="C25" s="312" t="str">
        <f>IF(DATA!E23="","",DATA!E23)</f>
        <v/>
      </c>
      <c r="D25" s="53" t="str">
        <f>IF(DATA!C23="","",DATA!C23)</f>
        <v/>
      </c>
      <c r="E25" s="494"/>
      <c r="F25" s="54"/>
      <c r="G25" s="223"/>
      <c r="I25" s="238" t="str">
        <f>'GREEN SHEET'!DR25</f>
        <v/>
      </c>
      <c r="J25" s="51" t="str">
        <f>'GREEN SHEET'!DS25</f>
        <v/>
      </c>
      <c r="K25" s="50"/>
      <c r="L25" s="239"/>
    </row>
    <row r="26" spans="1:12" ht="20.399999999999999" x14ac:dyDescent="0.3">
      <c r="A26" s="228"/>
      <c r="B26" s="52">
        <v>20</v>
      </c>
      <c r="C26" s="312" t="str">
        <f>IF(DATA!E24="","",DATA!E24)</f>
        <v/>
      </c>
      <c r="D26" s="53" t="str">
        <f>IF(DATA!C24="","",DATA!C24)</f>
        <v/>
      </c>
      <c r="E26" s="494"/>
      <c r="F26" s="54"/>
      <c r="G26" s="223"/>
      <c r="I26" s="238" t="str">
        <f>'GREEN SHEET'!DR26</f>
        <v/>
      </c>
      <c r="J26" s="51" t="str">
        <f>'GREEN SHEET'!DS26</f>
        <v/>
      </c>
      <c r="K26" s="50"/>
      <c r="L26" s="239"/>
    </row>
    <row r="27" spans="1:12" ht="20.399999999999999" x14ac:dyDescent="0.3">
      <c r="A27" s="228"/>
      <c r="B27" s="52">
        <v>21</v>
      </c>
      <c r="C27" s="312" t="str">
        <f>IF(DATA!E25="","",DATA!E25)</f>
        <v/>
      </c>
      <c r="D27" s="53" t="str">
        <f>IF(DATA!C25="","",DATA!C25)</f>
        <v/>
      </c>
      <c r="E27" s="494"/>
      <c r="F27" s="54"/>
      <c r="G27" s="223"/>
      <c r="I27" s="238" t="str">
        <f>'GREEN SHEET'!DR27</f>
        <v/>
      </c>
      <c r="J27" s="51" t="str">
        <f>'GREEN SHEET'!DS27</f>
        <v/>
      </c>
      <c r="K27" s="50"/>
      <c r="L27" s="239"/>
    </row>
    <row r="28" spans="1:12" ht="20.399999999999999" x14ac:dyDescent="0.3">
      <c r="A28" s="228"/>
      <c r="B28" s="52">
        <v>22</v>
      </c>
      <c r="C28" s="312" t="str">
        <f>IF(DATA!E26="","",DATA!E26)</f>
        <v/>
      </c>
      <c r="D28" s="53" t="str">
        <f>IF(DATA!C26="","",DATA!C26)</f>
        <v/>
      </c>
      <c r="E28" s="494"/>
      <c r="F28" s="54"/>
      <c r="G28" s="223"/>
      <c r="I28" s="238" t="str">
        <f>'GREEN SHEET'!DR28</f>
        <v/>
      </c>
      <c r="J28" s="51" t="str">
        <f>'GREEN SHEET'!DS28</f>
        <v/>
      </c>
      <c r="K28" s="50"/>
      <c r="L28" s="239"/>
    </row>
    <row r="29" spans="1:12" ht="20.399999999999999" x14ac:dyDescent="0.3">
      <c r="A29" s="228"/>
      <c r="B29" s="52">
        <v>23</v>
      </c>
      <c r="C29" s="312" t="str">
        <f>IF(DATA!E27="","",DATA!E27)</f>
        <v/>
      </c>
      <c r="D29" s="53" t="str">
        <f>IF(DATA!C27="","",DATA!C27)</f>
        <v/>
      </c>
      <c r="E29" s="494"/>
      <c r="F29" s="54"/>
      <c r="G29" s="223"/>
      <c r="I29" s="238" t="str">
        <f>'GREEN SHEET'!DR29</f>
        <v/>
      </c>
      <c r="J29" s="51" t="str">
        <f>'GREEN SHEET'!DS29</f>
        <v/>
      </c>
      <c r="K29" s="50"/>
      <c r="L29" s="239"/>
    </row>
    <row r="30" spans="1:12" ht="20.399999999999999" x14ac:dyDescent="0.3">
      <c r="A30" s="228"/>
      <c r="B30" s="52">
        <v>24</v>
      </c>
      <c r="C30" s="312" t="str">
        <f>IF(DATA!E28="","",DATA!E28)</f>
        <v/>
      </c>
      <c r="D30" s="53" t="str">
        <f>IF(DATA!C28="","",DATA!C28)</f>
        <v/>
      </c>
      <c r="E30" s="494"/>
      <c r="F30" s="54"/>
      <c r="G30" s="223"/>
      <c r="I30" s="238" t="str">
        <f>'GREEN SHEET'!DR30</f>
        <v/>
      </c>
      <c r="J30" s="51" t="str">
        <f>'GREEN SHEET'!DS30</f>
        <v/>
      </c>
      <c r="K30" s="50"/>
      <c r="L30" s="239"/>
    </row>
    <row r="31" spans="1:12" ht="20.399999999999999" x14ac:dyDescent="0.3">
      <c r="A31" s="228"/>
      <c r="B31" s="52">
        <v>25</v>
      </c>
      <c r="C31" s="312" t="str">
        <f>IF(DATA!E29="","",DATA!E29)</f>
        <v/>
      </c>
      <c r="D31" s="53" t="str">
        <f>IF(DATA!C29="","",DATA!C29)</f>
        <v/>
      </c>
      <c r="E31" s="494"/>
      <c r="F31" s="54"/>
      <c r="G31" s="223"/>
      <c r="I31" s="238" t="str">
        <f>'GREEN SHEET'!DR31</f>
        <v/>
      </c>
      <c r="J31" s="51" t="str">
        <f>'GREEN SHEET'!DS31</f>
        <v/>
      </c>
      <c r="K31" s="50"/>
      <c r="L31" s="239"/>
    </row>
    <row r="32" spans="1:12" ht="20.399999999999999" x14ac:dyDescent="0.3">
      <c r="A32" s="228"/>
      <c r="B32" s="52">
        <v>26</v>
      </c>
      <c r="C32" s="312" t="str">
        <f>IF(DATA!E30="","",DATA!E30)</f>
        <v/>
      </c>
      <c r="D32" s="53" t="str">
        <f>IF(DATA!C30="","",DATA!C30)</f>
        <v/>
      </c>
      <c r="E32" s="494"/>
      <c r="F32" s="54"/>
      <c r="G32" s="223"/>
      <c r="I32" s="238" t="str">
        <f>'GREEN SHEET'!DR32</f>
        <v/>
      </c>
      <c r="J32" s="51" t="str">
        <f>'GREEN SHEET'!DS32</f>
        <v/>
      </c>
      <c r="K32" s="50"/>
      <c r="L32" s="239"/>
    </row>
    <row r="33" spans="1:12" ht="20.399999999999999" x14ac:dyDescent="0.3">
      <c r="A33" s="228"/>
      <c r="B33" s="52">
        <v>27</v>
      </c>
      <c r="C33" s="312" t="str">
        <f>IF(DATA!E31="","",DATA!E31)</f>
        <v/>
      </c>
      <c r="D33" s="53" t="str">
        <f>IF(DATA!C31="","",DATA!C31)</f>
        <v/>
      </c>
      <c r="E33" s="494"/>
      <c r="F33" s="54"/>
      <c r="G33" s="223"/>
      <c r="I33" s="238" t="str">
        <f>'GREEN SHEET'!DR33</f>
        <v/>
      </c>
      <c r="J33" s="51" t="str">
        <f>'GREEN SHEET'!DS33</f>
        <v/>
      </c>
      <c r="K33" s="50"/>
      <c r="L33" s="239"/>
    </row>
    <row r="34" spans="1:12" ht="20.399999999999999" x14ac:dyDescent="0.3">
      <c r="A34" s="228"/>
      <c r="B34" s="52">
        <v>28</v>
      </c>
      <c r="C34" s="312" t="str">
        <f>IF(DATA!E32="","",DATA!E32)</f>
        <v/>
      </c>
      <c r="D34" s="53" t="str">
        <f>IF(DATA!C32="","",DATA!C32)</f>
        <v/>
      </c>
      <c r="E34" s="494"/>
      <c r="F34" s="54"/>
      <c r="G34" s="223"/>
      <c r="I34" s="238" t="str">
        <f>'GREEN SHEET'!DR34</f>
        <v/>
      </c>
      <c r="J34" s="51" t="str">
        <f>'GREEN SHEET'!DS34</f>
        <v/>
      </c>
      <c r="K34" s="50"/>
      <c r="L34" s="239"/>
    </row>
    <row r="35" spans="1:12" ht="20.399999999999999" x14ac:dyDescent="0.3">
      <c r="A35" s="228"/>
      <c r="B35" s="52">
        <v>29</v>
      </c>
      <c r="C35" s="312" t="str">
        <f>IF(DATA!E33="","",DATA!E33)</f>
        <v/>
      </c>
      <c r="D35" s="53" t="str">
        <f>IF(DATA!C33="","",DATA!C33)</f>
        <v/>
      </c>
      <c r="E35" s="494"/>
      <c r="F35" s="54"/>
      <c r="G35" s="223"/>
      <c r="I35" s="238" t="str">
        <f>'GREEN SHEET'!DR35</f>
        <v/>
      </c>
      <c r="J35" s="51" t="str">
        <f>'GREEN SHEET'!DS35</f>
        <v/>
      </c>
      <c r="K35" s="50"/>
      <c r="L35" s="239"/>
    </row>
    <row r="36" spans="1:12" ht="20.399999999999999" x14ac:dyDescent="0.3">
      <c r="A36" s="228"/>
      <c r="B36" s="52">
        <v>30</v>
      </c>
      <c r="C36" s="312" t="str">
        <f>IF(DATA!E34="","",DATA!E34)</f>
        <v/>
      </c>
      <c r="D36" s="53" t="str">
        <f>IF(DATA!C34="","",DATA!C34)</f>
        <v/>
      </c>
      <c r="E36" s="494"/>
      <c r="F36" s="54"/>
      <c r="G36" s="223"/>
      <c r="I36" s="238" t="str">
        <f>'GREEN SHEET'!DR36</f>
        <v/>
      </c>
      <c r="J36" s="51" t="str">
        <f>'GREEN SHEET'!DS36</f>
        <v/>
      </c>
      <c r="K36" s="50"/>
      <c r="L36" s="239"/>
    </row>
    <row r="37" spans="1:12" ht="20.399999999999999" x14ac:dyDescent="0.3">
      <c r="A37" s="228"/>
      <c r="B37" s="52">
        <v>31</v>
      </c>
      <c r="C37" s="312" t="str">
        <f>IF(DATA!E35="","",DATA!E35)</f>
        <v/>
      </c>
      <c r="D37" s="53" t="str">
        <f>IF(DATA!C35="","",DATA!C35)</f>
        <v/>
      </c>
      <c r="E37" s="494"/>
      <c r="F37" s="54"/>
      <c r="G37" s="223"/>
      <c r="I37" s="238" t="str">
        <f>'GREEN SHEET'!DR37</f>
        <v/>
      </c>
      <c r="J37" s="51" t="str">
        <f>'GREEN SHEET'!DS37</f>
        <v/>
      </c>
      <c r="K37" s="50"/>
      <c r="L37" s="239"/>
    </row>
    <row r="38" spans="1:12" ht="20.399999999999999" x14ac:dyDescent="0.3">
      <c r="A38" s="228"/>
      <c r="B38" s="52">
        <v>32</v>
      </c>
      <c r="C38" s="312" t="str">
        <f>IF(DATA!E36="","",DATA!E36)</f>
        <v/>
      </c>
      <c r="D38" s="53" t="str">
        <f>IF(DATA!C36="","",DATA!C36)</f>
        <v/>
      </c>
      <c r="E38" s="494"/>
      <c r="F38" s="54"/>
      <c r="G38" s="223"/>
      <c r="I38" s="238" t="str">
        <f>'GREEN SHEET'!DR38</f>
        <v/>
      </c>
      <c r="J38" s="51" t="str">
        <f>'GREEN SHEET'!DS38</f>
        <v/>
      </c>
      <c r="K38" s="50"/>
      <c r="L38" s="239"/>
    </row>
    <row r="39" spans="1:12" ht="20.399999999999999" x14ac:dyDescent="0.3">
      <c r="A39" s="228"/>
      <c r="B39" s="52">
        <v>33</v>
      </c>
      <c r="C39" s="312" t="str">
        <f>IF(DATA!E37="","",DATA!E37)</f>
        <v/>
      </c>
      <c r="D39" s="53" t="str">
        <f>IF(DATA!C37="","",DATA!C37)</f>
        <v/>
      </c>
      <c r="E39" s="494"/>
      <c r="F39" s="54"/>
      <c r="G39" s="223"/>
      <c r="I39" s="238" t="str">
        <f>'GREEN SHEET'!DR39</f>
        <v/>
      </c>
      <c r="J39" s="51" t="str">
        <f>'GREEN SHEET'!DS39</f>
        <v/>
      </c>
      <c r="K39" s="50"/>
      <c r="L39" s="239"/>
    </row>
    <row r="40" spans="1:12" ht="20.399999999999999" x14ac:dyDescent="0.3">
      <c r="A40" s="228"/>
      <c r="B40" s="52">
        <v>34</v>
      </c>
      <c r="C40" s="312" t="str">
        <f>IF(DATA!E38="","",DATA!E38)</f>
        <v/>
      </c>
      <c r="D40" s="53" t="str">
        <f>IF(DATA!C38="","",DATA!C38)</f>
        <v/>
      </c>
      <c r="E40" s="494"/>
      <c r="F40" s="54"/>
      <c r="G40" s="223"/>
      <c r="I40" s="238" t="str">
        <f>'GREEN SHEET'!DR40</f>
        <v/>
      </c>
      <c r="J40" s="51" t="str">
        <f>'GREEN SHEET'!DS40</f>
        <v/>
      </c>
      <c r="K40" s="50"/>
      <c r="L40" s="239"/>
    </row>
    <row r="41" spans="1:12" ht="20.399999999999999" x14ac:dyDescent="0.3">
      <c r="A41" s="228"/>
      <c r="B41" s="52">
        <v>35</v>
      </c>
      <c r="C41" s="312" t="str">
        <f>IF(DATA!E39="","",DATA!E39)</f>
        <v/>
      </c>
      <c r="D41" s="53" t="str">
        <f>IF(DATA!C39="","",DATA!C39)</f>
        <v/>
      </c>
      <c r="E41" s="494"/>
      <c r="F41" s="54"/>
      <c r="G41" s="223"/>
      <c r="I41" s="238" t="str">
        <f>'GREEN SHEET'!DR41</f>
        <v/>
      </c>
      <c r="J41" s="51" t="str">
        <f>'GREEN SHEET'!DS41</f>
        <v/>
      </c>
      <c r="K41" s="50"/>
      <c r="L41" s="239"/>
    </row>
    <row r="42" spans="1:12" ht="20.399999999999999" x14ac:dyDescent="0.3">
      <c r="A42" s="228"/>
      <c r="B42" s="52">
        <v>36</v>
      </c>
      <c r="C42" s="312" t="str">
        <f>IF(DATA!E40="","",DATA!E40)</f>
        <v/>
      </c>
      <c r="D42" s="53" t="str">
        <f>IF(DATA!C40="","",DATA!C40)</f>
        <v/>
      </c>
      <c r="E42" s="494"/>
      <c r="F42" s="54"/>
      <c r="G42" s="223"/>
      <c r="I42" s="238" t="str">
        <f>'GREEN SHEET'!DR42</f>
        <v/>
      </c>
      <c r="J42" s="51" t="str">
        <f>'GREEN SHEET'!DS42</f>
        <v/>
      </c>
      <c r="K42" s="50"/>
      <c r="L42" s="239"/>
    </row>
    <row r="43" spans="1:12" ht="20.399999999999999" x14ac:dyDescent="0.3">
      <c r="A43" s="228"/>
      <c r="B43" s="52">
        <v>37</v>
      </c>
      <c r="C43" s="312" t="str">
        <f>IF(DATA!E41="","",DATA!E41)</f>
        <v/>
      </c>
      <c r="D43" s="53" t="str">
        <f>IF(DATA!C41="","",DATA!C41)</f>
        <v/>
      </c>
      <c r="E43" s="494"/>
      <c r="F43" s="54"/>
      <c r="G43" s="223"/>
      <c r="I43" s="238" t="str">
        <f>'GREEN SHEET'!DR43</f>
        <v/>
      </c>
      <c r="J43" s="51" t="str">
        <f>'GREEN SHEET'!DS43</f>
        <v/>
      </c>
      <c r="K43" s="50"/>
      <c r="L43" s="239"/>
    </row>
    <row r="44" spans="1:12" ht="20.399999999999999" x14ac:dyDescent="0.3">
      <c r="A44" s="228"/>
      <c r="B44" s="52">
        <v>38</v>
      </c>
      <c r="C44" s="312" t="str">
        <f>IF(DATA!E42="","",DATA!E42)</f>
        <v/>
      </c>
      <c r="D44" s="53" t="str">
        <f>IF(DATA!C42="","",DATA!C42)</f>
        <v/>
      </c>
      <c r="E44" s="494"/>
      <c r="F44" s="54"/>
      <c r="G44" s="223"/>
      <c r="I44" s="238" t="str">
        <f>'GREEN SHEET'!DR44</f>
        <v/>
      </c>
      <c r="J44" s="51" t="str">
        <f>'GREEN SHEET'!DS44</f>
        <v/>
      </c>
      <c r="K44" s="50"/>
      <c r="L44" s="239"/>
    </row>
    <row r="45" spans="1:12" ht="20.399999999999999" x14ac:dyDescent="0.3">
      <c r="A45" s="228"/>
      <c r="B45" s="52">
        <v>39</v>
      </c>
      <c r="C45" s="312" t="str">
        <f>IF(DATA!E43="","",DATA!E43)</f>
        <v/>
      </c>
      <c r="D45" s="53" t="str">
        <f>IF(DATA!C43="","",DATA!C43)</f>
        <v/>
      </c>
      <c r="E45" s="494"/>
      <c r="F45" s="54"/>
      <c r="G45" s="223"/>
      <c r="I45" s="238" t="str">
        <f>'GREEN SHEET'!DR45</f>
        <v/>
      </c>
      <c r="J45" s="51" t="str">
        <f>'GREEN SHEET'!DS45</f>
        <v/>
      </c>
      <c r="K45" s="50"/>
      <c r="L45" s="239"/>
    </row>
    <row r="46" spans="1:12" ht="20.399999999999999" x14ac:dyDescent="0.3">
      <c r="A46" s="228"/>
      <c r="B46" s="52">
        <v>40</v>
      </c>
      <c r="C46" s="312" t="str">
        <f>IF(DATA!E44="","",DATA!E44)</f>
        <v/>
      </c>
      <c r="D46" s="53" t="str">
        <f>IF(DATA!C44="","",DATA!C44)</f>
        <v/>
      </c>
      <c r="E46" s="494"/>
      <c r="F46" s="54"/>
      <c r="G46" s="223"/>
      <c r="I46" s="238" t="str">
        <f>'GREEN SHEET'!DR46</f>
        <v/>
      </c>
      <c r="J46" s="51" t="str">
        <f>'GREEN SHEET'!DS46</f>
        <v/>
      </c>
      <c r="K46" s="50"/>
      <c r="L46" s="239"/>
    </row>
    <row r="47" spans="1:12" ht="20.399999999999999" x14ac:dyDescent="0.3">
      <c r="A47" s="228"/>
      <c r="B47" s="52">
        <v>41</v>
      </c>
      <c r="C47" s="312" t="str">
        <f>IF(DATA!E45="","",DATA!E45)</f>
        <v/>
      </c>
      <c r="D47" s="53" t="str">
        <f>IF(DATA!C45="","",DATA!C45)</f>
        <v/>
      </c>
      <c r="E47" s="494"/>
      <c r="F47" s="54"/>
      <c r="G47" s="223"/>
      <c r="I47" s="238" t="str">
        <f>'GREEN SHEET'!DR47</f>
        <v/>
      </c>
      <c r="J47" s="51" t="str">
        <f>'GREEN SHEET'!DS47</f>
        <v/>
      </c>
      <c r="K47" s="50"/>
      <c r="L47" s="239"/>
    </row>
    <row r="48" spans="1:12" ht="20.399999999999999" x14ac:dyDescent="0.3">
      <c r="A48" s="228"/>
      <c r="B48" s="52">
        <v>42</v>
      </c>
      <c r="C48" s="312" t="str">
        <f>IF(DATA!E46="","",DATA!E46)</f>
        <v/>
      </c>
      <c r="D48" s="53" t="str">
        <f>IF(DATA!C46="","",DATA!C46)</f>
        <v/>
      </c>
      <c r="E48" s="494"/>
      <c r="F48" s="54"/>
      <c r="G48" s="223"/>
      <c r="I48" s="238" t="str">
        <f>'GREEN SHEET'!DR48</f>
        <v/>
      </c>
      <c r="J48" s="51" t="str">
        <f>'GREEN SHEET'!DS48</f>
        <v/>
      </c>
      <c r="K48" s="50"/>
      <c r="L48" s="239"/>
    </row>
    <row r="49" spans="1:13" ht="20.399999999999999" x14ac:dyDescent="0.3">
      <c r="A49" s="228"/>
      <c r="B49" s="52">
        <v>43</v>
      </c>
      <c r="C49" s="312" t="str">
        <f>IF(DATA!E47="","",DATA!E47)</f>
        <v/>
      </c>
      <c r="D49" s="53" t="str">
        <f>IF(DATA!C47="","",DATA!C47)</f>
        <v/>
      </c>
      <c r="E49" s="494"/>
      <c r="F49" s="54"/>
      <c r="G49" s="223"/>
      <c r="I49" s="238" t="str">
        <f>'GREEN SHEET'!DR49</f>
        <v/>
      </c>
      <c r="J49" s="51" t="str">
        <f>'GREEN SHEET'!DS49</f>
        <v/>
      </c>
      <c r="K49" s="50"/>
      <c r="L49" s="239"/>
    </row>
    <row r="50" spans="1:13" ht="20.399999999999999" x14ac:dyDescent="0.3">
      <c r="A50" s="228"/>
      <c r="B50" s="52">
        <v>44</v>
      </c>
      <c r="C50" s="312" t="str">
        <f>IF(DATA!E48="","",DATA!E48)</f>
        <v/>
      </c>
      <c r="D50" s="53" t="str">
        <f>IF(DATA!C48="","",DATA!C48)</f>
        <v/>
      </c>
      <c r="E50" s="494"/>
      <c r="F50" s="54"/>
      <c r="G50" s="223"/>
      <c r="I50" s="238" t="str">
        <f>'GREEN SHEET'!DR50</f>
        <v/>
      </c>
      <c r="J50" s="51" t="str">
        <f>'GREEN SHEET'!DS50</f>
        <v/>
      </c>
      <c r="K50" s="50"/>
      <c r="L50" s="239"/>
    </row>
    <row r="51" spans="1:13" ht="21" thickBot="1" x14ac:dyDescent="0.35">
      <c r="A51" s="228"/>
      <c r="B51" s="55">
        <v>45</v>
      </c>
      <c r="C51" s="313" t="str">
        <f>IF(DATA!E49="","",DATA!E49)</f>
        <v/>
      </c>
      <c r="D51" s="224" t="str">
        <f>IF(DATA!C49="","",DATA!C49)</f>
        <v/>
      </c>
      <c r="E51" s="494"/>
      <c r="F51" s="56"/>
      <c r="G51" s="225"/>
      <c r="I51" s="238" t="str">
        <f>'GREEN SHEET'!DR51</f>
        <v/>
      </c>
      <c r="J51" s="51" t="str">
        <f>'GREEN SHEET'!DS51</f>
        <v/>
      </c>
      <c r="K51" s="50"/>
      <c r="L51" s="239"/>
    </row>
    <row r="52" spans="1:13" ht="59.25" customHeight="1" thickBot="1" x14ac:dyDescent="0.35">
      <c r="A52" s="228"/>
      <c r="B52" s="736" t="s">
        <v>306</v>
      </c>
      <c r="C52" s="737"/>
      <c r="D52" s="737"/>
      <c r="E52" s="345"/>
      <c r="F52" s="737"/>
      <c r="G52" s="738"/>
      <c r="I52" s="708"/>
      <c r="J52" s="709"/>
      <c r="K52" s="709"/>
      <c r="L52" s="710"/>
    </row>
    <row r="53" spans="1:13" ht="15" customHeight="1" x14ac:dyDescent="0.3">
      <c r="A53" s="228"/>
      <c r="B53" s="60"/>
      <c r="C53" s="60"/>
      <c r="D53" s="60"/>
      <c r="E53" s="60"/>
      <c r="F53" s="60"/>
      <c r="G53" s="60"/>
      <c r="H53" s="60"/>
      <c r="I53" s="60"/>
      <c r="J53" s="60"/>
      <c r="K53" s="44"/>
      <c r="L53" s="44"/>
    </row>
    <row r="54" spans="1:13" ht="15" hidden="1" customHeight="1" x14ac:dyDescent="0.3">
      <c r="M54" s="8"/>
    </row>
  </sheetData>
  <sheetProtection algorithmName="SHA-512" hashValue="D1mhFLLSFVDbIsI6+iB6bG4ICfbJb6bbShR+dP3cISSmi27n3qL65r9RL/xqwna9RqzYpvNK+9bTwTASFBoWzA==" saltValue="aOF97vVgyUo3DVj3pKyo+Q==" spinCount="100000" sheet="1" objects="1" scenarios="1" selectLockedCells="1"/>
  <mergeCells count="7">
    <mergeCell ref="I52:L52"/>
    <mergeCell ref="G4:L4"/>
    <mergeCell ref="B2:G2"/>
    <mergeCell ref="B3:G3"/>
    <mergeCell ref="B52:D52"/>
    <mergeCell ref="F52:G52"/>
    <mergeCell ref="B6:E6"/>
  </mergeCells>
  <conditionalFormatting sqref="K7:K51">
    <cfRule type="expression" dxfId="0" priority="1">
      <formula>AND(OR(I7&gt;=33,$K$6="",K7&gt;$K$6),K7&lt;&gt;"")</formula>
    </cfRule>
  </conditionalFormatting>
  <dataValidations count="1">
    <dataValidation type="custom" showInputMessage="1" showErrorMessage="1" errorTitle="INVALID ENTRY" error="Entry not allowed._x000a_Check the following:_x000a_• STUDENT ALREADY PASSED_x000a_• DEFINE MAX MARKS_x000a_• ENTERED VALUE MUST NOT GREATER THAN MAX MARKS" sqref="K7:K51">
      <formula1>AND(I7&lt;33,$K$6&lt;&gt;"",K7&lt;=$K$6)</formula1>
    </dataValidation>
  </dataValidations>
  <hyperlinks>
    <hyperlink ref="A1" location="DASHBOARD!A1" display="D"/>
  </hyperlinks>
  <pageMargins left="0.47" right="0.35433070866141736" top="0.37" bottom="0.26" header="0.31496062992125984" footer="0.17"/>
  <pageSetup scale="64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DASHBOARD!$B$20:$B$22</xm:f>
          </x14:formula1>
          <xm:sqref>E7:E51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53"/>
  <sheetViews>
    <sheetView topLeftCell="A2" zoomScale="85" zoomScaleNormal="85" workbookViewId="0">
      <selection activeCell="I21" sqref="I21"/>
    </sheetView>
  </sheetViews>
  <sheetFormatPr defaultColWidth="0" defaultRowHeight="14.4" zeroHeight="1" x14ac:dyDescent="0.3"/>
  <cols>
    <col min="1" max="1" width="5.33203125" style="13" customWidth="1"/>
    <col min="2" max="2" width="9.109375" style="70" customWidth="1"/>
    <col min="3" max="3" width="39.5546875" style="70" customWidth="1"/>
    <col min="4" max="4" width="18" style="70" customWidth="1"/>
    <col min="5" max="16" width="10.33203125" style="71" customWidth="1"/>
    <col min="17" max="17" width="11.6640625" style="71" customWidth="1"/>
    <col min="18" max="18" width="5.33203125" style="11" customWidth="1"/>
    <col min="19" max="16384" width="9.109375" style="11" hidden="1"/>
  </cols>
  <sheetData>
    <row r="1" spans="1:18" s="13" customFormat="1" ht="21" customHeight="1" x14ac:dyDescent="0.3">
      <c r="A1" s="12" t="s">
        <v>24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10"/>
    </row>
    <row r="2" spans="1:18" s="13" customFormat="1" ht="38.25" customHeight="1" x14ac:dyDescent="0.3">
      <c r="A2" s="10"/>
      <c r="B2" s="741" t="str">
        <f>"SWAMI VIVEKANAND GOVT. MODEL SCHOOL,"&amp;DASHBOARD!C3</f>
        <v>SWAMI VIVEKANAND GOVT. MODEL SCHOOL,XXXX,  BLOCK-XXXX (RAJSAMAND)</v>
      </c>
      <c r="C2" s="741"/>
      <c r="D2" s="741"/>
      <c r="E2" s="741"/>
      <c r="F2" s="741"/>
      <c r="G2" s="741"/>
      <c r="H2" s="741"/>
      <c r="I2" s="741"/>
      <c r="J2" s="741"/>
      <c r="K2" s="741"/>
      <c r="L2" s="741"/>
      <c r="M2" s="741"/>
      <c r="N2" s="741"/>
      <c r="O2" s="741"/>
      <c r="P2" s="741"/>
      <c r="Q2" s="742"/>
      <c r="R2" s="10"/>
    </row>
    <row r="3" spans="1:18" s="13" customFormat="1" ht="38.25" customHeight="1" x14ac:dyDescent="0.3">
      <c r="A3" s="10"/>
      <c r="B3" s="741" t="str">
        <f>IF(DASHBOARD!B4="","",DASHBOARD!B4)</f>
        <v>SESSION  -  2025-26</v>
      </c>
      <c r="C3" s="741"/>
      <c r="D3" s="741"/>
      <c r="E3" s="741"/>
      <c r="F3" s="741"/>
      <c r="G3" s="741"/>
      <c r="H3" s="741"/>
      <c r="I3" s="741"/>
      <c r="J3" s="741"/>
      <c r="K3" s="741"/>
      <c r="L3" s="741"/>
      <c r="M3" s="741"/>
      <c r="N3" s="741"/>
      <c r="O3" s="741"/>
      <c r="P3" s="741"/>
      <c r="Q3" s="742"/>
      <c r="R3" s="10"/>
    </row>
    <row r="4" spans="1:18" s="13" customFormat="1" ht="25.2" thickBot="1" x14ac:dyDescent="0.45">
      <c r="A4" s="10"/>
      <c r="B4" s="61"/>
      <c r="C4" s="62" t="s">
        <v>87</v>
      </c>
      <c r="D4" s="63" t="str">
        <f>DASHBOARD!B8&amp;DASHBOARD!C8</f>
        <v>9A</v>
      </c>
      <c r="E4" s="61"/>
      <c r="F4" s="61"/>
      <c r="G4" s="64"/>
      <c r="H4" s="64"/>
      <c r="I4" s="64"/>
      <c r="J4" s="64"/>
      <c r="K4" s="750" t="s">
        <v>86</v>
      </c>
      <c r="L4" s="750"/>
      <c r="M4" s="750"/>
      <c r="N4" s="750"/>
      <c r="O4" s="750"/>
      <c r="P4" s="750"/>
      <c r="Q4" s="750"/>
      <c r="R4" s="10"/>
    </row>
    <row r="5" spans="1:18" s="13" customFormat="1" ht="33" customHeight="1" x14ac:dyDescent="0.3">
      <c r="A5" s="10"/>
      <c r="B5" s="743" t="s">
        <v>4</v>
      </c>
      <c r="C5" s="745" t="s">
        <v>7</v>
      </c>
      <c r="D5" s="745" t="s">
        <v>21</v>
      </c>
      <c r="E5" s="747" t="s">
        <v>25</v>
      </c>
      <c r="F5" s="747"/>
      <c r="G5" s="747"/>
      <c r="H5" s="747"/>
      <c r="I5" s="747"/>
      <c r="J5" s="747"/>
      <c r="K5" s="747"/>
      <c r="L5" s="747"/>
      <c r="M5" s="747"/>
      <c r="N5" s="747"/>
      <c r="O5" s="747"/>
      <c r="P5" s="747"/>
      <c r="Q5" s="748" t="s">
        <v>26</v>
      </c>
      <c r="R5" s="10"/>
    </row>
    <row r="6" spans="1:18" s="13" customFormat="1" ht="33" customHeight="1" x14ac:dyDescent="0.3">
      <c r="A6" s="10"/>
      <c r="B6" s="744"/>
      <c r="C6" s="746"/>
      <c r="D6" s="746"/>
      <c r="E6" s="65" t="s">
        <v>27</v>
      </c>
      <c r="F6" s="65" t="s">
        <v>28</v>
      </c>
      <c r="G6" s="65" t="s">
        <v>29</v>
      </c>
      <c r="H6" s="65" t="s">
        <v>30</v>
      </c>
      <c r="I6" s="65" t="s">
        <v>31</v>
      </c>
      <c r="J6" s="65" t="s">
        <v>32</v>
      </c>
      <c r="K6" s="65" t="s">
        <v>33</v>
      </c>
      <c r="L6" s="65" t="s">
        <v>34</v>
      </c>
      <c r="M6" s="65" t="s">
        <v>35</v>
      </c>
      <c r="N6" s="65" t="s">
        <v>36</v>
      </c>
      <c r="O6" s="65" t="s">
        <v>37</v>
      </c>
      <c r="P6" s="65" t="s">
        <v>38</v>
      </c>
      <c r="Q6" s="749"/>
      <c r="R6" s="10"/>
    </row>
    <row r="7" spans="1:18" ht="21" customHeight="1" x14ac:dyDescent="0.3">
      <c r="A7" s="10"/>
      <c r="B7" s="739" t="s">
        <v>39</v>
      </c>
      <c r="C7" s="740"/>
      <c r="D7" s="740"/>
      <c r="E7" s="50">
        <v>19</v>
      </c>
      <c r="F7" s="50">
        <v>14</v>
      </c>
      <c r="G7" s="50">
        <v>0</v>
      </c>
      <c r="H7" s="50">
        <v>24</v>
      </c>
      <c r="I7" s="50">
        <v>24</v>
      </c>
      <c r="J7" s="50">
        <v>22</v>
      </c>
      <c r="K7" s="50">
        <v>22</v>
      </c>
      <c r="L7" s="50">
        <v>12</v>
      </c>
      <c r="M7" s="50">
        <v>20</v>
      </c>
      <c r="N7" s="50">
        <v>17</v>
      </c>
      <c r="O7" s="50">
        <v>15</v>
      </c>
      <c r="P7" s="282">
        <v>11</v>
      </c>
      <c r="Q7" s="281">
        <f>IF(SUM(E7:P7)=0,"",SUM(E7:P7))</f>
        <v>200</v>
      </c>
      <c r="R7" s="10"/>
    </row>
    <row r="8" spans="1:18" ht="20.399999999999999" x14ac:dyDescent="0.3">
      <c r="A8" s="10"/>
      <c r="B8" s="66">
        <v>1</v>
      </c>
      <c r="C8" s="53" t="str">
        <f>IF(DATA!E5="","",DATA!E5)</f>
        <v>ARTI PRAJAPAT</v>
      </c>
      <c r="D8" s="53">
        <f>IF(DATA!C5="","",DATA!C5)</f>
        <v>901</v>
      </c>
      <c r="E8" s="67">
        <v>13</v>
      </c>
      <c r="F8" s="67">
        <v>5</v>
      </c>
      <c r="G8" s="67"/>
      <c r="H8" s="67">
        <v>18</v>
      </c>
      <c r="I8" s="67">
        <v>14</v>
      </c>
      <c r="J8" s="67">
        <v>14</v>
      </c>
      <c r="K8" s="67">
        <v>14</v>
      </c>
      <c r="L8" s="67">
        <v>13</v>
      </c>
      <c r="M8" s="67">
        <v>13</v>
      </c>
      <c r="N8" s="67">
        <v>15</v>
      </c>
      <c r="O8" s="67">
        <v>9</v>
      </c>
      <c r="P8" s="67">
        <v>9</v>
      </c>
      <c r="Q8" s="281">
        <f t="shared" ref="Q8:Q52" si="0">IF(SUM(E8:P8)=0,"",SUM(E8:P8))</f>
        <v>137</v>
      </c>
      <c r="R8" s="10"/>
    </row>
    <row r="9" spans="1:18" ht="20.399999999999999" x14ac:dyDescent="0.3">
      <c r="A9" s="10"/>
      <c r="B9" s="66">
        <v>2</v>
      </c>
      <c r="C9" s="53" t="str">
        <f>IF(DATA!E6="","",DATA!E6)</f>
        <v>ARVIND SINGH BALLA</v>
      </c>
      <c r="D9" s="53">
        <f>IF(DATA!C6="","",DATA!C6)</f>
        <v>902</v>
      </c>
      <c r="E9" s="67">
        <v>20</v>
      </c>
      <c r="F9" s="67">
        <v>11</v>
      </c>
      <c r="G9" s="67"/>
      <c r="H9" s="67">
        <v>25</v>
      </c>
      <c r="I9" s="67">
        <v>19</v>
      </c>
      <c r="J9" s="67">
        <v>22</v>
      </c>
      <c r="K9" s="67">
        <v>16</v>
      </c>
      <c r="L9" s="67">
        <v>18</v>
      </c>
      <c r="M9" s="67">
        <v>20</v>
      </c>
      <c r="N9" s="67">
        <v>20</v>
      </c>
      <c r="O9" s="67">
        <v>8</v>
      </c>
      <c r="P9" s="67">
        <v>11</v>
      </c>
      <c r="Q9" s="281">
        <f t="shared" si="0"/>
        <v>190</v>
      </c>
      <c r="R9" s="10"/>
    </row>
    <row r="10" spans="1:18" ht="20.399999999999999" x14ac:dyDescent="0.3">
      <c r="A10" s="10"/>
      <c r="B10" s="66">
        <v>3</v>
      </c>
      <c r="C10" s="53" t="str">
        <f>IF(DATA!E7="","",DATA!E7)</f>
        <v>BHAVESH SINGH RAO</v>
      </c>
      <c r="D10" s="53" t="str">
        <f>IF(DATA!C7="","",DATA!C7)</f>
        <v>TC</v>
      </c>
      <c r="E10" s="67">
        <v>9</v>
      </c>
      <c r="F10" s="67">
        <v>6</v>
      </c>
      <c r="G10" s="67"/>
      <c r="H10" s="67">
        <v>20</v>
      </c>
      <c r="I10" s="67">
        <v>18</v>
      </c>
      <c r="J10" s="67">
        <v>18</v>
      </c>
      <c r="K10" s="67">
        <v>14</v>
      </c>
      <c r="L10" s="67">
        <v>17</v>
      </c>
      <c r="M10" s="67">
        <v>16</v>
      </c>
      <c r="N10" s="67">
        <v>21</v>
      </c>
      <c r="O10" s="67">
        <v>14</v>
      </c>
      <c r="P10" s="67">
        <v>11</v>
      </c>
      <c r="Q10" s="281">
        <f t="shared" si="0"/>
        <v>164</v>
      </c>
      <c r="R10" s="10"/>
    </row>
    <row r="11" spans="1:18" ht="20.399999999999999" x14ac:dyDescent="0.3">
      <c r="A11" s="10"/>
      <c r="B11" s="66">
        <v>4</v>
      </c>
      <c r="C11" s="53" t="str">
        <f>IF(DATA!E8="","",DATA!E8)</f>
        <v/>
      </c>
      <c r="D11" s="53" t="str">
        <f>IF(DATA!C8="","",DATA!C8)</f>
        <v/>
      </c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281" t="str">
        <f t="shared" si="0"/>
        <v/>
      </c>
      <c r="R11" s="10"/>
    </row>
    <row r="12" spans="1:18" ht="20.399999999999999" x14ac:dyDescent="0.3">
      <c r="A12" s="10"/>
      <c r="B12" s="66">
        <v>5</v>
      </c>
      <c r="C12" s="53" t="str">
        <f>IF(DATA!E9="","",DATA!E9)</f>
        <v/>
      </c>
      <c r="D12" s="53" t="str">
        <f>IF(DATA!C9="","",DATA!C9)</f>
        <v/>
      </c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281" t="str">
        <f t="shared" si="0"/>
        <v/>
      </c>
      <c r="R12" s="10"/>
    </row>
    <row r="13" spans="1:18" ht="20.399999999999999" x14ac:dyDescent="0.3">
      <c r="A13" s="10"/>
      <c r="B13" s="66">
        <v>6</v>
      </c>
      <c r="C13" s="53" t="str">
        <f>IF(DATA!E10="","",DATA!E10)</f>
        <v/>
      </c>
      <c r="D13" s="53" t="str">
        <f>IF(DATA!C10="","",DATA!C10)</f>
        <v/>
      </c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281" t="str">
        <f t="shared" si="0"/>
        <v/>
      </c>
      <c r="R13" s="10"/>
    </row>
    <row r="14" spans="1:18" ht="20.399999999999999" x14ac:dyDescent="0.3">
      <c r="A14" s="10"/>
      <c r="B14" s="66">
        <v>7</v>
      </c>
      <c r="C14" s="53" t="str">
        <f>IF(DATA!E11="","",DATA!E11)</f>
        <v/>
      </c>
      <c r="D14" s="53" t="str">
        <f>IF(DATA!C11="","",DATA!C11)</f>
        <v/>
      </c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281" t="str">
        <f t="shared" si="0"/>
        <v/>
      </c>
      <c r="R14" s="10"/>
    </row>
    <row r="15" spans="1:18" ht="20.399999999999999" x14ac:dyDescent="0.3">
      <c r="A15" s="10"/>
      <c r="B15" s="66">
        <v>8</v>
      </c>
      <c r="C15" s="53" t="str">
        <f>IF(DATA!E12="","",DATA!E12)</f>
        <v/>
      </c>
      <c r="D15" s="53" t="str">
        <f>IF(DATA!C12="","",DATA!C12)</f>
        <v/>
      </c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281" t="str">
        <f t="shared" si="0"/>
        <v/>
      </c>
      <c r="R15" s="10"/>
    </row>
    <row r="16" spans="1:18" ht="20.399999999999999" x14ac:dyDescent="0.3">
      <c r="A16" s="10"/>
      <c r="B16" s="66">
        <v>9</v>
      </c>
      <c r="C16" s="53" t="str">
        <f>IF(DATA!E13="","",DATA!E13)</f>
        <v/>
      </c>
      <c r="D16" s="53" t="str">
        <f>IF(DATA!C13="","",DATA!C13)</f>
        <v/>
      </c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281" t="str">
        <f t="shared" si="0"/>
        <v/>
      </c>
      <c r="R16" s="10"/>
    </row>
    <row r="17" spans="1:18" ht="20.399999999999999" x14ac:dyDescent="0.3">
      <c r="A17" s="10"/>
      <c r="B17" s="66">
        <v>10</v>
      </c>
      <c r="C17" s="53" t="str">
        <f>IF(DATA!E14="","",DATA!E14)</f>
        <v/>
      </c>
      <c r="D17" s="53" t="str">
        <f>IF(DATA!C14="","",DATA!C14)</f>
        <v/>
      </c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281" t="str">
        <f t="shared" si="0"/>
        <v/>
      </c>
      <c r="R17" s="10"/>
    </row>
    <row r="18" spans="1:18" ht="20.399999999999999" x14ac:dyDescent="0.3">
      <c r="A18" s="10"/>
      <c r="B18" s="66">
        <v>11</v>
      </c>
      <c r="C18" s="53" t="str">
        <f>IF(DATA!E15="","",DATA!E15)</f>
        <v/>
      </c>
      <c r="D18" s="53" t="str">
        <f>IF(DATA!C15="","",DATA!C15)</f>
        <v/>
      </c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281" t="str">
        <f t="shared" si="0"/>
        <v/>
      </c>
      <c r="R18" s="10"/>
    </row>
    <row r="19" spans="1:18" ht="20.399999999999999" x14ac:dyDescent="0.3">
      <c r="A19" s="10"/>
      <c r="B19" s="66">
        <v>12</v>
      </c>
      <c r="C19" s="53" t="str">
        <f>IF(DATA!E16="","",DATA!E16)</f>
        <v/>
      </c>
      <c r="D19" s="53" t="str">
        <f>IF(DATA!C16="","",DATA!C16)</f>
        <v/>
      </c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281" t="str">
        <f t="shared" si="0"/>
        <v/>
      </c>
      <c r="R19" s="10"/>
    </row>
    <row r="20" spans="1:18" ht="20.399999999999999" x14ac:dyDescent="0.3">
      <c r="A20" s="10"/>
      <c r="B20" s="66">
        <v>13</v>
      </c>
      <c r="C20" s="53" t="str">
        <f>IF(DATA!E17="","",DATA!E17)</f>
        <v/>
      </c>
      <c r="D20" s="53" t="str">
        <f>IF(DATA!C17="","",DATA!C17)</f>
        <v/>
      </c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281" t="str">
        <f t="shared" si="0"/>
        <v/>
      </c>
      <c r="R20" s="10"/>
    </row>
    <row r="21" spans="1:18" ht="20.399999999999999" x14ac:dyDescent="0.3">
      <c r="A21" s="10"/>
      <c r="B21" s="66">
        <v>14</v>
      </c>
      <c r="C21" s="53" t="str">
        <f>IF(DATA!E18="","",DATA!E18)</f>
        <v/>
      </c>
      <c r="D21" s="53" t="str">
        <f>IF(DATA!C18="","",DATA!C18)</f>
        <v/>
      </c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281" t="str">
        <f t="shared" si="0"/>
        <v/>
      </c>
      <c r="R21" s="10"/>
    </row>
    <row r="22" spans="1:18" ht="20.399999999999999" x14ac:dyDescent="0.3">
      <c r="A22" s="10"/>
      <c r="B22" s="66">
        <v>15</v>
      </c>
      <c r="C22" s="53" t="str">
        <f>IF(DATA!E19="","",DATA!E19)</f>
        <v/>
      </c>
      <c r="D22" s="53" t="str">
        <f>IF(DATA!C19="","",DATA!C19)</f>
        <v/>
      </c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281" t="str">
        <f t="shared" si="0"/>
        <v/>
      </c>
      <c r="R22" s="10"/>
    </row>
    <row r="23" spans="1:18" ht="20.399999999999999" x14ac:dyDescent="0.3">
      <c r="A23" s="10"/>
      <c r="B23" s="66">
        <v>16</v>
      </c>
      <c r="C23" s="53" t="str">
        <f>IF(DATA!E20="","",DATA!E20)</f>
        <v/>
      </c>
      <c r="D23" s="53" t="str">
        <f>IF(DATA!C20="","",DATA!C20)</f>
        <v/>
      </c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281" t="str">
        <f t="shared" si="0"/>
        <v/>
      </c>
      <c r="R23" s="10"/>
    </row>
    <row r="24" spans="1:18" ht="20.399999999999999" x14ac:dyDescent="0.3">
      <c r="A24" s="10"/>
      <c r="B24" s="66">
        <v>17</v>
      </c>
      <c r="C24" s="53" t="str">
        <f>IF(DATA!E21="","",DATA!E21)</f>
        <v/>
      </c>
      <c r="D24" s="53" t="str">
        <f>IF(DATA!C21="","",DATA!C21)</f>
        <v/>
      </c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281" t="str">
        <f t="shared" si="0"/>
        <v/>
      </c>
      <c r="R24" s="10"/>
    </row>
    <row r="25" spans="1:18" ht="20.399999999999999" x14ac:dyDescent="0.3">
      <c r="A25" s="10"/>
      <c r="B25" s="66">
        <v>18</v>
      </c>
      <c r="C25" s="53" t="str">
        <f>IF(DATA!E22="","",DATA!E22)</f>
        <v/>
      </c>
      <c r="D25" s="53" t="str">
        <f>IF(DATA!C22="","",DATA!C22)</f>
        <v/>
      </c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281" t="str">
        <f t="shared" si="0"/>
        <v/>
      </c>
      <c r="R25" s="10"/>
    </row>
    <row r="26" spans="1:18" ht="20.399999999999999" x14ac:dyDescent="0.3">
      <c r="A26" s="10"/>
      <c r="B26" s="66">
        <v>19</v>
      </c>
      <c r="C26" s="53" t="str">
        <f>IF(DATA!E23="","",DATA!E23)</f>
        <v/>
      </c>
      <c r="D26" s="53" t="str">
        <f>IF(DATA!C23="","",DATA!C23)</f>
        <v/>
      </c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281" t="str">
        <f t="shared" si="0"/>
        <v/>
      </c>
      <c r="R26" s="10"/>
    </row>
    <row r="27" spans="1:18" ht="20.399999999999999" x14ac:dyDescent="0.3">
      <c r="A27" s="10"/>
      <c r="B27" s="66">
        <v>20</v>
      </c>
      <c r="C27" s="53" t="str">
        <f>IF(DATA!E24="","",DATA!E24)</f>
        <v/>
      </c>
      <c r="D27" s="53" t="str">
        <f>IF(DATA!C24="","",DATA!C24)</f>
        <v/>
      </c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281" t="str">
        <f t="shared" si="0"/>
        <v/>
      </c>
      <c r="R27" s="10"/>
    </row>
    <row r="28" spans="1:18" ht="20.399999999999999" x14ac:dyDescent="0.3">
      <c r="A28" s="10"/>
      <c r="B28" s="66">
        <v>21</v>
      </c>
      <c r="C28" s="53" t="str">
        <f>IF(DATA!E25="","",DATA!E25)</f>
        <v/>
      </c>
      <c r="D28" s="53" t="str">
        <f>IF(DATA!C25="","",DATA!C25)</f>
        <v/>
      </c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281" t="str">
        <f t="shared" si="0"/>
        <v/>
      </c>
      <c r="R28" s="10"/>
    </row>
    <row r="29" spans="1:18" ht="20.399999999999999" x14ac:dyDescent="0.3">
      <c r="A29" s="10"/>
      <c r="B29" s="66">
        <v>22</v>
      </c>
      <c r="C29" s="53" t="str">
        <f>IF(DATA!E26="","",DATA!E26)</f>
        <v/>
      </c>
      <c r="D29" s="53" t="str">
        <f>IF(DATA!C26="","",DATA!C26)</f>
        <v/>
      </c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281" t="str">
        <f t="shared" si="0"/>
        <v/>
      </c>
      <c r="R29" s="10"/>
    </row>
    <row r="30" spans="1:18" ht="20.399999999999999" x14ac:dyDescent="0.3">
      <c r="A30" s="10"/>
      <c r="B30" s="66">
        <v>23</v>
      </c>
      <c r="C30" s="53" t="str">
        <f>IF(DATA!E27="","",DATA!E27)</f>
        <v/>
      </c>
      <c r="D30" s="53" t="str">
        <f>IF(DATA!C27="","",DATA!C27)</f>
        <v/>
      </c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281" t="str">
        <f t="shared" si="0"/>
        <v/>
      </c>
      <c r="R30" s="10"/>
    </row>
    <row r="31" spans="1:18" ht="20.399999999999999" x14ac:dyDescent="0.3">
      <c r="A31" s="10"/>
      <c r="B31" s="66">
        <v>24</v>
      </c>
      <c r="C31" s="53" t="str">
        <f>IF(DATA!E28="","",DATA!E28)</f>
        <v/>
      </c>
      <c r="D31" s="53" t="str">
        <f>IF(DATA!C28="","",DATA!C28)</f>
        <v/>
      </c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281" t="str">
        <f t="shared" si="0"/>
        <v/>
      </c>
      <c r="R31" s="10"/>
    </row>
    <row r="32" spans="1:18" ht="20.399999999999999" x14ac:dyDescent="0.3">
      <c r="A32" s="10"/>
      <c r="B32" s="66">
        <v>25</v>
      </c>
      <c r="C32" s="53" t="str">
        <f>IF(DATA!E29="","",DATA!E29)</f>
        <v/>
      </c>
      <c r="D32" s="53" t="str">
        <f>IF(DATA!C29="","",DATA!C29)</f>
        <v/>
      </c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281" t="str">
        <f t="shared" si="0"/>
        <v/>
      </c>
      <c r="R32" s="10"/>
    </row>
    <row r="33" spans="1:18" ht="20.399999999999999" x14ac:dyDescent="0.3">
      <c r="A33" s="10"/>
      <c r="B33" s="66">
        <v>26</v>
      </c>
      <c r="C33" s="53" t="str">
        <f>IF(DATA!E30="","",DATA!E30)</f>
        <v/>
      </c>
      <c r="D33" s="53" t="str">
        <f>IF(DATA!C30="","",DATA!C30)</f>
        <v/>
      </c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281" t="str">
        <f t="shared" si="0"/>
        <v/>
      </c>
      <c r="R33" s="10"/>
    </row>
    <row r="34" spans="1:18" ht="20.399999999999999" x14ac:dyDescent="0.3">
      <c r="A34" s="10"/>
      <c r="B34" s="66">
        <v>27</v>
      </c>
      <c r="C34" s="53" t="str">
        <f>IF(DATA!E31="","",DATA!E31)</f>
        <v/>
      </c>
      <c r="D34" s="53" t="str">
        <f>IF(DATA!C31="","",DATA!C31)</f>
        <v/>
      </c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281" t="str">
        <f t="shared" si="0"/>
        <v/>
      </c>
      <c r="R34" s="10"/>
    </row>
    <row r="35" spans="1:18" ht="20.399999999999999" x14ac:dyDescent="0.3">
      <c r="A35" s="10"/>
      <c r="B35" s="66">
        <v>28</v>
      </c>
      <c r="C35" s="53" t="str">
        <f>IF(DATA!E32="","",DATA!E32)</f>
        <v/>
      </c>
      <c r="D35" s="53" t="str">
        <f>IF(DATA!C32="","",DATA!C32)</f>
        <v/>
      </c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281" t="str">
        <f t="shared" si="0"/>
        <v/>
      </c>
      <c r="R35" s="10"/>
    </row>
    <row r="36" spans="1:18" ht="20.399999999999999" x14ac:dyDescent="0.3">
      <c r="A36" s="10"/>
      <c r="B36" s="66">
        <v>29</v>
      </c>
      <c r="C36" s="53" t="str">
        <f>IF(DATA!E33="","",DATA!E33)</f>
        <v/>
      </c>
      <c r="D36" s="53" t="str">
        <f>IF(DATA!C33="","",DATA!C33)</f>
        <v/>
      </c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281" t="str">
        <f t="shared" si="0"/>
        <v/>
      </c>
      <c r="R36" s="10"/>
    </row>
    <row r="37" spans="1:18" ht="20.399999999999999" x14ac:dyDescent="0.3">
      <c r="A37" s="10"/>
      <c r="B37" s="66">
        <v>30</v>
      </c>
      <c r="C37" s="53" t="str">
        <f>IF(DATA!E34="","",DATA!E34)</f>
        <v/>
      </c>
      <c r="D37" s="53" t="str">
        <f>IF(DATA!C34="","",DATA!C34)</f>
        <v/>
      </c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281" t="str">
        <f t="shared" si="0"/>
        <v/>
      </c>
      <c r="R37" s="10"/>
    </row>
    <row r="38" spans="1:18" ht="20.399999999999999" x14ac:dyDescent="0.3">
      <c r="A38" s="10"/>
      <c r="B38" s="66">
        <v>31</v>
      </c>
      <c r="C38" s="53" t="str">
        <f>IF(DATA!E35="","",DATA!E35)</f>
        <v/>
      </c>
      <c r="D38" s="53" t="str">
        <f>IF(DATA!C35="","",DATA!C35)</f>
        <v/>
      </c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281" t="str">
        <f t="shared" si="0"/>
        <v/>
      </c>
      <c r="R38" s="10"/>
    </row>
    <row r="39" spans="1:18" ht="20.399999999999999" x14ac:dyDescent="0.3">
      <c r="A39" s="10"/>
      <c r="B39" s="66">
        <v>32</v>
      </c>
      <c r="C39" s="53" t="str">
        <f>IF(DATA!E36="","",DATA!E36)</f>
        <v/>
      </c>
      <c r="D39" s="53" t="str">
        <f>IF(DATA!C36="","",DATA!C36)</f>
        <v/>
      </c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281" t="str">
        <f t="shared" si="0"/>
        <v/>
      </c>
      <c r="R39" s="10"/>
    </row>
    <row r="40" spans="1:18" ht="20.399999999999999" x14ac:dyDescent="0.3">
      <c r="A40" s="10"/>
      <c r="B40" s="66">
        <v>33</v>
      </c>
      <c r="C40" s="53" t="str">
        <f>IF(DATA!E37="","",DATA!E37)</f>
        <v/>
      </c>
      <c r="D40" s="53" t="str">
        <f>IF(DATA!C37="","",DATA!C37)</f>
        <v/>
      </c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281" t="str">
        <f t="shared" si="0"/>
        <v/>
      </c>
      <c r="R40" s="10"/>
    </row>
    <row r="41" spans="1:18" ht="20.399999999999999" x14ac:dyDescent="0.3">
      <c r="A41" s="10"/>
      <c r="B41" s="66">
        <v>34</v>
      </c>
      <c r="C41" s="53" t="str">
        <f>IF(DATA!E38="","",DATA!E38)</f>
        <v/>
      </c>
      <c r="D41" s="53" t="str">
        <f>IF(DATA!C38="","",DATA!C38)</f>
        <v/>
      </c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281" t="str">
        <f t="shared" si="0"/>
        <v/>
      </c>
      <c r="R41" s="10"/>
    </row>
    <row r="42" spans="1:18" ht="20.399999999999999" x14ac:dyDescent="0.3">
      <c r="A42" s="10"/>
      <c r="B42" s="66">
        <v>35</v>
      </c>
      <c r="C42" s="53" t="str">
        <f>IF(DATA!E39="","",DATA!E39)</f>
        <v/>
      </c>
      <c r="D42" s="53" t="str">
        <f>IF(DATA!C39="","",DATA!C39)</f>
        <v/>
      </c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281" t="str">
        <f t="shared" si="0"/>
        <v/>
      </c>
      <c r="R42" s="10"/>
    </row>
    <row r="43" spans="1:18" ht="20.399999999999999" x14ac:dyDescent="0.3">
      <c r="A43" s="10"/>
      <c r="B43" s="66">
        <v>36</v>
      </c>
      <c r="C43" s="53" t="str">
        <f>IF(DATA!E40="","",DATA!E40)</f>
        <v/>
      </c>
      <c r="D43" s="53" t="str">
        <f>IF(DATA!C40="","",DATA!C40)</f>
        <v/>
      </c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281" t="str">
        <f t="shared" si="0"/>
        <v/>
      </c>
      <c r="R43" s="10"/>
    </row>
    <row r="44" spans="1:18" ht="20.399999999999999" x14ac:dyDescent="0.3">
      <c r="A44" s="10"/>
      <c r="B44" s="66">
        <v>37</v>
      </c>
      <c r="C44" s="53" t="str">
        <f>IF(DATA!E41="","",DATA!E41)</f>
        <v/>
      </c>
      <c r="D44" s="53" t="str">
        <f>IF(DATA!C41="","",DATA!C41)</f>
        <v/>
      </c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281" t="str">
        <f t="shared" si="0"/>
        <v/>
      </c>
      <c r="R44" s="10"/>
    </row>
    <row r="45" spans="1:18" ht="20.399999999999999" x14ac:dyDescent="0.3">
      <c r="A45" s="10"/>
      <c r="B45" s="66">
        <v>38</v>
      </c>
      <c r="C45" s="53" t="str">
        <f>IF(DATA!E42="","",DATA!E42)</f>
        <v/>
      </c>
      <c r="D45" s="53" t="str">
        <f>IF(DATA!C42="","",DATA!C42)</f>
        <v/>
      </c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281" t="str">
        <f t="shared" si="0"/>
        <v/>
      </c>
      <c r="R45" s="10"/>
    </row>
    <row r="46" spans="1:18" ht="20.399999999999999" x14ac:dyDescent="0.3">
      <c r="A46" s="10"/>
      <c r="B46" s="66">
        <v>39</v>
      </c>
      <c r="C46" s="53" t="str">
        <f>IF(DATA!E43="","",DATA!E43)</f>
        <v/>
      </c>
      <c r="D46" s="53" t="str">
        <f>IF(DATA!C43="","",DATA!C43)</f>
        <v/>
      </c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281" t="str">
        <f t="shared" si="0"/>
        <v/>
      </c>
      <c r="R46" s="10"/>
    </row>
    <row r="47" spans="1:18" ht="20.399999999999999" x14ac:dyDescent="0.3">
      <c r="A47" s="10"/>
      <c r="B47" s="66">
        <v>40</v>
      </c>
      <c r="C47" s="53" t="str">
        <f>IF(DATA!E44="","",DATA!E44)</f>
        <v/>
      </c>
      <c r="D47" s="53" t="str">
        <f>IF(DATA!C44="","",DATA!C44)</f>
        <v/>
      </c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281" t="str">
        <f t="shared" si="0"/>
        <v/>
      </c>
      <c r="R47" s="10"/>
    </row>
    <row r="48" spans="1:18" ht="20.399999999999999" x14ac:dyDescent="0.3">
      <c r="A48" s="10"/>
      <c r="B48" s="66">
        <v>41</v>
      </c>
      <c r="C48" s="53" t="str">
        <f>IF(DATA!E45="","",DATA!E45)</f>
        <v/>
      </c>
      <c r="D48" s="53" t="str">
        <f>IF(DATA!C45="","",DATA!C45)</f>
        <v/>
      </c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281" t="str">
        <f t="shared" si="0"/>
        <v/>
      </c>
      <c r="R48" s="10"/>
    </row>
    <row r="49" spans="1:18" ht="20.399999999999999" x14ac:dyDescent="0.3">
      <c r="A49" s="10"/>
      <c r="B49" s="66">
        <v>42</v>
      </c>
      <c r="C49" s="53" t="str">
        <f>IF(DATA!E46="","",DATA!E46)</f>
        <v/>
      </c>
      <c r="D49" s="53" t="str">
        <f>IF(DATA!C46="","",DATA!C46)</f>
        <v/>
      </c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281" t="str">
        <f t="shared" si="0"/>
        <v/>
      </c>
      <c r="R49" s="10"/>
    </row>
    <row r="50" spans="1:18" ht="20.399999999999999" x14ac:dyDescent="0.3">
      <c r="A50" s="10"/>
      <c r="B50" s="66">
        <v>43</v>
      </c>
      <c r="C50" s="53" t="str">
        <f>IF(DATA!E47="","",DATA!E47)</f>
        <v/>
      </c>
      <c r="D50" s="53" t="str">
        <f>IF(DATA!C47="","",DATA!C47)</f>
        <v/>
      </c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281" t="str">
        <f t="shared" si="0"/>
        <v/>
      </c>
      <c r="R50" s="10"/>
    </row>
    <row r="51" spans="1:18" ht="20.399999999999999" x14ac:dyDescent="0.3">
      <c r="A51" s="10"/>
      <c r="B51" s="66">
        <v>44</v>
      </c>
      <c r="C51" s="53" t="str">
        <f>IF(DATA!E48="","",DATA!E48)</f>
        <v/>
      </c>
      <c r="D51" s="53" t="str">
        <f>IF(DATA!C48="","",DATA!C48)</f>
        <v/>
      </c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281" t="str">
        <f t="shared" si="0"/>
        <v/>
      </c>
      <c r="R51" s="10"/>
    </row>
    <row r="52" spans="1:18" ht="21" thickBot="1" x14ac:dyDescent="0.35">
      <c r="A52" s="10"/>
      <c r="B52" s="68">
        <v>45</v>
      </c>
      <c r="C52" s="53" t="str">
        <f>IF(DATA!E49="","",DATA!E49)</f>
        <v/>
      </c>
      <c r="D52" s="53" t="str">
        <f>IF(DATA!C49="","",DATA!C49)</f>
        <v/>
      </c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7"/>
      <c r="Q52" s="281" t="str">
        <f t="shared" si="0"/>
        <v/>
      </c>
      <c r="R52" s="10"/>
    </row>
    <row r="53" spans="1:18" ht="20.25" customHeight="1" x14ac:dyDescent="0.3">
      <c r="A53" s="1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10"/>
    </row>
  </sheetData>
  <sheetProtection algorithmName="SHA-512" hashValue="yzAkf6OFRYSILfFAmVW2yS+zb0kHY/3KKKpdtX/VrXgeNSaIyNAVrPiQ5CY4XBgkSt9S/kF7AybUGUmF5pRhRw==" saltValue="UbWo8xEWzZZ9Aw+i5hgQUg==" spinCount="100000" sheet="1" objects="1" scenarios="1" formatColumns="0" formatRows="0" selectLockedCells="1"/>
  <mergeCells count="9">
    <mergeCell ref="B7:D7"/>
    <mergeCell ref="B2:Q2"/>
    <mergeCell ref="B5:B6"/>
    <mergeCell ref="C5:C6"/>
    <mergeCell ref="D5:D6"/>
    <mergeCell ref="E5:P5"/>
    <mergeCell ref="Q5:Q6"/>
    <mergeCell ref="K4:Q4"/>
    <mergeCell ref="B3:Q3"/>
  </mergeCells>
  <hyperlinks>
    <hyperlink ref="A1" location="DASHBOARD!A1" display="D"/>
  </hyperlink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53"/>
  <sheetViews>
    <sheetView zoomScale="98" zoomScaleNormal="98" workbookViewId="0">
      <selection activeCell="E6" sqref="E6"/>
    </sheetView>
  </sheetViews>
  <sheetFormatPr defaultColWidth="0" defaultRowHeight="0" customHeight="1" zeroHeight="1" x14ac:dyDescent="0.3"/>
  <cols>
    <col min="1" max="1" width="5.109375" style="6" customWidth="1"/>
    <col min="2" max="2" width="6.44140625" style="59" bestFit="1" customWidth="1"/>
    <col min="3" max="3" width="50.33203125" style="59" customWidth="1"/>
    <col min="4" max="4" width="22.88671875" style="59" customWidth="1"/>
    <col min="5" max="5" width="19.88671875" style="22" customWidth="1"/>
    <col min="6" max="6" width="20.5546875" style="22" customWidth="1"/>
    <col min="7" max="7" width="21" style="22" customWidth="1"/>
    <col min="8" max="8" width="18.109375" style="22" customWidth="1"/>
    <col min="9" max="9" width="5.44140625" style="5" customWidth="1"/>
    <col min="10" max="13" width="0" style="2" hidden="1" customWidth="1"/>
    <col min="14" max="16384" width="9.109375" style="2" hidden="1"/>
  </cols>
  <sheetData>
    <row r="1" spans="1:15" s="6" customFormat="1" ht="19.5" customHeight="1" x14ac:dyDescent="0.3">
      <c r="A1" s="9" t="s">
        <v>24</v>
      </c>
      <c r="B1" s="44"/>
      <c r="C1" s="44"/>
      <c r="D1" s="44"/>
      <c r="E1" s="44"/>
      <c r="F1" s="44"/>
      <c r="G1" s="44"/>
      <c r="H1" s="44"/>
      <c r="I1" s="7"/>
    </row>
    <row r="2" spans="1:15" s="6" customFormat="1" ht="33.75" customHeight="1" x14ac:dyDescent="0.3">
      <c r="A2" s="7"/>
      <c r="B2" s="752" t="str">
        <f>"SWAMI VIVEKANAND GOVT. MODEL SCHOOL,"&amp;DASHBOARD!C3</f>
        <v>SWAMI VIVEKANAND GOVT. MODEL SCHOOL,XXXX,  BLOCK-XXXX (RAJSAMAND)</v>
      </c>
      <c r="C2" s="752"/>
      <c r="D2" s="752"/>
      <c r="E2" s="752"/>
      <c r="F2" s="752"/>
      <c r="G2" s="752"/>
      <c r="H2" s="752"/>
      <c r="I2" s="752"/>
      <c r="J2" s="752"/>
      <c r="K2" s="752"/>
      <c r="L2" s="752"/>
      <c r="M2" s="752"/>
      <c r="N2" s="752"/>
      <c r="O2" s="752"/>
    </row>
    <row r="3" spans="1:15" s="6" customFormat="1" ht="33.75" customHeight="1" x14ac:dyDescent="0.3">
      <c r="A3" s="7"/>
      <c r="B3" s="753" t="str">
        <f>IF(DASHBOARD!B4="","",DASHBOARD!B4)</f>
        <v>SESSION  -  2025-26</v>
      </c>
      <c r="C3" s="753"/>
      <c r="D3" s="753"/>
      <c r="E3" s="753"/>
      <c r="F3" s="753"/>
      <c r="G3" s="753"/>
      <c r="H3" s="753"/>
      <c r="I3" s="753"/>
      <c r="J3" s="753"/>
      <c r="K3" s="753"/>
      <c r="L3" s="753"/>
      <c r="M3" s="753"/>
      <c r="N3" s="753"/>
      <c r="O3" s="753"/>
    </row>
    <row r="4" spans="1:15" s="17" customFormat="1" ht="27.75" customHeight="1" x14ac:dyDescent="0.45">
      <c r="A4" s="16"/>
      <c r="B4" s="45"/>
      <c r="C4" s="46" t="s">
        <v>87</v>
      </c>
      <c r="D4" s="45" t="str">
        <f>DASHBOARD!B8&amp;DASHBOARD!C8</f>
        <v>9A</v>
      </c>
      <c r="E4" s="45"/>
      <c r="F4" s="751" t="s">
        <v>100</v>
      </c>
      <c r="G4" s="751"/>
      <c r="H4" s="751"/>
      <c r="I4" s="16"/>
    </row>
    <row r="5" spans="1:15" s="6" customFormat="1" ht="39" customHeight="1" x14ac:dyDescent="0.3">
      <c r="A5" s="7"/>
      <c r="B5" s="48" t="s">
        <v>97</v>
      </c>
      <c r="C5" s="49" t="s">
        <v>96</v>
      </c>
      <c r="D5" s="49" t="s">
        <v>5</v>
      </c>
      <c r="E5" s="57" t="s">
        <v>106</v>
      </c>
      <c r="F5" s="57" t="s">
        <v>107</v>
      </c>
      <c r="G5" s="57" t="s">
        <v>178</v>
      </c>
      <c r="H5" s="57" t="s">
        <v>108</v>
      </c>
      <c r="I5" s="7"/>
    </row>
    <row r="6" spans="1:15" s="6" customFormat="1" ht="20.399999999999999" x14ac:dyDescent="0.3">
      <c r="A6" s="7"/>
      <c r="B6" s="713" t="s">
        <v>23</v>
      </c>
      <c r="C6" s="714"/>
      <c r="D6" s="714"/>
      <c r="E6" s="50" t="s">
        <v>145</v>
      </c>
      <c r="F6" s="50" t="s">
        <v>145</v>
      </c>
      <c r="G6" s="50" t="s">
        <v>145</v>
      </c>
      <c r="H6" s="50" t="s">
        <v>145</v>
      </c>
      <c r="I6" s="7"/>
    </row>
    <row r="7" spans="1:15" s="6" customFormat="1" ht="17.399999999999999" x14ac:dyDescent="0.3">
      <c r="A7" s="7"/>
      <c r="B7" s="52">
        <v>1</v>
      </c>
      <c r="C7" s="53" t="str">
        <f>IF(DATA!E5="","",DATA!E5)</f>
        <v>ARTI PRAJAPAT</v>
      </c>
      <c r="D7" s="53">
        <f>IF(DATA!C5="","",DATA!C5)</f>
        <v>901</v>
      </c>
      <c r="E7" s="54" t="s">
        <v>223</v>
      </c>
      <c r="F7" s="54" t="s">
        <v>145</v>
      </c>
      <c r="G7" s="54" t="s">
        <v>145</v>
      </c>
      <c r="H7" s="54" t="s">
        <v>239</v>
      </c>
      <c r="I7" s="7"/>
    </row>
    <row r="8" spans="1:15" s="6" customFormat="1" ht="17.399999999999999" x14ac:dyDescent="0.3">
      <c r="A8" s="7"/>
      <c r="B8" s="52">
        <v>2</v>
      </c>
      <c r="C8" s="53" t="str">
        <f>IF(DATA!E6="","",DATA!E6)</f>
        <v>ARVIND SINGH BALLA</v>
      </c>
      <c r="D8" s="53">
        <f>IF(DATA!C6="","",DATA!C6)</f>
        <v>902</v>
      </c>
      <c r="E8" s="54" t="s">
        <v>145</v>
      </c>
      <c r="F8" s="54" t="s">
        <v>223</v>
      </c>
      <c r="G8" s="54" t="s">
        <v>145</v>
      </c>
      <c r="H8" s="54" t="s">
        <v>145</v>
      </c>
      <c r="I8" s="7"/>
    </row>
    <row r="9" spans="1:15" s="6" customFormat="1" ht="17.399999999999999" x14ac:dyDescent="0.3">
      <c r="A9" s="7"/>
      <c r="B9" s="52">
        <v>3</v>
      </c>
      <c r="C9" s="53" t="str">
        <f>IF(DATA!E7="","",DATA!E7)</f>
        <v>BHAVESH SINGH RAO</v>
      </c>
      <c r="D9" s="53" t="str">
        <f>IF(DATA!C7="","",DATA!C7)</f>
        <v>TC</v>
      </c>
      <c r="E9" s="54" t="s">
        <v>145</v>
      </c>
      <c r="F9" s="54" t="s">
        <v>145</v>
      </c>
      <c r="G9" s="54" t="s">
        <v>145</v>
      </c>
      <c r="H9" s="54" t="s">
        <v>145</v>
      </c>
      <c r="I9" s="7"/>
    </row>
    <row r="10" spans="1:15" s="6" customFormat="1" ht="17.399999999999999" x14ac:dyDescent="0.3">
      <c r="A10" s="7"/>
      <c r="B10" s="52">
        <v>4</v>
      </c>
      <c r="C10" s="53" t="str">
        <f>IF(DATA!E8="","",DATA!E8)</f>
        <v/>
      </c>
      <c r="D10" s="53" t="str">
        <f>IF(DATA!C8="","",DATA!C8)</f>
        <v/>
      </c>
      <c r="E10" s="54" t="s">
        <v>145</v>
      </c>
      <c r="F10" s="54" t="s">
        <v>223</v>
      </c>
      <c r="G10" s="54" t="s">
        <v>223</v>
      </c>
      <c r="H10" s="54" t="s">
        <v>223</v>
      </c>
      <c r="I10" s="7"/>
    </row>
    <row r="11" spans="1:15" s="6" customFormat="1" ht="17.399999999999999" x14ac:dyDescent="0.3">
      <c r="A11" s="7"/>
      <c r="B11" s="52">
        <v>5</v>
      </c>
      <c r="C11" s="53" t="str">
        <f>IF(DATA!E9="","",DATA!E9)</f>
        <v/>
      </c>
      <c r="D11" s="53" t="str">
        <f>IF(DATA!C9="","",DATA!C9)</f>
        <v/>
      </c>
      <c r="E11" s="54" t="s">
        <v>223</v>
      </c>
      <c r="F11" s="54" t="s">
        <v>145</v>
      </c>
      <c r="G11" s="54" t="s">
        <v>223</v>
      </c>
      <c r="H11" s="54" t="s">
        <v>145</v>
      </c>
      <c r="I11" s="7"/>
    </row>
    <row r="12" spans="1:15" s="6" customFormat="1" ht="17.399999999999999" x14ac:dyDescent="0.3">
      <c r="A12" s="7"/>
      <c r="B12" s="52">
        <v>6</v>
      </c>
      <c r="C12" s="53" t="str">
        <f>IF(DATA!E10="","",DATA!E10)</f>
        <v/>
      </c>
      <c r="D12" s="53" t="str">
        <f>IF(DATA!C10="","",DATA!C10)</f>
        <v/>
      </c>
      <c r="E12" s="54" t="s">
        <v>223</v>
      </c>
      <c r="F12" s="54" t="s">
        <v>223</v>
      </c>
      <c r="G12" s="54" t="s">
        <v>223</v>
      </c>
      <c r="H12" s="54" t="s">
        <v>145</v>
      </c>
      <c r="I12" s="7"/>
    </row>
    <row r="13" spans="1:15" s="6" customFormat="1" ht="17.399999999999999" x14ac:dyDescent="0.3">
      <c r="A13" s="7"/>
      <c r="B13" s="52">
        <v>7</v>
      </c>
      <c r="C13" s="53" t="str">
        <f>IF(DATA!E11="","",DATA!E11)</f>
        <v/>
      </c>
      <c r="D13" s="53" t="str">
        <f>IF(DATA!C11="","",DATA!C11)</f>
        <v/>
      </c>
      <c r="E13" s="54" t="s">
        <v>145</v>
      </c>
      <c r="F13" s="54" t="s">
        <v>223</v>
      </c>
      <c r="G13" s="54" t="s">
        <v>145</v>
      </c>
      <c r="H13" s="54" t="s">
        <v>223</v>
      </c>
      <c r="I13" s="7"/>
    </row>
    <row r="14" spans="1:15" s="6" customFormat="1" ht="17.399999999999999" x14ac:dyDescent="0.3">
      <c r="A14" s="7"/>
      <c r="B14" s="52">
        <v>8</v>
      </c>
      <c r="C14" s="53" t="str">
        <f>IF(DATA!E12="","",DATA!E12)</f>
        <v/>
      </c>
      <c r="D14" s="53" t="str">
        <f>IF(DATA!C12="","",DATA!C12)</f>
        <v/>
      </c>
      <c r="E14" s="54" t="s">
        <v>223</v>
      </c>
      <c r="F14" s="54" t="s">
        <v>223</v>
      </c>
      <c r="G14" s="54" t="s">
        <v>223</v>
      </c>
      <c r="H14" s="54" t="s">
        <v>223</v>
      </c>
      <c r="I14" s="7"/>
    </row>
    <row r="15" spans="1:15" s="6" customFormat="1" ht="17.399999999999999" x14ac:dyDescent="0.3">
      <c r="A15" s="7"/>
      <c r="B15" s="52">
        <v>9</v>
      </c>
      <c r="C15" s="53" t="str">
        <f>IF(DATA!E13="","",DATA!E13)</f>
        <v/>
      </c>
      <c r="D15" s="53" t="str">
        <f>IF(DATA!C13="","",DATA!C13)</f>
        <v/>
      </c>
      <c r="E15" s="54" t="s">
        <v>145</v>
      </c>
      <c r="F15" s="54" t="s">
        <v>223</v>
      </c>
      <c r="G15" s="54" t="s">
        <v>145</v>
      </c>
      <c r="H15" s="54" t="s">
        <v>223</v>
      </c>
      <c r="I15" s="7"/>
    </row>
    <row r="16" spans="1:15" s="6" customFormat="1" ht="17.399999999999999" x14ac:dyDescent="0.3">
      <c r="A16" s="7"/>
      <c r="B16" s="52">
        <v>10</v>
      </c>
      <c r="C16" s="53" t="str">
        <f>IF(DATA!E14="","",DATA!E14)</f>
        <v/>
      </c>
      <c r="D16" s="53" t="str">
        <f>IF(DATA!C14="","",DATA!C14)</f>
        <v/>
      </c>
      <c r="E16" s="54" t="s">
        <v>223</v>
      </c>
      <c r="F16" s="54" t="s">
        <v>145</v>
      </c>
      <c r="G16" s="54" t="s">
        <v>223</v>
      </c>
      <c r="H16" s="54" t="s">
        <v>223</v>
      </c>
      <c r="I16" s="7"/>
    </row>
    <row r="17" spans="1:9" s="6" customFormat="1" ht="17.399999999999999" x14ac:dyDescent="0.3">
      <c r="A17" s="7"/>
      <c r="B17" s="52">
        <v>11</v>
      </c>
      <c r="C17" s="53" t="str">
        <f>IF(DATA!E15="","",DATA!E15)</f>
        <v/>
      </c>
      <c r="D17" s="53" t="str">
        <f>IF(DATA!C15="","",DATA!C15)</f>
        <v/>
      </c>
      <c r="E17" s="54" t="s">
        <v>145</v>
      </c>
      <c r="F17" s="54" t="s">
        <v>145</v>
      </c>
      <c r="G17" s="54" t="s">
        <v>223</v>
      </c>
      <c r="H17" s="54" t="s">
        <v>145</v>
      </c>
      <c r="I17" s="7"/>
    </row>
    <row r="18" spans="1:9" s="6" customFormat="1" ht="17.399999999999999" x14ac:dyDescent="0.3">
      <c r="A18" s="7"/>
      <c r="B18" s="52">
        <v>12</v>
      </c>
      <c r="C18" s="53" t="str">
        <f>IF(DATA!E16="","",DATA!E16)</f>
        <v/>
      </c>
      <c r="D18" s="53" t="str">
        <f>IF(DATA!C16="","",DATA!C16)</f>
        <v/>
      </c>
      <c r="E18" s="54" t="s">
        <v>145</v>
      </c>
      <c r="F18" s="54" t="s">
        <v>223</v>
      </c>
      <c r="G18" s="54" t="s">
        <v>145</v>
      </c>
      <c r="H18" s="54" t="s">
        <v>145</v>
      </c>
      <c r="I18" s="7"/>
    </row>
    <row r="19" spans="1:9" s="6" customFormat="1" ht="17.399999999999999" x14ac:dyDescent="0.3">
      <c r="A19" s="7"/>
      <c r="B19" s="52">
        <v>13</v>
      </c>
      <c r="C19" s="53" t="str">
        <f>IF(DATA!E17="","",DATA!E17)</f>
        <v/>
      </c>
      <c r="D19" s="53" t="str">
        <f>IF(DATA!C17="","",DATA!C17)</f>
        <v/>
      </c>
      <c r="E19" s="54" t="s">
        <v>223</v>
      </c>
      <c r="F19" s="54" t="s">
        <v>223</v>
      </c>
      <c r="G19" s="54" t="s">
        <v>145</v>
      </c>
      <c r="H19" s="54" t="s">
        <v>223</v>
      </c>
      <c r="I19" s="7"/>
    </row>
    <row r="20" spans="1:9" s="6" customFormat="1" ht="17.399999999999999" x14ac:dyDescent="0.3">
      <c r="A20" s="7"/>
      <c r="B20" s="52">
        <v>14</v>
      </c>
      <c r="C20" s="53" t="str">
        <f>IF(DATA!E18="","",DATA!E18)</f>
        <v/>
      </c>
      <c r="D20" s="53" t="str">
        <f>IF(DATA!C18="","",DATA!C18)</f>
        <v/>
      </c>
      <c r="E20" s="54" t="s">
        <v>145</v>
      </c>
      <c r="F20" s="54" t="s">
        <v>223</v>
      </c>
      <c r="G20" s="54" t="s">
        <v>145</v>
      </c>
      <c r="H20" s="54" t="s">
        <v>145</v>
      </c>
      <c r="I20" s="7"/>
    </row>
    <row r="21" spans="1:9" s="6" customFormat="1" ht="17.399999999999999" x14ac:dyDescent="0.3">
      <c r="A21" s="7"/>
      <c r="B21" s="52">
        <v>15</v>
      </c>
      <c r="C21" s="53" t="str">
        <f>IF(DATA!E19="","",DATA!E19)</f>
        <v/>
      </c>
      <c r="D21" s="53" t="str">
        <f>IF(DATA!C19="","",DATA!C19)</f>
        <v/>
      </c>
      <c r="E21" s="54" t="s">
        <v>223</v>
      </c>
      <c r="F21" s="54" t="s">
        <v>223</v>
      </c>
      <c r="G21" s="54" t="s">
        <v>223</v>
      </c>
      <c r="H21" s="54" t="s">
        <v>223</v>
      </c>
      <c r="I21" s="7"/>
    </row>
    <row r="22" spans="1:9" s="6" customFormat="1" ht="17.399999999999999" x14ac:dyDescent="0.3">
      <c r="A22" s="7"/>
      <c r="B22" s="52">
        <v>16</v>
      </c>
      <c r="C22" s="53" t="str">
        <f>IF(DATA!E20="","",DATA!E20)</f>
        <v/>
      </c>
      <c r="D22" s="53" t="str">
        <f>IF(DATA!C20="","",DATA!C20)</f>
        <v/>
      </c>
      <c r="E22" s="54" t="s">
        <v>223</v>
      </c>
      <c r="F22" s="54" t="s">
        <v>223</v>
      </c>
      <c r="G22" s="54" t="s">
        <v>145</v>
      </c>
      <c r="H22" s="54" t="s">
        <v>223</v>
      </c>
      <c r="I22" s="7"/>
    </row>
    <row r="23" spans="1:9" s="6" customFormat="1" ht="17.399999999999999" x14ac:dyDescent="0.3">
      <c r="A23" s="7"/>
      <c r="B23" s="52">
        <v>17</v>
      </c>
      <c r="C23" s="53" t="str">
        <f>IF(DATA!E21="","",DATA!E21)</f>
        <v/>
      </c>
      <c r="D23" s="53" t="str">
        <f>IF(DATA!C21="","",DATA!C21)</f>
        <v/>
      </c>
      <c r="E23" s="54" t="s">
        <v>145</v>
      </c>
      <c r="F23" s="54" t="s">
        <v>145</v>
      </c>
      <c r="G23" s="54" t="s">
        <v>223</v>
      </c>
      <c r="H23" s="54" t="s">
        <v>145</v>
      </c>
      <c r="I23" s="7"/>
    </row>
    <row r="24" spans="1:9" s="6" customFormat="1" ht="17.399999999999999" x14ac:dyDescent="0.3">
      <c r="A24" s="7"/>
      <c r="B24" s="52">
        <v>18</v>
      </c>
      <c r="C24" s="53" t="str">
        <f>IF(DATA!E22="","",DATA!E22)</f>
        <v/>
      </c>
      <c r="D24" s="53" t="str">
        <f>IF(DATA!C22="","",DATA!C22)</f>
        <v/>
      </c>
      <c r="E24" s="54" t="s">
        <v>223</v>
      </c>
      <c r="F24" s="54" t="s">
        <v>223</v>
      </c>
      <c r="G24" s="54" t="s">
        <v>223</v>
      </c>
      <c r="H24" s="54" t="s">
        <v>223</v>
      </c>
      <c r="I24" s="7"/>
    </row>
    <row r="25" spans="1:9" s="6" customFormat="1" ht="17.399999999999999" x14ac:dyDescent="0.3">
      <c r="A25" s="7"/>
      <c r="B25" s="52">
        <v>19</v>
      </c>
      <c r="C25" s="53" t="str">
        <f>IF(DATA!E23="","",DATA!E23)</f>
        <v/>
      </c>
      <c r="D25" s="53" t="str">
        <f>IF(DATA!C23="","",DATA!C23)</f>
        <v/>
      </c>
      <c r="E25" s="54" t="s">
        <v>223</v>
      </c>
      <c r="F25" s="54" t="s">
        <v>223</v>
      </c>
      <c r="G25" s="54" t="s">
        <v>223</v>
      </c>
      <c r="H25" s="54" t="s">
        <v>223</v>
      </c>
      <c r="I25" s="7"/>
    </row>
    <row r="26" spans="1:9" s="6" customFormat="1" ht="17.399999999999999" x14ac:dyDescent="0.3">
      <c r="A26" s="7"/>
      <c r="B26" s="52">
        <v>20</v>
      </c>
      <c r="C26" s="53" t="str">
        <f>IF(DATA!E24="","",DATA!E24)</f>
        <v/>
      </c>
      <c r="D26" s="53" t="str">
        <f>IF(DATA!C24="","",DATA!C24)</f>
        <v/>
      </c>
      <c r="E26" s="54" t="s">
        <v>223</v>
      </c>
      <c r="F26" s="54" t="s">
        <v>223</v>
      </c>
      <c r="G26" s="54" t="s">
        <v>145</v>
      </c>
      <c r="H26" s="54" t="s">
        <v>223</v>
      </c>
      <c r="I26" s="7"/>
    </row>
    <row r="27" spans="1:9" s="6" customFormat="1" ht="17.399999999999999" x14ac:dyDescent="0.3">
      <c r="A27" s="7"/>
      <c r="B27" s="52">
        <v>21</v>
      </c>
      <c r="C27" s="53" t="str">
        <f>IF(DATA!E25="","",DATA!E25)</f>
        <v/>
      </c>
      <c r="D27" s="53" t="str">
        <f>IF(DATA!C25="","",DATA!C25)</f>
        <v/>
      </c>
      <c r="E27" s="54" t="s">
        <v>223</v>
      </c>
      <c r="F27" s="54" t="s">
        <v>223</v>
      </c>
      <c r="G27" s="54" t="s">
        <v>223</v>
      </c>
      <c r="H27" s="54" t="s">
        <v>223</v>
      </c>
      <c r="I27" s="7"/>
    </row>
    <row r="28" spans="1:9" s="6" customFormat="1" ht="17.399999999999999" x14ac:dyDescent="0.3">
      <c r="A28" s="7"/>
      <c r="B28" s="52">
        <v>22</v>
      </c>
      <c r="C28" s="53" t="str">
        <f>IF(DATA!E26="","",DATA!E26)</f>
        <v/>
      </c>
      <c r="D28" s="53" t="str">
        <f>IF(DATA!C26="","",DATA!C26)</f>
        <v/>
      </c>
      <c r="E28" s="54" t="s">
        <v>223</v>
      </c>
      <c r="F28" s="54" t="s">
        <v>223</v>
      </c>
      <c r="G28" s="54" t="s">
        <v>145</v>
      </c>
      <c r="H28" s="54" t="s">
        <v>223</v>
      </c>
      <c r="I28" s="7"/>
    </row>
    <row r="29" spans="1:9" s="6" customFormat="1" ht="17.399999999999999" x14ac:dyDescent="0.3">
      <c r="A29" s="7"/>
      <c r="B29" s="52">
        <v>23</v>
      </c>
      <c r="C29" s="53" t="str">
        <f>IF(DATA!E27="","",DATA!E27)</f>
        <v/>
      </c>
      <c r="D29" s="53" t="str">
        <f>IF(DATA!C27="","",DATA!C27)</f>
        <v/>
      </c>
      <c r="E29" s="54" t="s">
        <v>145</v>
      </c>
      <c r="F29" s="54" t="s">
        <v>223</v>
      </c>
      <c r="G29" s="54" t="s">
        <v>223</v>
      </c>
      <c r="H29" s="54" t="s">
        <v>223</v>
      </c>
      <c r="I29" s="7"/>
    </row>
    <row r="30" spans="1:9" s="6" customFormat="1" ht="17.399999999999999" x14ac:dyDescent="0.3">
      <c r="A30" s="7"/>
      <c r="B30" s="52">
        <v>24</v>
      </c>
      <c r="C30" s="53" t="str">
        <f>IF(DATA!E28="","",DATA!E28)</f>
        <v/>
      </c>
      <c r="D30" s="53" t="str">
        <f>IF(DATA!C28="","",DATA!C28)</f>
        <v/>
      </c>
      <c r="E30" s="54" t="s">
        <v>223</v>
      </c>
      <c r="F30" s="54" t="s">
        <v>145</v>
      </c>
      <c r="G30" s="54" t="s">
        <v>223</v>
      </c>
      <c r="H30" s="54" t="s">
        <v>145</v>
      </c>
      <c r="I30" s="7"/>
    </row>
    <row r="31" spans="1:9" s="6" customFormat="1" ht="17.399999999999999" x14ac:dyDescent="0.3">
      <c r="A31" s="7"/>
      <c r="B31" s="52">
        <v>25</v>
      </c>
      <c r="C31" s="53" t="str">
        <f>IF(DATA!E29="","",DATA!E29)</f>
        <v/>
      </c>
      <c r="D31" s="53" t="str">
        <f>IF(DATA!C29="","",DATA!C29)</f>
        <v/>
      </c>
      <c r="E31" s="54" t="s">
        <v>223</v>
      </c>
      <c r="F31" s="54" t="s">
        <v>223</v>
      </c>
      <c r="G31" s="54" t="s">
        <v>145</v>
      </c>
      <c r="H31" s="54" t="s">
        <v>223</v>
      </c>
      <c r="I31" s="7"/>
    </row>
    <row r="32" spans="1:9" s="6" customFormat="1" ht="17.399999999999999" x14ac:dyDescent="0.3">
      <c r="A32" s="7"/>
      <c r="B32" s="52">
        <v>26</v>
      </c>
      <c r="C32" s="53" t="str">
        <f>IF(DATA!E30="","",DATA!E30)</f>
        <v/>
      </c>
      <c r="D32" s="53" t="str">
        <f>IF(DATA!C30="","",DATA!C30)</f>
        <v/>
      </c>
      <c r="E32" s="54" t="s">
        <v>223</v>
      </c>
      <c r="F32" s="54" t="s">
        <v>223</v>
      </c>
      <c r="G32" s="54" t="s">
        <v>223</v>
      </c>
      <c r="H32" s="54" t="s">
        <v>223</v>
      </c>
      <c r="I32" s="7"/>
    </row>
    <row r="33" spans="1:9" s="6" customFormat="1" ht="17.399999999999999" x14ac:dyDescent="0.3">
      <c r="A33" s="7"/>
      <c r="B33" s="52">
        <v>27</v>
      </c>
      <c r="C33" s="53" t="str">
        <f>IF(DATA!E31="","",DATA!E31)</f>
        <v/>
      </c>
      <c r="D33" s="53" t="str">
        <f>IF(DATA!C31="","",DATA!C31)</f>
        <v/>
      </c>
      <c r="E33" s="54" t="s">
        <v>145</v>
      </c>
      <c r="F33" s="54" t="s">
        <v>223</v>
      </c>
      <c r="G33" s="54" t="s">
        <v>223</v>
      </c>
      <c r="H33" s="54" t="s">
        <v>145</v>
      </c>
      <c r="I33" s="7"/>
    </row>
    <row r="34" spans="1:9" s="6" customFormat="1" ht="17.399999999999999" x14ac:dyDescent="0.3">
      <c r="A34" s="7"/>
      <c r="B34" s="52">
        <v>28</v>
      </c>
      <c r="C34" s="53" t="str">
        <f>IF(DATA!E32="","",DATA!E32)</f>
        <v/>
      </c>
      <c r="D34" s="53" t="str">
        <f>IF(DATA!C32="","",DATA!C32)</f>
        <v/>
      </c>
      <c r="E34" s="54" t="s">
        <v>223</v>
      </c>
      <c r="F34" s="54" t="s">
        <v>223</v>
      </c>
      <c r="G34" s="54" t="s">
        <v>223</v>
      </c>
      <c r="H34" s="54" t="s">
        <v>223</v>
      </c>
      <c r="I34" s="7"/>
    </row>
    <row r="35" spans="1:9" s="6" customFormat="1" ht="17.399999999999999" x14ac:dyDescent="0.3">
      <c r="A35" s="7"/>
      <c r="B35" s="52">
        <v>29</v>
      </c>
      <c r="C35" s="53" t="str">
        <f>IF(DATA!E33="","",DATA!E33)</f>
        <v/>
      </c>
      <c r="D35" s="53" t="str">
        <f>IF(DATA!C33="","",DATA!C33)</f>
        <v/>
      </c>
      <c r="E35" s="54" t="s">
        <v>223</v>
      </c>
      <c r="F35" s="54" t="s">
        <v>223</v>
      </c>
      <c r="G35" s="54" t="s">
        <v>223</v>
      </c>
      <c r="H35" s="54" t="s">
        <v>145</v>
      </c>
      <c r="I35" s="7"/>
    </row>
    <row r="36" spans="1:9" s="6" customFormat="1" ht="17.399999999999999" x14ac:dyDescent="0.3">
      <c r="A36" s="7"/>
      <c r="B36" s="52">
        <v>30</v>
      </c>
      <c r="C36" s="53" t="str">
        <f>IF(DATA!E34="","",DATA!E34)</f>
        <v/>
      </c>
      <c r="D36" s="53" t="str">
        <f>IF(DATA!C34="","",DATA!C34)</f>
        <v/>
      </c>
      <c r="E36" s="54" t="s">
        <v>145</v>
      </c>
      <c r="F36" s="54" t="s">
        <v>145</v>
      </c>
      <c r="G36" s="54" t="s">
        <v>145</v>
      </c>
      <c r="H36" s="54" t="s">
        <v>145</v>
      </c>
      <c r="I36" s="7"/>
    </row>
    <row r="37" spans="1:9" s="6" customFormat="1" ht="17.399999999999999" x14ac:dyDescent="0.3">
      <c r="A37" s="7"/>
      <c r="B37" s="52">
        <v>31</v>
      </c>
      <c r="C37" s="53" t="str">
        <f>IF(DATA!E35="","",DATA!E35)</f>
        <v/>
      </c>
      <c r="D37" s="53" t="str">
        <f>IF(DATA!C35="","",DATA!C35)</f>
        <v/>
      </c>
      <c r="E37" s="54" t="s">
        <v>145</v>
      </c>
      <c r="F37" s="54" t="s">
        <v>223</v>
      </c>
      <c r="G37" s="54" t="s">
        <v>223</v>
      </c>
      <c r="H37" s="54" t="s">
        <v>145</v>
      </c>
      <c r="I37" s="7"/>
    </row>
    <row r="38" spans="1:9" s="6" customFormat="1" ht="17.399999999999999" x14ac:dyDescent="0.3">
      <c r="A38" s="7"/>
      <c r="B38" s="52">
        <v>32</v>
      </c>
      <c r="C38" s="53" t="str">
        <f>IF(DATA!E36="","",DATA!E36)</f>
        <v/>
      </c>
      <c r="D38" s="53" t="str">
        <f>IF(DATA!C36="","",DATA!C36)</f>
        <v/>
      </c>
      <c r="E38" s="54" t="s">
        <v>223</v>
      </c>
      <c r="F38" s="54" t="s">
        <v>223</v>
      </c>
      <c r="G38" s="54" t="s">
        <v>223</v>
      </c>
      <c r="H38" s="54" t="s">
        <v>223</v>
      </c>
      <c r="I38" s="7"/>
    </row>
    <row r="39" spans="1:9" s="6" customFormat="1" ht="17.399999999999999" x14ac:dyDescent="0.3">
      <c r="A39" s="7"/>
      <c r="B39" s="52">
        <v>33</v>
      </c>
      <c r="C39" s="53" t="str">
        <f>IF(DATA!E37="","",DATA!E37)</f>
        <v/>
      </c>
      <c r="D39" s="53" t="str">
        <f>IF(DATA!C37="","",DATA!C37)</f>
        <v/>
      </c>
      <c r="E39" s="54" t="s">
        <v>223</v>
      </c>
      <c r="F39" s="54" t="s">
        <v>223</v>
      </c>
      <c r="G39" s="54" t="s">
        <v>223</v>
      </c>
      <c r="H39" s="54" t="s">
        <v>223</v>
      </c>
      <c r="I39" s="7"/>
    </row>
    <row r="40" spans="1:9" s="6" customFormat="1" ht="17.399999999999999" x14ac:dyDescent="0.3">
      <c r="A40" s="7"/>
      <c r="B40" s="52">
        <v>34</v>
      </c>
      <c r="C40" s="53" t="str">
        <f>IF(DATA!E38="","",DATA!E38)</f>
        <v/>
      </c>
      <c r="D40" s="53" t="str">
        <f>IF(DATA!C38="","",DATA!C38)</f>
        <v/>
      </c>
      <c r="E40" s="54" t="s">
        <v>145</v>
      </c>
      <c r="F40" s="54" t="s">
        <v>145</v>
      </c>
      <c r="G40" s="54" t="s">
        <v>145</v>
      </c>
      <c r="H40" s="54" t="s">
        <v>145</v>
      </c>
      <c r="I40" s="7"/>
    </row>
    <row r="41" spans="1:9" s="6" customFormat="1" ht="17.399999999999999" x14ac:dyDescent="0.3">
      <c r="A41" s="7"/>
      <c r="B41" s="52">
        <v>35</v>
      </c>
      <c r="C41" s="53" t="str">
        <f>IF(DATA!E39="","",DATA!E39)</f>
        <v/>
      </c>
      <c r="D41" s="53" t="str">
        <f>IF(DATA!C39="","",DATA!C39)</f>
        <v/>
      </c>
      <c r="E41" s="54" t="s">
        <v>145</v>
      </c>
      <c r="F41" s="54" t="s">
        <v>223</v>
      </c>
      <c r="G41" s="54" t="s">
        <v>223</v>
      </c>
      <c r="H41" s="54" t="s">
        <v>145</v>
      </c>
      <c r="I41" s="7"/>
    </row>
    <row r="42" spans="1:9" s="6" customFormat="1" ht="17.399999999999999" x14ac:dyDescent="0.3">
      <c r="A42" s="7"/>
      <c r="B42" s="52">
        <v>36</v>
      </c>
      <c r="C42" s="53" t="str">
        <f>IF(DATA!E40="","",DATA!E40)</f>
        <v/>
      </c>
      <c r="D42" s="53" t="str">
        <f>IF(DATA!C40="","",DATA!C40)</f>
        <v/>
      </c>
      <c r="E42" s="54" t="s">
        <v>223</v>
      </c>
      <c r="F42" s="54" t="s">
        <v>223</v>
      </c>
      <c r="G42" s="54" t="s">
        <v>145</v>
      </c>
      <c r="H42" s="54" t="s">
        <v>223</v>
      </c>
      <c r="I42" s="7"/>
    </row>
    <row r="43" spans="1:9" s="6" customFormat="1" ht="17.399999999999999" x14ac:dyDescent="0.3">
      <c r="A43" s="7"/>
      <c r="B43" s="52">
        <v>37</v>
      </c>
      <c r="C43" s="53" t="str">
        <f>IF(DATA!E41="","",DATA!E41)</f>
        <v/>
      </c>
      <c r="D43" s="53" t="str">
        <f>IF(DATA!C41="","",DATA!C41)</f>
        <v/>
      </c>
      <c r="E43" s="54" t="s">
        <v>223</v>
      </c>
      <c r="F43" s="54" t="s">
        <v>145</v>
      </c>
      <c r="G43" s="54" t="s">
        <v>223</v>
      </c>
      <c r="H43" s="54" t="s">
        <v>223</v>
      </c>
      <c r="I43" s="7"/>
    </row>
    <row r="44" spans="1:9" s="6" customFormat="1" ht="17.399999999999999" x14ac:dyDescent="0.3">
      <c r="A44" s="7"/>
      <c r="B44" s="52">
        <v>38</v>
      </c>
      <c r="C44" s="53" t="str">
        <f>IF(DATA!E42="","",DATA!E42)</f>
        <v/>
      </c>
      <c r="D44" s="53" t="str">
        <f>IF(DATA!C42="","",DATA!C42)</f>
        <v/>
      </c>
      <c r="E44" s="54" t="s">
        <v>223</v>
      </c>
      <c r="F44" s="54" t="s">
        <v>145</v>
      </c>
      <c r="G44" s="54" t="s">
        <v>145</v>
      </c>
      <c r="H44" s="54" t="s">
        <v>223</v>
      </c>
      <c r="I44" s="7"/>
    </row>
    <row r="45" spans="1:9" s="6" customFormat="1" ht="17.399999999999999" x14ac:dyDescent="0.3">
      <c r="A45" s="7"/>
      <c r="B45" s="52">
        <v>39</v>
      </c>
      <c r="C45" s="53" t="str">
        <f>IF(DATA!E43="","",DATA!E43)</f>
        <v/>
      </c>
      <c r="D45" s="53" t="str">
        <f>IF(DATA!C43="","",DATA!C43)</f>
        <v/>
      </c>
      <c r="E45" s="54" t="s">
        <v>223</v>
      </c>
      <c r="F45" s="54" t="s">
        <v>223</v>
      </c>
      <c r="G45" s="54" t="s">
        <v>223</v>
      </c>
      <c r="H45" s="54" t="s">
        <v>223</v>
      </c>
      <c r="I45" s="7"/>
    </row>
    <row r="46" spans="1:9" s="6" customFormat="1" ht="17.399999999999999" x14ac:dyDescent="0.3">
      <c r="A46" s="7"/>
      <c r="B46" s="52">
        <v>40</v>
      </c>
      <c r="C46" s="53" t="str">
        <f>IF(DATA!E44="","",DATA!E44)</f>
        <v/>
      </c>
      <c r="D46" s="53" t="str">
        <f>IF(DATA!C44="","",DATA!C44)</f>
        <v/>
      </c>
      <c r="E46" s="54" t="s">
        <v>145</v>
      </c>
      <c r="F46" s="54" t="s">
        <v>223</v>
      </c>
      <c r="G46" s="54" t="s">
        <v>145</v>
      </c>
      <c r="H46" s="54" t="s">
        <v>145</v>
      </c>
      <c r="I46" s="7"/>
    </row>
    <row r="47" spans="1:9" s="6" customFormat="1" ht="17.399999999999999" x14ac:dyDescent="0.3">
      <c r="A47" s="7"/>
      <c r="B47" s="52">
        <v>41</v>
      </c>
      <c r="C47" s="53" t="str">
        <f>IF(DATA!E45="","",DATA!E45)</f>
        <v/>
      </c>
      <c r="D47" s="53" t="str">
        <f>IF(DATA!C45="","",DATA!C45)</f>
        <v/>
      </c>
      <c r="E47" s="54"/>
      <c r="F47" s="54"/>
      <c r="G47" s="54"/>
      <c r="H47" s="54"/>
      <c r="I47" s="7"/>
    </row>
    <row r="48" spans="1:9" s="6" customFormat="1" ht="17.399999999999999" x14ac:dyDescent="0.3">
      <c r="A48" s="7"/>
      <c r="B48" s="52">
        <v>42</v>
      </c>
      <c r="C48" s="53" t="str">
        <f>IF(DATA!E46="","",DATA!E46)</f>
        <v/>
      </c>
      <c r="D48" s="53" t="str">
        <f>IF(DATA!C46="","",DATA!C46)</f>
        <v/>
      </c>
      <c r="E48" s="54"/>
      <c r="F48" s="54"/>
      <c r="G48" s="54"/>
      <c r="H48" s="54"/>
      <c r="I48" s="7"/>
    </row>
    <row r="49" spans="1:9" s="6" customFormat="1" ht="17.399999999999999" x14ac:dyDescent="0.3">
      <c r="A49" s="7"/>
      <c r="B49" s="52">
        <v>43</v>
      </c>
      <c r="C49" s="53" t="str">
        <f>IF(DATA!E47="","",DATA!E47)</f>
        <v/>
      </c>
      <c r="D49" s="53" t="str">
        <f>IF(DATA!C47="","",DATA!C47)</f>
        <v/>
      </c>
      <c r="E49" s="54"/>
      <c r="F49" s="54"/>
      <c r="G49" s="54"/>
      <c r="H49" s="54"/>
      <c r="I49" s="7"/>
    </row>
    <row r="50" spans="1:9" s="6" customFormat="1" ht="17.399999999999999" x14ac:dyDescent="0.3">
      <c r="A50" s="7"/>
      <c r="B50" s="52">
        <v>44</v>
      </c>
      <c r="C50" s="53" t="str">
        <f>IF(DATA!E48="","",DATA!E48)</f>
        <v/>
      </c>
      <c r="D50" s="53" t="str">
        <f>IF(DATA!C48="","",DATA!C48)</f>
        <v/>
      </c>
      <c r="E50" s="54"/>
      <c r="F50" s="54"/>
      <c r="G50" s="54"/>
      <c r="H50" s="54"/>
      <c r="I50" s="7"/>
    </row>
    <row r="51" spans="1:9" s="6" customFormat="1" ht="18" thickBot="1" x14ac:dyDescent="0.35">
      <c r="A51" s="7"/>
      <c r="B51" s="55">
        <v>45</v>
      </c>
      <c r="C51" s="53" t="str">
        <f>IF(DATA!E49="","",DATA!E49)</f>
        <v/>
      </c>
      <c r="D51" s="53" t="str">
        <f>IF(DATA!C49="","",DATA!C49)</f>
        <v/>
      </c>
      <c r="E51" s="54"/>
      <c r="F51" s="54"/>
      <c r="G51" s="54"/>
      <c r="H51" s="54"/>
      <c r="I51" s="7"/>
    </row>
    <row r="52" spans="1:9" s="6" customFormat="1" ht="24" customHeight="1" x14ac:dyDescent="0.3">
      <c r="A52" s="7"/>
      <c r="B52" s="44"/>
      <c r="C52" s="44"/>
      <c r="D52" s="44"/>
      <c r="E52" s="44"/>
      <c r="F52" s="44"/>
      <c r="G52" s="44"/>
      <c r="H52" s="44"/>
      <c r="I52" s="7"/>
    </row>
    <row r="53" spans="1:9" ht="14.4" hidden="1" x14ac:dyDescent="0.3"/>
  </sheetData>
  <sheetProtection algorithmName="SHA-512" hashValue="difP8UpS2ximOFc/aqk0HxGxQO3PeV/B4b/ynBvA2P0ny31HJdmyxZbjyWzS4dDARcfZyzMVgxdTxT6x0k7oJQ==" saltValue="nzQ61+aNayN9JGflQmRQjw==" spinCount="100000" sheet="1" objects="1" scenarios="1" selectLockedCells="1"/>
  <mergeCells count="4">
    <mergeCell ref="B6:D6"/>
    <mergeCell ref="F4:H4"/>
    <mergeCell ref="B2:O2"/>
    <mergeCell ref="B3:O3"/>
  </mergeCells>
  <hyperlinks>
    <hyperlink ref="A1" location="DASHBOARD!A1" display="D"/>
  </hyperlinks>
  <pageMargins left="0.59" right="0.35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FF00"/>
    <pageSetUpPr fitToPage="1"/>
  </sheetPr>
  <dimension ref="A1:AN68"/>
  <sheetViews>
    <sheetView zoomScale="80" zoomScaleNormal="80" workbookViewId="0">
      <selection activeCell="L13" sqref="L13:U13"/>
    </sheetView>
  </sheetViews>
  <sheetFormatPr defaultColWidth="0" defaultRowHeight="14.4" zeroHeight="1" x14ac:dyDescent="0.3"/>
  <cols>
    <col min="1" max="1" width="2.6640625" style="10" customWidth="1"/>
    <col min="2" max="2" width="1.44140625" style="10" customWidth="1"/>
    <col min="3" max="7" width="4" style="8" customWidth="1"/>
    <col min="8" max="8" width="3.33203125" style="8" customWidth="1"/>
    <col min="9" max="9" width="5.109375" style="8" customWidth="1"/>
    <col min="10" max="11" width="3.33203125" style="8" customWidth="1"/>
    <col min="12" max="15" width="3.6640625" style="8" customWidth="1"/>
    <col min="16" max="16" width="4.5546875" style="8" customWidth="1"/>
    <col min="17" max="17" width="5.109375" style="8" customWidth="1"/>
    <col min="18" max="18" width="5.6640625" style="8" customWidth="1"/>
    <col min="19" max="19" width="5.109375" style="8" customWidth="1"/>
    <col min="20" max="20" width="12.6640625" style="8" customWidth="1"/>
    <col min="21" max="23" width="3.44140625" style="8" customWidth="1"/>
    <col min="24" max="24" width="4.33203125" style="8" customWidth="1"/>
    <col min="25" max="26" width="3.5546875" style="8" customWidth="1"/>
    <col min="27" max="27" width="3.88671875" style="8" customWidth="1"/>
    <col min="28" max="28" width="4.44140625" style="8" customWidth="1"/>
    <col min="29" max="29" width="3.5546875" style="8" customWidth="1"/>
    <col min="30" max="30" width="1.109375" style="8" customWidth="1"/>
    <col min="31" max="31" width="3.109375" style="7" customWidth="1"/>
    <col min="32" max="32" width="11.6640625" style="8" hidden="1" customWidth="1"/>
    <col min="33" max="33" width="11.33203125" style="8" hidden="1" customWidth="1"/>
    <col min="34" max="40" width="0" style="8" hidden="1" customWidth="1"/>
    <col min="41" max="16384" width="9.109375" style="8" hidden="1"/>
  </cols>
  <sheetData>
    <row r="1" spans="1:40" s="7" customFormat="1" ht="15" thickBot="1" x14ac:dyDescent="0.35">
      <c r="A1" s="10"/>
      <c r="B1" s="10"/>
    </row>
    <row r="2" spans="1:40" s="7" customFormat="1" ht="6" customHeight="1" thickBot="1" x14ac:dyDescent="0.35">
      <c r="A2" s="10"/>
      <c r="B2" s="257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9"/>
    </row>
    <row r="3" spans="1:40" s="43" customFormat="1" ht="26.25" customHeight="1" x14ac:dyDescent="0.3">
      <c r="A3" s="60"/>
      <c r="B3" s="241"/>
      <c r="C3" s="19"/>
      <c r="D3" s="20"/>
      <c r="E3" s="762" t="str">
        <f>IF(DASHBOARD!B2="","",DASHBOARD!B2)</f>
        <v xml:space="preserve">          SWAMI VIVEKANAND GOVT. MODEL SCHOOL,                                                                 </v>
      </c>
      <c r="F3" s="762"/>
      <c r="G3" s="762"/>
      <c r="H3" s="762"/>
      <c r="I3" s="762"/>
      <c r="J3" s="762"/>
      <c r="K3" s="762"/>
      <c r="L3" s="762"/>
      <c r="M3" s="762"/>
      <c r="N3" s="762"/>
      <c r="O3" s="762"/>
      <c r="P3" s="762"/>
      <c r="Q3" s="762"/>
      <c r="R3" s="762"/>
      <c r="S3" s="762"/>
      <c r="T3" s="762"/>
      <c r="U3" s="762"/>
      <c r="V3" s="762"/>
      <c r="W3" s="762"/>
      <c r="X3" s="762"/>
      <c r="Y3" s="762"/>
      <c r="Z3" s="762"/>
      <c r="AA3" s="20"/>
      <c r="AB3" s="20"/>
      <c r="AC3" s="21"/>
      <c r="AD3" s="25"/>
      <c r="AE3" s="44"/>
      <c r="AK3" s="788" t="str">
        <f>IF(VLOOKUP(L13,'GREEN SHEET'!C7:GC112,69,0)="",IF(C24="MATHS",VLOOKUP(L13,'GREEN SHEET'!C7:GC112,65,0),VLOOKUP(L13,'GREEN SHEET'!C7:GC112,125,0)),VLOOKUP(L13,'GREEN SHEET'!C7:GC112,69,0))</f>
        <v>B2</v>
      </c>
      <c r="AL3" s="788"/>
      <c r="AM3" s="788"/>
      <c r="AN3" s="788"/>
    </row>
    <row r="4" spans="1:40" s="43" customFormat="1" ht="26.25" customHeight="1" x14ac:dyDescent="0.25">
      <c r="A4" s="60"/>
      <c r="B4" s="241"/>
      <c r="C4" s="23"/>
      <c r="D4" s="24"/>
      <c r="E4" s="35"/>
      <c r="F4" s="35"/>
      <c r="G4" s="35"/>
      <c r="H4" s="763" t="str">
        <f>IF(DASHBOARD!C3="","",DASHBOARD!C3)</f>
        <v>XXXX,  BLOCK-XXXX (RAJSAMAND)</v>
      </c>
      <c r="I4" s="763"/>
      <c r="J4" s="763"/>
      <c r="K4" s="763"/>
      <c r="L4" s="763"/>
      <c r="M4" s="763"/>
      <c r="N4" s="763"/>
      <c r="O4" s="763"/>
      <c r="P4" s="763"/>
      <c r="Q4" s="763"/>
      <c r="R4" s="763"/>
      <c r="S4" s="763"/>
      <c r="T4" s="763"/>
      <c r="U4" s="763"/>
      <c r="V4" s="763"/>
      <c r="W4" s="763"/>
      <c r="X4" s="763"/>
      <c r="Y4" s="35"/>
      <c r="Z4" s="35"/>
      <c r="AA4" s="24"/>
      <c r="AB4" s="24"/>
      <c r="AC4" s="25"/>
      <c r="AD4" s="25"/>
      <c r="AE4" s="44"/>
    </row>
    <row r="5" spans="1:40" s="43" customFormat="1" ht="18.75" customHeight="1" x14ac:dyDescent="0.25">
      <c r="A5" s="60"/>
      <c r="B5" s="241"/>
      <c r="C5" s="23"/>
      <c r="D5" s="24"/>
      <c r="E5" s="764" t="s">
        <v>202</v>
      </c>
      <c r="F5" s="764"/>
      <c r="G5" s="764"/>
      <c r="H5" s="764"/>
      <c r="I5" s="764"/>
      <c r="J5" s="764"/>
      <c r="K5" s="764"/>
      <c r="L5" s="764"/>
      <c r="M5" s="764"/>
      <c r="N5" s="764"/>
      <c r="O5" s="764"/>
      <c r="P5" s="764"/>
      <c r="Q5" s="764"/>
      <c r="R5" s="764"/>
      <c r="S5" s="764"/>
      <c r="T5" s="764"/>
      <c r="U5" s="764"/>
      <c r="V5" s="764"/>
      <c r="W5" s="764"/>
      <c r="X5" s="764"/>
      <c r="Y5" s="764"/>
      <c r="Z5" s="764"/>
      <c r="AA5" s="24"/>
      <c r="AB5" s="24"/>
      <c r="AC5" s="25"/>
      <c r="AD5" s="25"/>
      <c r="AE5" s="44"/>
    </row>
    <row r="6" spans="1:40" s="43" customFormat="1" ht="15" customHeight="1" x14ac:dyDescent="0.25">
      <c r="A6" s="60"/>
      <c r="B6" s="241"/>
      <c r="C6" s="23"/>
      <c r="D6" s="24"/>
      <c r="E6" s="765" t="str">
        <f>IF(DASHBOARD!B5="","",DASHBOARD!B5&amp;DASHBOARD!C5)</f>
        <v>AFFILIATION NO. -172xxxx</v>
      </c>
      <c r="F6" s="765"/>
      <c r="G6" s="765"/>
      <c r="H6" s="765"/>
      <c r="I6" s="765"/>
      <c r="J6" s="765"/>
      <c r="K6" s="765"/>
      <c r="L6" s="765"/>
      <c r="M6" s="765"/>
      <c r="N6" s="765"/>
      <c r="O6" s="765"/>
      <c r="P6" s="765"/>
      <c r="Q6" s="765"/>
      <c r="R6" s="765"/>
      <c r="S6" s="765"/>
      <c r="T6" s="765"/>
      <c r="U6" s="765"/>
      <c r="V6" s="765"/>
      <c r="W6" s="765"/>
      <c r="X6" s="765"/>
      <c r="Y6" s="765"/>
      <c r="Z6" s="765"/>
      <c r="AA6" s="24"/>
      <c r="AB6" s="24"/>
      <c r="AC6" s="25"/>
      <c r="AD6" s="25"/>
      <c r="AE6" s="44"/>
    </row>
    <row r="7" spans="1:40" s="43" customFormat="1" ht="18" customHeight="1" x14ac:dyDescent="0.25">
      <c r="A7" s="60"/>
      <c r="B7" s="241"/>
      <c r="C7" s="23"/>
      <c r="D7" s="24"/>
      <c r="E7" s="765" t="str">
        <f>"Email Id -   " &amp;DASHBOARD!E5</f>
        <v>Email Id -   xxxxxsvgms@gmail.com</v>
      </c>
      <c r="F7" s="765"/>
      <c r="G7" s="765"/>
      <c r="H7" s="765"/>
      <c r="I7" s="765"/>
      <c r="J7" s="765"/>
      <c r="K7" s="765"/>
      <c r="L7" s="765"/>
      <c r="M7" s="765"/>
      <c r="N7" s="765"/>
      <c r="O7" s="765"/>
      <c r="P7" s="765"/>
      <c r="Q7" s="765"/>
      <c r="R7" s="765"/>
      <c r="S7" s="765"/>
      <c r="T7" s="765"/>
      <c r="U7" s="765"/>
      <c r="V7" s="765"/>
      <c r="W7" s="765"/>
      <c r="X7" s="765"/>
      <c r="Y7" s="765"/>
      <c r="Z7" s="765"/>
      <c r="AA7" s="24"/>
      <c r="AB7" s="24"/>
      <c r="AC7" s="25"/>
      <c r="AD7" s="25"/>
      <c r="AE7" s="44"/>
    </row>
    <row r="8" spans="1:40" s="43" customFormat="1" ht="18" customHeight="1" x14ac:dyDescent="0.25">
      <c r="A8" s="60"/>
      <c r="B8" s="241"/>
      <c r="C8" s="23"/>
      <c r="D8" s="24"/>
      <c r="E8" s="251"/>
      <c r="F8" s="251"/>
      <c r="G8" s="765" t="str">
        <f>"Website-   " &amp;DASHBOARD!E6</f>
        <v>Website-   https://www.svgmsxxxxx.com</v>
      </c>
      <c r="H8" s="765"/>
      <c r="I8" s="765"/>
      <c r="J8" s="765"/>
      <c r="K8" s="765"/>
      <c r="L8" s="765"/>
      <c r="M8" s="765"/>
      <c r="N8" s="765"/>
      <c r="O8" s="765"/>
      <c r="P8" s="765"/>
      <c r="Q8" s="765"/>
      <c r="R8" s="765"/>
      <c r="S8" s="765"/>
      <c r="T8" s="765"/>
      <c r="U8" s="765"/>
      <c r="V8" s="765"/>
      <c r="W8" s="765"/>
      <c r="X8" s="765"/>
      <c r="Y8" s="251"/>
      <c r="Z8" s="251"/>
      <c r="AA8" s="24"/>
      <c r="AB8" s="24"/>
      <c r="AC8" s="25"/>
      <c r="AD8" s="25"/>
      <c r="AE8" s="44"/>
    </row>
    <row r="9" spans="1:40" s="262" customFormat="1" ht="21" customHeight="1" x14ac:dyDescent="0.3">
      <c r="A9" s="199"/>
      <c r="B9" s="246"/>
      <c r="C9" s="767" t="s">
        <v>179</v>
      </c>
      <c r="D9" s="764"/>
      <c r="E9" s="764"/>
      <c r="F9" s="764"/>
      <c r="G9" s="764"/>
      <c r="H9" s="768" t="str">
        <f>IF(DASHBOARD!C6="","",DASHBOARD!C6)</f>
        <v>08250xxxxxx</v>
      </c>
      <c r="I9" s="768"/>
      <c r="J9" s="768"/>
      <c r="K9" s="768"/>
      <c r="L9" s="768"/>
      <c r="M9" s="768"/>
      <c r="N9" s="768"/>
      <c r="O9" s="768"/>
      <c r="P9" s="768"/>
      <c r="Q9" s="768"/>
      <c r="R9" s="768"/>
      <c r="S9" s="764" t="s">
        <v>180</v>
      </c>
      <c r="T9" s="764"/>
      <c r="U9" s="764"/>
      <c r="V9" s="764"/>
      <c r="W9" s="768" t="str">
        <f>IF(DASHBOARD!I5="","",DASHBOARD!I5)</f>
        <v>12xxx</v>
      </c>
      <c r="X9" s="768"/>
      <c r="Y9" s="768"/>
      <c r="Z9" s="768"/>
      <c r="AA9" s="768"/>
      <c r="AB9" s="768"/>
      <c r="AC9" s="769"/>
      <c r="AD9" s="260"/>
      <c r="AE9" s="261"/>
    </row>
    <row r="10" spans="1:40" s="262" customFormat="1" ht="12.75" customHeight="1" x14ac:dyDescent="0.3">
      <c r="A10" s="199"/>
      <c r="B10" s="246"/>
      <c r="C10" s="767"/>
      <c r="D10" s="764"/>
      <c r="E10" s="764"/>
      <c r="F10" s="764"/>
      <c r="G10" s="764"/>
      <c r="H10" s="764"/>
      <c r="I10" s="764"/>
      <c r="J10" s="764"/>
      <c r="K10" s="764"/>
      <c r="L10" s="764"/>
      <c r="M10" s="764"/>
      <c r="N10" s="764"/>
      <c r="O10" s="764"/>
      <c r="P10" s="764"/>
      <c r="Q10" s="764"/>
      <c r="R10" s="764"/>
      <c r="S10" s="764"/>
      <c r="T10" s="764"/>
      <c r="U10" s="764"/>
      <c r="V10" s="764"/>
      <c r="W10" s="764"/>
      <c r="X10" s="764"/>
      <c r="Y10" s="764"/>
      <c r="Z10" s="764"/>
      <c r="AA10" s="764"/>
      <c r="AB10" s="764"/>
      <c r="AC10" s="836"/>
      <c r="AD10" s="260"/>
      <c r="AE10" s="261"/>
    </row>
    <row r="11" spans="1:40" s="43" customFormat="1" ht="21" customHeight="1" x14ac:dyDescent="0.25">
      <c r="A11" s="60"/>
      <c r="B11" s="241"/>
      <c r="C11" s="23"/>
      <c r="D11" s="24"/>
      <c r="E11" s="766" t="s">
        <v>40</v>
      </c>
      <c r="F11" s="766"/>
      <c r="G11" s="766"/>
      <c r="H11" s="766"/>
      <c r="I11" s="766"/>
      <c r="J11" s="766"/>
      <c r="K11" s="766"/>
      <c r="L11" s="766"/>
      <c r="M11" s="766"/>
      <c r="N11" s="766"/>
      <c r="O11" s="766"/>
      <c r="P11" s="766"/>
      <c r="Q11" s="766"/>
      <c r="R11" s="766"/>
      <c r="S11" s="766"/>
      <c r="T11" s="766"/>
      <c r="U11" s="766"/>
      <c r="V11" s="766"/>
      <c r="W11" s="766"/>
      <c r="X11" s="766"/>
      <c r="Y11" s="766"/>
      <c r="Z11" s="766"/>
      <c r="AA11" s="24"/>
      <c r="AB11" s="24"/>
      <c r="AC11" s="25"/>
      <c r="AD11" s="25"/>
      <c r="AE11" s="44"/>
    </row>
    <row r="12" spans="1:40" s="43" customFormat="1" ht="21" customHeight="1" x14ac:dyDescent="0.25">
      <c r="A12" s="60"/>
      <c r="B12" s="241"/>
      <c r="C12" s="23"/>
      <c r="D12" s="24"/>
      <c r="E12" s="755" t="str">
        <f>"ACADEMIC  "&amp;DASHBOARD!B4</f>
        <v>ACADEMIC  SESSION  -  2025-26</v>
      </c>
      <c r="F12" s="755"/>
      <c r="G12" s="755"/>
      <c r="H12" s="755"/>
      <c r="I12" s="755"/>
      <c r="J12" s="755"/>
      <c r="K12" s="755"/>
      <c r="L12" s="755"/>
      <c r="M12" s="755"/>
      <c r="N12" s="755"/>
      <c r="O12" s="755"/>
      <c r="P12" s="755"/>
      <c r="Q12" s="755"/>
      <c r="R12" s="755"/>
      <c r="S12" s="755"/>
      <c r="T12" s="755"/>
      <c r="U12" s="755"/>
      <c r="V12" s="755"/>
      <c r="W12" s="755"/>
      <c r="X12" s="755"/>
      <c r="Y12" s="755"/>
      <c r="Z12" s="755"/>
      <c r="AA12" s="24"/>
      <c r="AB12" s="24"/>
      <c r="AC12" s="25"/>
      <c r="AD12" s="25"/>
      <c r="AE12" s="44"/>
    </row>
    <row r="13" spans="1:40" s="43" customFormat="1" ht="21" customHeight="1" x14ac:dyDescent="0.25">
      <c r="A13" s="60"/>
      <c r="B13" s="241"/>
      <c r="C13" s="757" t="s">
        <v>112</v>
      </c>
      <c r="D13" s="758"/>
      <c r="E13" s="758"/>
      <c r="F13" s="758"/>
      <c r="G13" s="758"/>
      <c r="H13" s="758"/>
      <c r="I13" s="758"/>
      <c r="J13" s="758"/>
      <c r="K13" s="758"/>
      <c r="L13" s="771">
        <v>901</v>
      </c>
      <c r="M13" s="771"/>
      <c r="N13" s="771"/>
      <c r="O13" s="771"/>
      <c r="P13" s="771"/>
      <c r="Q13" s="771"/>
      <c r="R13" s="771"/>
      <c r="S13" s="771"/>
      <c r="T13" s="771"/>
      <c r="U13" s="771"/>
      <c r="V13" s="764" t="s">
        <v>6</v>
      </c>
      <c r="W13" s="764"/>
      <c r="X13" s="764"/>
      <c r="Y13" s="764"/>
      <c r="Z13" s="764"/>
      <c r="AA13" s="755">
        <f>VLOOKUP(L13,'GREEN SHEET'!C7:GC112,2,0)</f>
        <v>974</v>
      </c>
      <c r="AB13" s="755"/>
      <c r="AC13" s="756"/>
      <c r="AD13" s="263"/>
      <c r="AE13" s="44"/>
    </row>
    <row r="14" spans="1:40" s="43" customFormat="1" ht="21" customHeight="1" x14ac:dyDescent="0.3">
      <c r="A14" s="60"/>
      <c r="B14" s="241"/>
      <c r="C14" s="757" t="s">
        <v>113</v>
      </c>
      <c r="D14" s="758"/>
      <c r="E14" s="758"/>
      <c r="F14" s="758"/>
      <c r="G14" s="758"/>
      <c r="H14" s="758"/>
      <c r="I14" s="758"/>
      <c r="J14" s="758"/>
      <c r="K14" s="758"/>
      <c r="L14" s="759" t="str">
        <f>VLOOKUP(L13,'GREEN SHEET'!C7:GC112,3,0)</f>
        <v>ARTI PRAJAPAT</v>
      </c>
      <c r="M14" s="759"/>
      <c r="N14" s="759"/>
      <c r="O14" s="759"/>
      <c r="P14" s="759"/>
      <c r="Q14" s="759"/>
      <c r="R14" s="759"/>
      <c r="S14" s="759"/>
      <c r="T14" s="759"/>
      <c r="U14" s="759"/>
      <c r="V14" s="759"/>
      <c r="W14" s="759"/>
      <c r="X14" s="759"/>
      <c r="Y14" s="759"/>
      <c r="Z14" s="759"/>
      <c r="AA14" s="760"/>
      <c r="AB14" s="760"/>
      <c r="AC14" s="761"/>
      <c r="AD14" s="250"/>
      <c r="AE14" s="44"/>
    </row>
    <row r="15" spans="1:40" s="43" customFormat="1" ht="21" customHeight="1" x14ac:dyDescent="0.25">
      <c r="A15" s="60"/>
      <c r="B15" s="241"/>
      <c r="C15" s="757" t="s">
        <v>128</v>
      </c>
      <c r="D15" s="758"/>
      <c r="E15" s="758"/>
      <c r="F15" s="758"/>
      <c r="G15" s="758"/>
      <c r="H15" s="758"/>
      <c r="I15" s="758"/>
      <c r="J15" s="758"/>
      <c r="K15" s="758"/>
      <c r="L15" s="759" t="str">
        <f>VLOOKUP(L13,'GREEN SHEET'!C7:GC112,4,0)</f>
        <v>MR PRABHU LAL</v>
      </c>
      <c r="M15" s="759"/>
      <c r="N15" s="759"/>
      <c r="O15" s="759"/>
      <c r="P15" s="759"/>
      <c r="Q15" s="759"/>
      <c r="R15" s="759"/>
      <c r="S15" s="759"/>
      <c r="T15" s="759"/>
      <c r="U15" s="759"/>
      <c r="V15" s="759"/>
      <c r="W15" s="759"/>
      <c r="X15" s="759"/>
      <c r="Y15" s="759"/>
      <c r="Z15" s="759"/>
      <c r="AA15" s="867"/>
      <c r="AB15" s="867"/>
      <c r="AC15" s="846"/>
      <c r="AD15" s="26"/>
      <c r="AE15" s="44"/>
    </row>
    <row r="16" spans="1:40" s="43" customFormat="1" ht="21" customHeight="1" x14ac:dyDescent="0.25">
      <c r="A16" s="60"/>
      <c r="B16" s="241"/>
      <c r="C16" s="757" t="s">
        <v>137</v>
      </c>
      <c r="D16" s="758"/>
      <c r="E16" s="758"/>
      <c r="F16" s="758"/>
      <c r="G16" s="758"/>
      <c r="H16" s="758"/>
      <c r="I16" s="758"/>
      <c r="J16" s="758"/>
      <c r="K16" s="758"/>
      <c r="L16" s="770">
        <f>VLOOKUP(L13,'GREEN SHEET'!C7:GC112,6,0)</f>
        <v>40203</v>
      </c>
      <c r="M16" s="770"/>
      <c r="N16" s="770"/>
      <c r="O16" s="770"/>
      <c r="P16" s="770"/>
      <c r="Q16" s="770"/>
      <c r="R16" s="495"/>
      <c r="S16" s="782" t="str">
        <f>IF(V16="","","PEN No. :")</f>
        <v>PEN No. :</v>
      </c>
      <c r="T16" s="782"/>
      <c r="U16" s="782"/>
      <c r="V16" s="784">
        <f>IF(VLOOKUP(L13,'MAIN DATA'!$C$4:$M$49,10,0),VLOOKUP(L13,'MAIN DATA'!$C$4:$M$49,10,0),"")</f>
        <v>111111111111111</v>
      </c>
      <c r="W16" s="784"/>
      <c r="X16" s="784"/>
      <c r="Y16" s="784"/>
      <c r="Z16" s="784"/>
      <c r="AA16" s="784"/>
      <c r="AB16" s="784"/>
      <c r="AC16" s="785"/>
      <c r="AD16" s="26"/>
      <c r="AE16" s="44"/>
    </row>
    <row r="17" spans="1:31" s="43" customFormat="1" ht="21" customHeight="1" x14ac:dyDescent="0.3">
      <c r="A17" s="60"/>
      <c r="B17" s="241"/>
      <c r="C17" s="757" t="s">
        <v>114</v>
      </c>
      <c r="D17" s="758"/>
      <c r="E17" s="758"/>
      <c r="F17" s="758"/>
      <c r="G17" s="758"/>
      <c r="H17" s="758"/>
      <c r="I17" s="758"/>
      <c r="J17" s="758"/>
      <c r="K17" s="758"/>
      <c r="L17" s="759" t="str">
        <f>DASHBOARD!B8&amp;DASHBOARD!C8</f>
        <v>9A</v>
      </c>
      <c r="M17" s="759"/>
      <c r="N17" s="759"/>
      <c r="O17" s="759"/>
      <c r="P17" s="759"/>
      <c r="Q17" s="759"/>
      <c r="R17" s="240"/>
      <c r="S17" s="783" t="str">
        <f>IF(V17="","","APAAR ID :")</f>
        <v>APAAR ID :</v>
      </c>
      <c r="T17" s="783"/>
      <c r="U17" s="783"/>
      <c r="V17" s="784">
        <f>IF(VLOOKUP(L13,'MAIN DATA'!$C$4:$M$49,11,0),VLOOKUP(L13,'MAIN DATA'!$C$4:$M$49,11,0),"")</f>
        <v>222222222222222</v>
      </c>
      <c r="W17" s="784"/>
      <c r="X17" s="784"/>
      <c r="Y17" s="784"/>
      <c r="Z17" s="784"/>
      <c r="AA17" s="784"/>
      <c r="AB17" s="784"/>
      <c r="AC17" s="785"/>
      <c r="AD17" s="27"/>
      <c r="AE17" s="44"/>
    </row>
    <row r="18" spans="1:31" s="43" customFormat="1" ht="9" customHeight="1" thickBot="1" x14ac:dyDescent="0.3">
      <c r="A18" s="60"/>
      <c r="B18" s="241"/>
      <c r="C18" s="851"/>
      <c r="D18" s="852"/>
      <c r="E18" s="852"/>
      <c r="F18" s="852"/>
      <c r="G18" s="852"/>
      <c r="H18" s="852"/>
      <c r="I18" s="852"/>
      <c r="J18" s="852"/>
      <c r="K18" s="852"/>
      <c r="L18" s="852"/>
      <c r="M18" s="852"/>
      <c r="N18" s="852"/>
      <c r="O18" s="852"/>
      <c r="P18" s="852"/>
      <c r="Q18" s="852"/>
      <c r="R18" s="852"/>
      <c r="S18" s="852"/>
      <c r="T18" s="852"/>
      <c r="U18" s="852"/>
      <c r="V18" s="852"/>
      <c r="W18" s="852"/>
      <c r="X18" s="852"/>
      <c r="Y18" s="852"/>
      <c r="Z18" s="852"/>
      <c r="AA18" s="852"/>
      <c r="AB18" s="852"/>
      <c r="AC18" s="853"/>
      <c r="AD18" s="25"/>
      <c r="AE18" s="44"/>
    </row>
    <row r="19" spans="1:31" s="43" customFormat="1" ht="15" customHeight="1" x14ac:dyDescent="0.25">
      <c r="A19" s="60"/>
      <c r="B19" s="241"/>
      <c r="C19" s="868" t="s">
        <v>115</v>
      </c>
      <c r="D19" s="869"/>
      <c r="E19" s="869"/>
      <c r="F19" s="869"/>
      <c r="G19" s="869"/>
      <c r="H19" s="869"/>
      <c r="I19" s="869"/>
      <c r="J19" s="869"/>
      <c r="K19" s="869"/>
      <c r="L19" s="869"/>
      <c r="M19" s="869"/>
      <c r="N19" s="869"/>
      <c r="O19" s="869"/>
      <c r="P19" s="869"/>
      <c r="Q19" s="869"/>
      <c r="R19" s="869"/>
      <c r="S19" s="869"/>
      <c r="T19" s="869"/>
      <c r="U19" s="869"/>
      <c r="V19" s="869"/>
      <c r="W19" s="869"/>
      <c r="X19" s="869"/>
      <c r="Y19" s="869"/>
      <c r="Z19" s="869"/>
      <c r="AA19" s="869"/>
      <c r="AB19" s="869"/>
      <c r="AC19" s="870"/>
      <c r="AD19" s="32"/>
      <c r="AE19" s="44"/>
    </row>
    <row r="20" spans="1:31" s="43" customFormat="1" ht="21" customHeight="1" x14ac:dyDescent="0.25">
      <c r="A20" s="60"/>
      <c r="B20" s="241"/>
      <c r="C20" s="774" t="s">
        <v>41</v>
      </c>
      <c r="D20" s="775"/>
      <c r="E20" s="775"/>
      <c r="F20" s="775"/>
      <c r="G20" s="775"/>
      <c r="H20" s="776" t="s">
        <v>163</v>
      </c>
      <c r="I20" s="776"/>
      <c r="J20" s="776"/>
      <c r="K20" s="776"/>
      <c r="L20" s="777" t="s">
        <v>142</v>
      </c>
      <c r="M20" s="777"/>
      <c r="N20" s="777"/>
      <c r="O20" s="777"/>
      <c r="P20" s="776" t="s">
        <v>143</v>
      </c>
      <c r="Q20" s="776"/>
      <c r="R20" s="777" t="s">
        <v>144</v>
      </c>
      <c r="S20" s="777"/>
      <c r="T20" s="778" t="s">
        <v>234</v>
      </c>
      <c r="U20" s="777" t="s">
        <v>208</v>
      </c>
      <c r="V20" s="777"/>
      <c r="W20" s="777"/>
      <c r="X20" s="777"/>
      <c r="Y20" s="776" t="s">
        <v>116</v>
      </c>
      <c r="Z20" s="776"/>
      <c r="AA20" s="776"/>
      <c r="AB20" s="780" t="s">
        <v>117</v>
      </c>
      <c r="AC20" s="781"/>
      <c r="AD20" s="247"/>
      <c r="AE20" s="44"/>
    </row>
    <row r="21" spans="1:31" s="43" customFormat="1" ht="45.6" customHeight="1" x14ac:dyDescent="0.25">
      <c r="A21" s="60"/>
      <c r="B21" s="241"/>
      <c r="C21" s="774"/>
      <c r="D21" s="775"/>
      <c r="E21" s="775"/>
      <c r="F21" s="775"/>
      <c r="G21" s="775"/>
      <c r="H21" s="776"/>
      <c r="I21" s="776"/>
      <c r="J21" s="776"/>
      <c r="K21" s="776"/>
      <c r="L21" s="777"/>
      <c r="M21" s="777"/>
      <c r="N21" s="777"/>
      <c r="O21" s="777"/>
      <c r="P21" s="776"/>
      <c r="Q21" s="776"/>
      <c r="R21" s="777"/>
      <c r="S21" s="777"/>
      <c r="T21" s="779"/>
      <c r="U21" s="777"/>
      <c r="V21" s="777"/>
      <c r="W21" s="777"/>
      <c r="X21" s="777"/>
      <c r="Y21" s="776"/>
      <c r="Z21" s="776"/>
      <c r="AA21" s="776"/>
      <c r="AB21" s="780"/>
      <c r="AC21" s="781"/>
      <c r="AD21" s="247"/>
      <c r="AE21" s="44"/>
    </row>
    <row r="22" spans="1:31" s="43" customFormat="1" ht="16.5" customHeight="1" x14ac:dyDescent="0.3">
      <c r="A22" s="60"/>
      <c r="B22" s="241"/>
      <c r="C22" s="786" t="s">
        <v>0</v>
      </c>
      <c r="D22" s="787"/>
      <c r="E22" s="787"/>
      <c r="F22" s="787"/>
      <c r="G22" s="787"/>
      <c r="H22" s="788">
        <f>VLOOKUP(L13,'GREEN SHEET'!C7:GC112,18,0)</f>
        <v>2.4500000000000002</v>
      </c>
      <c r="I22" s="788"/>
      <c r="J22" s="788"/>
      <c r="K22" s="788"/>
      <c r="L22" s="788">
        <f>VLOOKUP(L13,'GREEN SHEET'!C7:GC112,19,0)</f>
        <v>5</v>
      </c>
      <c r="M22" s="788"/>
      <c r="N22" s="788"/>
      <c r="O22" s="788"/>
      <c r="P22" s="788">
        <f>VLOOKUP(L13,'GREEN SHEET'!C7:GC112,20,0)</f>
        <v>5</v>
      </c>
      <c r="Q22" s="788"/>
      <c r="R22" s="788">
        <f>VLOOKUP(L13,'GREEN SHEET'!C7:GC112,21,0)</f>
        <v>5</v>
      </c>
      <c r="S22" s="788"/>
      <c r="T22" s="252">
        <f>VLOOKUP(L13,'GREEN SHEET'!C7:GC112,22,0)</f>
        <v>17.45</v>
      </c>
      <c r="U22" s="788">
        <f>IF(VLOOKUP(L13,'GREEN SHEET'!C7:GC112,27,0)="",VLOOKUP(L13,'GREEN SHEET'!C7:GC112,23,0),VLOOKUP(L13,'GREEN SHEET'!C7:GC112,27,0))</f>
        <v>50</v>
      </c>
      <c r="V22" s="788"/>
      <c r="W22" s="788"/>
      <c r="X22" s="788"/>
      <c r="Y22" s="789">
        <f>IF(VLOOKUP(L13,'GREEN SHEET'!C7:GC112,27,0)="",VLOOKUP(L13,'GREEN SHEET'!C7:GC112,25,0),VLOOKUP(L13,'GREEN SHEET'!C7:GC112,29,0))</f>
        <v>68</v>
      </c>
      <c r="Z22" s="789"/>
      <c r="AA22" s="789"/>
      <c r="AB22" s="772" t="str">
        <f>IF(VLOOKUP(L13,'GREEN SHEET'!C7:GC112,27,0)="",VLOOKUP(L13,'GREEN SHEET'!C7:GC112,26,0),VLOOKUP(L13,'GREEN SHEET'!C7:GC112,30,0))</f>
        <v>B2</v>
      </c>
      <c r="AC22" s="773"/>
      <c r="AD22" s="32"/>
      <c r="AE22" s="44"/>
    </row>
    <row r="23" spans="1:31" s="43" customFormat="1" ht="16.5" customHeight="1" x14ac:dyDescent="0.3">
      <c r="A23" s="60"/>
      <c r="B23" s="241"/>
      <c r="C23" s="786" t="str">
        <f>VLOOKUP(L13,'HINDI-SKT'!$D$7:$E$51,2,0)</f>
        <v>HINDI</v>
      </c>
      <c r="D23" s="787"/>
      <c r="E23" s="787"/>
      <c r="F23" s="787"/>
      <c r="G23" s="787"/>
      <c r="H23" s="788">
        <f>VLOOKUP(L13,'GREEN SHEET'!C7:GC112,40,0)</f>
        <v>3.45</v>
      </c>
      <c r="I23" s="788"/>
      <c r="J23" s="788"/>
      <c r="K23" s="788"/>
      <c r="L23" s="788">
        <f>VLOOKUP(L13,'GREEN SHEET'!C7:GC112,41,0)</f>
        <v>5</v>
      </c>
      <c r="M23" s="788"/>
      <c r="N23" s="788"/>
      <c r="O23" s="788"/>
      <c r="P23" s="788">
        <f>VLOOKUP(L13,'GREEN SHEET'!C7:GC112,42,0)</f>
        <v>5</v>
      </c>
      <c r="Q23" s="788"/>
      <c r="R23" s="788">
        <f>VLOOKUP(L13,'GREEN SHEET'!C7:GC112,43,0)</f>
        <v>5</v>
      </c>
      <c r="S23" s="788"/>
      <c r="T23" s="252">
        <f>VLOOKUP(L13,'GREEN SHEET'!C7:GC112,44,0)</f>
        <v>18.45</v>
      </c>
      <c r="U23" s="788">
        <f>IF(VLOOKUP(L13,'GREEN SHEET'!C7:GC112,49,0)="",VLOOKUP(L13,'GREEN SHEET'!C7:GC112,45,0),VLOOKUP(L13,'GREEN SHEET'!C7:GC112,49,0))</f>
        <v>25</v>
      </c>
      <c r="V23" s="788"/>
      <c r="W23" s="788"/>
      <c r="X23" s="788"/>
      <c r="Y23" s="789">
        <f>IF(VLOOKUP(L13,'GREEN SHEET'!C7:GC112,49,0)="",VLOOKUP(L13,'GREEN SHEET'!C7:GC112,47,0),VLOOKUP(L13,'GREEN SHEET'!C7:GC112,51,0))</f>
        <v>44</v>
      </c>
      <c r="Z23" s="789"/>
      <c r="AA23" s="789"/>
      <c r="AB23" s="772" t="str">
        <f>IF(VLOOKUP(L13,'GREEN SHEET'!C7:GC112,49,0)="",VLOOKUP(L13,'GREEN SHEET'!C7:GC112,48,0),VLOOKUP(L13,'GREEN SHEET'!C7:GC112,52,0))</f>
        <v>C2</v>
      </c>
      <c r="AC23" s="773"/>
      <c r="AD23" s="32"/>
      <c r="AE23" s="44"/>
    </row>
    <row r="24" spans="1:31" s="43" customFormat="1" ht="16.5" customHeight="1" x14ac:dyDescent="0.3">
      <c r="A24" s="60"/>
      <c r="B24" s="241"/>
      <c r="C24" s="786" t="s">
        <v>62</v>
      </c>
      <c r="D24" s="787"/>
      <c r="E24" s="787"/>
      <c r="F24" s="787"/>
      <c r="G24" s="787"/>
      <c r="H24" s="788">
        <f>VLOOKUP(L13,'GREEN SHEET'!C7:GC112,61,0)</f>
        <v>2.4</v>
      </c>
      <c r="I24" s="788"/>
      <c r="J24" s="788"/>
      <c r="K24" s="788"/>
      <c r="L24" s="788">
        <f>VLOOKUP(L13,'GREEN SHEET'!C7:GC112,62,0)</f>
        <v>3</v>
      </c>
      <c r="M24" s="788"/>
      <c r="N24" s="788"/>
      <c r="O24" s="788"/>
      <c r="P24" s="788">
        <f>VLOOKUP(L13,'GREEN SHEET'!C7:GC112,63,0)</f>
        <v>3</v>
      </c>
      <c r="Q24" s="788"/>
      <c r="R24" s="788">
        <f>VLOOKUP(L13,'GREEN SHEET'!C7:GC112,64,0)</f>
        <v>3</v>
      </c>
      <c r="S24" s="788"/>
      <c r="T24" s="252">
        <f>VLOOKUP(L13,'GREEN SHEET'!C7:GC112,65,0)</f>
        <v>11.4</v>
      </c>
      <c r="U24" s="790">
        <f>IF(VLOOKUP(L13,'GREEN SHEET'!C7:GC112,70,0)="",VLOOKUP(L13,'GREEN SHEET'!C7:GC112,66,0),VLOOKUP(L13,'GREEN SHEET'!C7:GC112,70,0))</f>
        <v>50</v>
      </c>
      <c r="V24" s="791"/>
      <c r="W24" s="791"/>
      <c r="X24" s="792"/>
      <c r="Y24" s="789">
        <f>IF(VLOOKUP(L13,'GREEN SHEET'!C7:GC112,70,0)="",VLOOKUP(L13,'GREEN SHEET'!C7:GC112,68,0),VLOOKUP(L13,'GREEN SHEET'!C7:GC112,72,0))</f>
        <v>62</v>
      </c>
      <c r="Z24" s="789"/>
      <c r="AA24" s="789"/>
      <c r="AB24" s="772" t="str">
        <f>IF(VLOOKUP(L13,'GREEN SHEET'!C7:GC112,70,0)="",VLOOKUP(L13,'GREEN SHEET'!C7:GC112,69,0),VLOOKUP(L13,'GREEN SHEET'!C7:GC112,73,0))</f>
        <v>B2</v>
      </c>
      <c r="AC24" s="773"/>
      <c r="AD24" s="32"/>
      <c r="AE24" s="44"/>
    </row>
    <row r="25" spans="1:31" s="43" customFormat="1" ht="16.5" customHeight="1" x14ac:dyDescent="0.3">
      <c r="A25" s="60"/>
      <c r="B25" s="241"/>
      <c r="C25" s="786" t="s">
        <v>63</v>
      </c>
      <c r="D25" s="787"/>
      <c r="E25" s="787"/>
      <c r="F25" s="787"/>
      <c r="G25" s="787"/>
      <c r="H25" s="788">
        <f>VLOOKUP(L13,'GREEN SHEET'!C7:GC112,82,0)</f>
        <v>2.7</v>
      </c>
      <c r="I25" s="788"/>
      <c r="J25" s="788"/>
      <c r="K25" s="788"/>
      <c r="L25" s="788">
        <f>VLOOKUP(L13,'GREEN SHEET'!C7:GC112,83,0)</f>
        <v>3</v>
      </c>
      <c r="M25" s="788"/>
      <c r="N25" s="788"/>
      <c r="O25" s="788"/>
      <c r="P25" s="788">
        <f>VLOOKUP(L13,'GREEN SHEET'!C7:GC112,84,0)</f>
        <v>3</v>
      </c>
      <c r="Q25" s="788"/>
      <c r="R25" s="788">
        <f>VLOOKUP(L13,'GREEN SHEET'!C7:GC112,85,0)</f>
        <v>3</v>
      </c>
      <c r="S25" s="788"/>
      <c r="T25" s="252">
        <f>VLOOKUP(L13,'GREEN SHEET'!C7:GC112,86,0)</f>
        <v>11.7</v>
      </c>
      <c r="U25" s="788">
        <f>IF(VLOOKUP(L13,'GREEN SHEET'!C7:GC112,91,0)="",VLOOKUP(L13,'GREEN SHEET'!C7:GC112,87,0),VLOOKUP(L13,'GREEN SHEET'!C7:GC112,91,0))</f>
        <v>10</v>
      </c>
      <c r="V25" s="788"/>
      <c r="W25" s="788"/>
      <c r="X25" s="788"/>
      <c r="Y25" s="789">
        <f>IF(VLOOKUP(L13,'GREEN SHEET'!C7:GC112,91,0)="",VLOOKUP(L13,'GREEN SHEET'!C7:GC112,89,0),VLOOKUP(L13,'GREEN SHEET'!C7:GC112,93,0))</f>
        <v>22</v>
      </c>
      <c r="Z25" s="789"/>
      <c r="AA25" s="789"/>
      <c r="AB25" s="772" t="str">
        <f>IF(VLOOKUP(L13,'GREEN SHEET'!C7:GC112,91,0)="",VLOOKUP(L13,'GREEN SHEET'!C7:GC112,90,0),VLOOKUP(L13,'GREEN SHEET'!C7:GC112,94,0))</f>
        <v>E</v>
      </c>
      <c r="AC25" s="773"/>
      <c r="AD25" s="32"/>
      <c r="AE25" s="44"/>
    </row>
    <row r="26" spans="1:31" s="43" customFormat="1" ht="15.6" x14ac:dyDescent="0.3">
      <c r="A26" s="60"/>
      <c r="B26" s="241"/>
      <c r="C26" s="786" t="s">
        <v>3</v>
      </c>
      <c r="D26" s="787"/>
      <c r="E26" s="787"/>
      <c r="F26" s="787"/>
      <c r="G26" s="787"/>
      <c r="H26" s="788">
        <f>VLOOKUP(L13,'GREEN SHEET'!C7:GC112,103,0)</f>
        <v>2.1</v>
      </c>
      <c r="I26" s="788"/>
      <c r="J26" s="788"/>
      <c r="K26" s="788"/>
      <c r="L26" s="788">
        <f>VLOOKUP(L13,'GREEN SHEET'!C7:GC112,104,0)</f>
        <v>4</v>
      </c>
      <c r="M26" s="788"/>
      <c r="N26" s="788"/>
      <c r="O26" s="788"/>
      <c r="P26" s="788">
        <f>VLOOKUP(L13,'GREEN SHEET'!C7:GC112,105,0)</f>
        <v>4</v>
      </c>
      <c r="Q26" s="788"/>
      <c r="R26" s="788">
        <f>VLOOKUP(L13,'GREEN SHEET'!C7:GC112,106,0)</f>
        <v>4</v>
      </c>
      <c r="S26" s="788"/>
      <c r="T26" s="252">
        <f>VLOOKUP(L13,'GREEN SHEET'!C7:GC112,107,0)</f>
        <v>14.1</v>
      </c>
      <c r="U26" s="788">
        <f>IF(VLOOKUP(L13,'GREEN SHEET'!C7:GC112,112,0)="",VLOOKUP(L13,'GREEN SHEET'!C7:GC112,108,0),VLOOKUP(L13,'GREEN SHEET'!C7:GC112,112,0))</f>
        <v>50</v>
      </c>
      <c r="V26" s="788"/>
      <c r="W26" s="788"/>
      <c r="X26" s="788"/>
      <c r="Y26" s="789">
        <f>IF(VLOOKUP(L13,'GREEN SHEET'!C7:GC112,112,0)="",VLOOKUP(L13,'GREEN SHEET'!C7:GC112,110,0),VLOOKUP(L13,'GREEN SHEET'!C7:GC112,114,0))</f>
        <v>65</v>
      </c>
      <c r="Z26" s="789"/>
      <c r="AA26" s="789"/>
      <c r="AB26" s="772" t="str">
        <f>IF(VLOOKUP(L13,'GREEN SHEET'!C7:GC112,112,0)="",VLOOKUP(L13,'GREEN SHEET'!C7:GC112,111,0),VLOOKUP(L13,'GREEN SHEET'!C7:GC112,115,0))</f>
        <v>B2</v>
      </c>
      <c r="AC26" s="773"/>
      <c r="AD26" s="32"/>
      <c r="AE26" s="44"/>
    </row>
    <row r="27" spans="1:31" s="43" customFormat="1" ht="5.4" customHeight="1" thickBot="1" x14ac:dyDescent="0.3">
      <c r="A27" s="60"/>
      <c r="B27" s="241"/>
      <c r="C27" s="864"/>
      <c r="D27" s="865"/>
      <c r="E27" s="865"/>
      <c r="F27" s="865"/>
      <c r="G27" s="865"/>
      <c r="H27" s="865"/>
      <c r="I27" s="865"/>
      <c r="J27" s="865"/>
      <c r="K27" s="865"/>
      <c r="L27" s="865"/>
      <c r="M27" s="865"/>
      <c r="N27" s="865"/>
      <c r="O27" s="865"/>
      <c r="P27" s="865"/>
      <c r="Q27" s="865"/>
      <c r="R27" s="865"/>
      <c r="S27" s="865"/>
      <c r="T27" s="865"/>
      <c r="U27" s="865"/>
      <c r="V27" s="865"/>
      <c r="W27" s="865"/>
      <c r="X27" s="865"/>
      <c r="Y27" s="865"/>
      <c r="Z27" s="865"/>
      <c r="AA27" s="865"/>
      <c r="AB27" s="865"/>
      <c r="AC27" s="866"/>
      <c r="AD27" s="32"/>
      <c r="AE27" s="44"/>
    </row>
    <row r="28" spans="1:31" s="43" customFormat="1" hidden="1" thickBot="1" x14ac:dyDescent="0.3">
      <c r="A28" s="60"/>
      <c r="B28" s="241"/>
      <c r="C28" s="805" t="s">
        <v>285</v>
      </c>
      <c r="D28" s="806"/>
      <c r="E28" s="806"/>
      <c r="F28" s="806"/>
      <c r="G28" s="806"/>
      <c r="H28" s="806"/>
      <c r="I28" s="806"/>
      <c r="J28" s="806"/>
      <c r="K28" s="806"/>
      <c r="L28" s="806"/>
      <c r="M28" s="806"/>
      <c r="N28" s="806"/>
      <c r="O28" s="806"/>
      <c r="P28" s="806"/>
      <c r="Q28" s="806"/>
      <c r="R28" s="806"/>
      <c r="S28" s="806"/>
      <c r="T28" s="806"/>
      <c r="U28" s="806"/>
      <c r="V28" s="806"/>
      <c r="W28" s="806"/>
      <c r="X28" s="806"/>
      <c r="Y28" s="806"/>
      <c r="Z28" s="806"/>
      <c r="AA28" s="806"/>
      <c r="AB28" s="806"/>
      <c r="AC28" s="807"/>
      <c r="AD28" s="248"/>
      <c r="AE28" s="44"/>
    </row>
    <row r="29" spans="1:31" s="43" customFormat="1" ht="16.2" hidden="1" thickBot="1" x14ac:dyDescent="0.35">
      <c r="A29" s="60"/>
      <c r="B29" s="241"/>
      <c r="C29" s="793" t="str">
        <f>IF(C24="IT(NSQF)","MATHS",IF(C25="IT(NSQF)","SCIENCE",IF(C26="IT(NSQF)","SOCIAL SCIENCE","IT(NSQF)")))</f>
        <v>IT(NSQF)</v>
      </c>
      <c r="D29" s="794"/>
      <c r="E29" s="794"/>
      <c r="F29" s="794"/>
      <c r="G29" s="794"/>
      <c r="H29" s="808" t="str">
        <f>IF(C29="MATHS",VLOOKUP(L13,'GREEN SHEET'!C7:GC112,60,0),IF(C29="SCIENCE",VLOOKUP(L13,'GREEN SHEET'!C7:GC112,81,0),IF(C29="SOCIAL SCIENCE",VLOOKUP(L13,'GREEN SHEET'!C7:GC112,102,0),VLOOKUP(L13,'GREEN SHEET'!C7:GC112,123,0))))</f>
        <v/>
      </c>
      <c r="I29" s="808"/>
      <c r="J29" s="808"/>
      <c r="K29" s="808"/>
      <c r="L29" s="808" t="str">
        <f>IF(C29="MATHS",VLOOKUP(L13,'GREEN SHEET'!C7:GC112,61,0),IF(C29="SCIENCE",VLOOKUP(L13,'GREEN SHEET'!C7:GC112,82,0),IF(C29="SOCIAL SCIENCE",VLOOKUP(L13,'GREEN SHEET'!C7:GC112,103,0),"*")))</f>
        <v>*</v>
      </c>
      <c r="M29" s="808"/>
      <c r="N29" s="808"/>
      <c r="O29" s="808"/>
      <c r="P29" s="808" t="str">
        <f>IF(C29="MATHS",VLOOKUP(L13,'GREEN SHEET'!C7:GC112,62,0),IF(C29="SCIENCE",VLOOKUP(L13,'GREEN SHEET'!C7:GC112,83,0),IF(C29="SOCIAL SCIENCE",VLOOKUP(L13,'GREEN SHEET'!C7:GC112,104,0),"*")))</f>
        <v>*</v>
      </c>
      <c r="Q29" s="808"/>
      <c r="R29" s="808" t="str">
        <f>IF(C29="MATHS",VLOOKUP(L13,'GREEN SHEET'!C7:GC112,63,0),IF(C29="SCIENCE",VLOOKUP(L13,'GREEN SHEET'!C7:GC112,84,0),IF(C29="SOCIAL SCIENCE",VLOOKUP(L13,'GREEN SHEET'!C7:GC112,105,0),"*")))</f>
        <v>*</v>
      </c>
      <c r="S29" s="808"/>
      <c r="T29" s="479">
        <f>IF(C29="MATHS",VLOOKUP(L13,'GREEN SHEET'!C7:GC112,64,0),IF(C29="SCIENCE",VLOOKUP(L13,'GREEN SHEET'!C7:GC112,85,0),IF(C29="SOCIAL SCIENCE",VLOOKUP(L13,'GREEN SHEET'!C7:GC112,106,0),VLOOKUP(L13,'GREEN SHEET'!C7:GC112,127,0))))</f>
        <v>44</v>
      </c>
      <c r="U29" s="808">
        <f>IF(C29="MATHS",VLOOKUP(L13,'GREEN SHEET'!C7:GC112,65,0),IF(C29="SCIENCE",VLOOKUP(L13,'GREEN SHEET'!C7:GC112,86,0),IF(C29="SOCIAL SCIENCE",VLOOKUP(L13,'GREEN SHEET'!C7:GC112,107,0),VLOOKUP(L13,'GREEN SHEET'!C7:GC112,125,0))))</f>
        <v>0</v>
      </c>
      <c r="V29" s="808"/>
      <c r="W29" s="808"/>
      <c r="X29" s="808"/>
      <c r="Y29" s="809">
        <f>IF(C29="MATHS",VLOOKUP(L13,'GREEN SHEET'!C7:GC112,67,0),IF(C29="SCIENCE",VLOOKUP(L13,'GREEN SHEET'!C7:GC112,88,0),IF(C29="SOCIAL SCIENCE",VLOOKUP(L13,'GREEN SHEET'!C7:GC112,109,0),VLOOKUP(L13,'GREEN SHEET'!C7:GC112,128,0))))</f>
        <v>62</v>
      </c>
      <c r="Z29" s="809"/>
      <c r="AA29" s="809"/>
      <c r="AB29" s="809">
        <f>IF(C29="MATHS",VLOOKUP(L13,'GREEN SHEET'!C7:GC112,68,0),IF(C29="SCIENCE",VLOOKUP(L13,'GREEN SHEET'!C7:GC112,89,0),IF(C29="SOCIAL SCIENCE",VLOOKUP(L13,'GREEN SHEET'!C7:GC112,110,0),VLOOKUP(L13,'GREEN SHEET'!C7:GC112,129,0))))</f>
        <v>22</v>
      </c>
      <c r="AC29" s="810"/>
      <c r="AD29" s="249"/>
      <c r="AE29" s="44"/>
    </row>
    <row r="30" spans="1:31" s="43" customFormat="1" ht="15.6" hidden="1" x14ac:dyDescent="0.3">
      <c r="A30" s="60"/>
      <c r="B30" s="241"/>
      <c r="C30" s="31"/>
      <c r="D30" s="31"/>
      <c r="E30" s="31"/>
      <c r="F30" s="31"/>
      <c r="G30" s="31"/>
      <c r="H30" s="474"/>
      <c r="I30" s="474"/>
      <c r="J30" s="474"/>
      <c r="K30" s="474"/>
      <c r="L30" s="474"/>
      <c r="M30" s="474"/>
      <c r="N30" s="474"/>
      <c r="O30" s="474"/>
      <c r="P30" s="474"/>
      <c r="Q30" s="474"/>
      <c r="R30" s="474"/>
      <c r="S30" s="474"/>
      <c r="T30" s="474"/>
      <c r="U30" s="474"/>
      <c r="V30" s="474"/>
      <c r="W30" s="474"/>
      <c r="X30" s="474"/>
      <c r="Y30" s="480"/>
      <c r="Z30" s="480"/>
      <c r="AA30" s="480"/>
      <c r="AB30" s="480"/>
      <c r="AC30" s="480"/>
      <c r="AD30" s="249"/>
      <c r="AE30" s="44"/>
    </row>
    <row r="31" spans="1:31" s="43" customFormat="1" ht="16.2" thickBot="1" x14ac:dyDescent="0.35">
      <c r="A31" s="60"/>
      <c r="B31" s="241"/>
      <c r="C31" s="884" t="s">
        <v>271</v>
      </c>
      <c r="D31" s="885"/>
      <c r="E31" s="885"/>
      <c r="F31" s="885"/>
      <c r="G31" s="885"/>
      <c r="H31" s="885"/>
      <c r="I31" s="885"/>
      <c r="J31" s="885"/>
      <c r="K31" s="885"/>
      <c r="L31" s="885"/>
      <c r="M31" s="885"/>
      <c r="N31" s="885"/>
      <c r="O31" s="885"/>
      <c r="P31" s="885"/>
      <c r="Q31" s="885"/>
      <c r="R31" s="885"/>
      <c r="S31" s="885"/>
      <c r="T31" s="885"/>
      <c r="U31" s="885"/>
      <c r="V31" s="885"/>
      <c r="W31" s="885"/>
      <c r="X31" s="885"/>
      <c r="Y31" s="885"/>
      <c r="Z31" s="885"/>
      <c r="AA31" s="885"/>
      <c r="AB31" s="885"/>
      <c r="AC31" s="886"/>
      <c r="AD31" s="249"/>
      <c r="AE31" s="44"/>
    </row>
    <row r="32" spans="1:31" s="267" customFormat="1" ht="15.6" x14ac:dyDescent="0.3">
      <c r="A32" s="245"/>
      <c r="B32" s="243"/>
      <c r="C32" s="880" t="str">
        <f>IF($L$13="","",IF(VLOOKUP(L13,VOCATIONAL!$D$7:$E$51,2,0)="","",VLOOKUP(L13,VOCATIONAL!$D$7:$E$51,2,0)))</f>
        <v>BEAUTY &amp; WELLNESS</v>
      </c>
      <c r="D32" s="881"/>
      <c r="E32" s="881"/>
      <c r="F32" s="881"/>
      <c r="G32" s="881"/>
      <c r="H32" s="876" t="str">
        <f>CONCATENATE("Theory [Max : ", 'GREEN SHEET'!DP6,"]")</f>
        <v>Theory [Max : 50]</v>
      </c>
      <c r="I32" s="876"/>
      <c r="J32" s="876"/>
      <c r="K32" s="876"/>
      <c r="L32" s="876"/>
      <c r="M32" s="876"/>
      <c r="N32" s="876" t="str">
        <f>CONCATENATE("Practical [Max : ", 'GREEN SHEET'!DQ6,"]")</f>
        <v>Practical [Max : 50]</v>
      </c>
      <c r="O32" s="876"/>
      <c r="P32" s="876"/>
      <c r="Q32" s="876"/>
      <c r="R32" s="876"/>
      <c r="S32" s="876"/>
      <c r="T32" s="876" t="str">
        <f>CONCATENATE("Total [Max : ", 'GREEN SHEET'!DR6,"]")</f>
        <v>Total [Max : 100]</v>
      </c>
      <c r="U32" s="876"/>
      <c r="V32" s="876"/>
      <c r="W32" s="876"/>
      <c r="X32" s="876"/>
      <c r="Y32" s="874" t="s">
        <v>117</v>
      </c>
      <c r="Z32" s="874"/>
      <c r="AA32" s="874"/>
      <c r="AB32" s="874"/>
      <c r="AC32" s="875"/>
      <c r="AD32" s="476"/>
      <c r="AE32" s="266"/>
    </row>
    <row r="33" spans="1:31" s="43" customFormat="1" ht="16.2" thickBot="1" x14ac:dyDescent="0.35">
      <c r="A33" s="60"/>
      <c r="B33" s="241"/>
      <c r="C33" s="882"/>
      <c r="D33" s="883"/>
      <c r="E33" s="883"/>
      <c r="F33" s="883"/>
      <c r="G33" s="883"/>
      <c r="H33" s="877">
        <f>IF(VLOOKUP(L13,'GREEN SHEET'!C7:GC112,122,0)="",VLOOKUP(L13,'GREEN SHEET'!C7:GC112,118,0),VLOOKUP(L13,'GREEN SHEET'!C7:GC112,122,0))</f>
        <v>5</v>
      </c>
      <c r="I33" s="877"/>
      <c r="J33" s="877"/>
      <c r="K33" s="877"/>
      <c r="L33" s="877"/>
      <c r="M33" s="877"/>
      <c r="N33" s="877">
        <f>VLOOKUP(L13,'GREEN SHEET'!C7:GC112,119,0)</f>
        <v>50</v>
      </c>
      <c r="O33" s="877"/>
      <c r="P33" s="877"/>
      <c r="Q33" s="877"/>
      <c r="R33" s="877"/>
      <c r="S33" s="877"/>
      <c r="T33" s="878">
        <f>IF(VLOOKUP(L13,'GREEN SHEET'!C7:GC112,122,0)="",VLOOKUP(L13,'GREEN SHEET'!C7:GC112,120,0),VLOOKUP(L13,'GREEN SHEET'!C7:GC112,123,0))</f>
        <v>55</v>
      </c>
      <c r="U33" s="878"/>
      <c r="V33" s="878"/>
      <c r="W33" s="878"/>
      <c r="X33" s="878"/>
      <c r="Y33" s="878" t="str">
        <f>IF(VLOOKUP(L13,'GREEN SHEET'!C7:GC112,122,0)="",VLOOKUP(L13,'GREEN SHEET'!C7:GC112,121,0),VLOOKUP(L13,'GREEN SHEET'!C7:GC112,124,0))</f>
        <v>C1</v>
      </c>
      <c r="Z33" s="878"/>
      <c r="AA33" s="878"/>
      <c r="AB33" s="878"/>
      <c r="AC33" s="879"/>
      <c r="AD33" s="249"/>
      <c r="AE33" s="44"/>
    </row>
    <row r="34" spans="1:31" s="43" customFormat="1" ht="6" customHeight="1" thickBot="1" x14ac:dyDescent="0.3">
      <c r="A34" s="60"/>
      <c r="B34" s="241"/>
      <c r="C34" s="871"/>
      <c r="D34" s="872"/>
      <c r="E34" s="872"/>
      <c r="F34" s="872"/>
      <c r="G34" s="872"/>
      <c r="H34" s="872"/>
      <c r="I34" s="872"/>
      <c r="J34" s="872"/>
      <c r="K34" s="872"/>
      <c r="L34" s="872"/>
      <c r="M34" s="872"/>
      <c r="N34" s="872"/>
      <c r="O34" s="872"/>
      <c r="P34" s="872"/>
      <c r="Q34" s="872"/>
      <c r="R34" s="872"/>
      <c r="S34" s="872"/>
      <c r="T34" s="872"/>
      <c r="U34" s="872"/>
      <c r="V34" s="872"/>
      <c r="W34" s="872"/>
      <c r="X34" s="872"/>
      <c r="Y34" s="872"/>
      <c r="Z34" s="872"/>
      <c r="AA34" s="872"/>
      <c r="AB34" s="872"/>
      <c r="AC34" s="873"/>
      <c r="AD34" s="25"/>
      <c r="AE34" s="44"/>
    </row>
    <row r="35" spans="1:31" s="43" customFormat="1" thickBot="1" x14ac:dyDescent="0.3">
      <c r="A35" s="60"/>
      <c r="B35" s="241"/>
      <c r="C35" s="793" t="s">
        <v>118</v>
      </c>
      <c r="D35" s="794"/>
      <c r="E35" s="794"/>
      <c r="F35" s="794"/>
      <c r="G35" s="794"/>
      <c r="H35" s="794"/>
      <c r="I35" s="794"/>
      <c r="J35" s="794"/>
      <c r="K35" s="794"/>
      <c r="L35" s="794"/>
      <c r="M35" s="794"/>
      <c r="N35" s="794"/>
      <c r="O35" s="794"/>
      <c r="P35" s="794"/>
      <c r="Q35" s="794"/>
      <c r="R35" s="794"/>
      <c r="S35" s="794"/>
      <c r="T35" s="794"/>
      <c r="U35" s="795"/>
      <c r="V35" s="818"/>
      <c r="W35" s="818"/>
      <c r="X35" s="818"/>
      <c r="Y35" s="818"/>
      <c r="Z35" s="818"/>
      <c r="AA35" s="818"/>
      <c r="AB35" s="818"/>
      <c r="AC35" s="819"/>
      <c r="AD35" s="25"/>
      <c r="AE35" s="44"/>
    </row>
    <row r="36" spans="1:31" s="43" customFormat="1" ht="13.8" x14ac:dyDescent="0.25">
      <c r="A36" s="60"/>
      <c r="B36" s="241"/>
      <c r="C36" s="796" t="s">
        <v>286</v>
      </c>
      <c r="D36" s="797"/>
      <c r="E36" s="797"/>
      <c r="F36" s="797"/>
      <c r="G36" s="797"/>
      <c r="H36" s="797"/>
      <c r="I36" s="797"/>
      <c r="J36" s="797"/>
      <c r="K36" s="797"/>
      <c r="L36" s="797"/>
      <c r="M36" s="797"/>
      <c r="N36" s="797"/>
      <c r="O36" s="797"/>
      <c r="P36" s="798"/>
      <c r="Q36" s="799" t="s">
        <v>117</v>
      </c>
      <c r="R36" s="799"/>
      <c r="S36" s="799"/>
      <c r="T36" s="799"/>
      <c r="U36" s="800"/>
      <c r="V36" s="818"/>
      <c r="W36" s="818"/>
      <c r="X36" s="818"/>
      <c r="Y36" s="818"/>
      <c r="Z36" s="818"/>
      <c r="AA36" s="818"/>
      <c r="AB36" s="818"/>
      <c r="AC36" s="819"/>
      <c r="AD36" s="25"/>
      <c r="AE36" s="44"/>
    </row>
    <row r="37" spans="1:31" s="265" customFormat="1" ht="21" customHeight="1" x14ac:dyDescent="0.3">
      <c r="A37" s="244"/>
      <c r="B37" s="242"/>
      <c r="C37" s="801" t="s">
        <v>119</v>
      </c>
      <c r="D37" s="802"/>
      <c r="E37" s="802"/>
      <c r="F37" s="802"/>
      <c r="G37" s="802"/>
      <c r="H37" s="802"/>
      <c r="I37" s="802"/>
      <c r="J37" s="802"/>
      <c r="K37" s="802"/>
      <c r="L37" s="802"/>
      <c r="M37" s="802"/>
      <c r="N37" s="802"/>
      <c r="O37" s="802"/>
      <c r="P37" s="802"/>
      <c r="Q37" s="803" t="str">
        <f>IF(VLOOKUP(L13,'CO-SCHOLOSTIC'!D7:H51,2,0)="","",VLOOKUP(L13,'CO-SCHOLOSTIC'!D7:H51,2,0))</f>
        <v>B</v>
      </c>
      <c r="R37" s="803"/>
      <c r="S37" s="803"/>
      <c r="T37" s="803"/>
      <c r="U37" s="804"/>
      <c r="V37" s="818"/>
      <c r="W37" s="818"/>
      <c r="X37" s="818"/>
      <c r="Y37" s="818"/>
      <c r="Z37" s="818"/>
      <c r="AA37" s="818"/>
      <c r="AB37" s="818"/>
      <c r="AC37" s="819"/>
      <c r="AD37" s="34"/>
      <c r="AE37" s="264"/>
    </row>
    <row r="38" spans="1:31" s="265" customFormat="1" ht="21" customHeight="1" x14ac:dyDescent="0.3">
      <c r="A38" s="244"/>
      <c r="B38" s="242"/>
      <c r="C38" s="801" t="s">
        <v>42</v>
      </c>
      <c r="D38" s="802"/>
      <c r="E38" s="802"/>
      <c r="F38" s="802"/>
      <c r="G38" s="802"/>
      <c r="H38" s="802"/>
      <c r="I38" s="802"/>
      <c r="J38" s="802"/>
      <c r="K38" s="802"/>
      <c r="L38" s="802"/>
      <c r="M38" s="802"/>
      <c r="N38" s="802"/>
      <c r="O38" s="802"/>
      <c r="P38" s="802"/>
      <c r="Q38" s="803" t="str">
        <f>IF(VLOOKUP(L13,'CO-SCHOLOSTIC'!D7:H51,3,0)="","",VLOOKUP(L13,'CO-SCHOLOSTIC'!D7:H51,3,0))</f>
        <v>A</v>
      </c>
      <c r="R38" s="803"/>
      <c r="S38" s="803"/>
      <c r="T38" s="803"/>
      <c r="U38" s="804"/>
      <c r="V38" s="818"/>
      <c r="W38" s="818"/>
      <c r="X38" s="818"/>
      <c r="Y38" s="818"/>
      <c r="Z38" s="818"/>
      <c r="AA38" s="818"/>
      <c r="AB38" s="818"/>
      <c r="AC38" s="819"/>
      <c r="AD38" s="34"/>
      <c r="AE38" s="264"/>
    </row>
    <row r="39" spans="1:31" s="265" customFormat="1" ht="21" customHeight="1" thickBot="1" x14ac:dyDescent="0.35">
      <c r="A39" s="244"/>
      <c r="B39" s="242"/>
      <c r="C39" s="887" t="s">
        <v>120</v>
      </c>
      <c r="D39" s="888"/>
      <c r="E39" s="888"/>
      <c r="F39" s="888"/>
      <c r="G39" s="888"/>
      <c r="H39" s="888"/>
      <c r="I39" s="888"/>
      <c r="J39" s="888"/>
      <c r="K39" s="888"/>
      <c r="L39" s="888"/>
      <c r="M39" s="888"/>
      <c r="N39" s="888"/>
      <c r="O39" s="888"/>
      <c r="P39" s="888"/>
      <c r="Q39" s="889" t="str">
        <f>IF(VLOOKUP(L13,'CO-SCHOLOSTIC'!D7:H51,4,0)="","",VLOOKUP(L13,'CO-SCHOLOSTIC'!D7:H51,4,0))</f>
        <v>A</v>
      </c>
      <c r="R39" s="889"/>
      <c r="S39" s="889"/>
      <c r="T39" s="889"/>
      <c r="U39" s="890"/>
      <c r="V39" s="818"/>
      <c r="W39" s="818"/>
      <c r="X39" s="818"/>
      <c r="Y39" s="818"/>
      <c r="Z39" s="818"/>
      <c r="AA39" s="818"/>
      <c r="AB39" s="818"/>
      <c r="AC39" s="819"/>
      <c r="AD39" s="34"/>
      <c r="AE39" s="264"/>
    </row>
    <row r="40" spans="1:31" s="33" customFormat="1" ht="7.5" customHeight="1" thickBot="1" x14ac:dyDescent="0.35">
      <c r="A40" s="244"/>
      <c r="B40" s="242"/>
      <c r="C40" s="891"/>
      <c r="D40" s="892"/>
      <c r="E40" s="892"/>
      <c r="F40" s="892"/>
      <c r="G40" s="892"/>
      <c r="H40" s="892"/>
      <c r="I40" s="892"/>
      <c r="J40" s="892"/>
      <c r="K40" s="892"/>
      <c r="L40" s="892"/>
      <c r="M40" s="892"/>
      <c r="N40" s="892"/>
      <c r="O40" s="892"/>
      <c r="P40" s="892"/>
      <c r="Q40" s="893"/>
      <c r="R40" s="893"/>
      <c r="S40" s="893"/>
      <c r="T40" s="893"/>
      <c r="U40" s="893"/>
      <c r="V40" s="818"/>
      <c r="W40" s="818"/>
      <c r="X40" s="818"/>
      <c r="Y40" s="818"/>
      <c r="Z40" s="818"/>
      <c r="AA40" s="818"/>
      <c r="AB40" s="818"/>
      <c r="AC40" s="819"/>
      <c r="AD40" s="34"/>
      <c r="AE40" s="244"/>
    </row>
    <row r="41" spans="1:31" s="265" customFormat="1" ht="21" customHeight="1" thickBot="1" x14ac:dyDescent="0.35">
      <c r="A41" s="244"/>
      <c r="B41" s="242"/>
      <c r="C41" s="894" t="s">
        <v>121</v>
      </c>
      <c r="D41" s="895"/>
      <c r="E41" s="895"/>
      <c r="F41" s="895"/>
      <c r="G41" s="895"/>
      <c r="H41" s="895"/>
      <c r="I41" s="895"/>
      <c r="J41" s="895"/>
      <c r="K41" s="895"/>
      <c r="L41" s="895"/>
      <c r="M41" s="895"/>
      <c r="N41" s="895"/>
      <c r="O41" s="895"/>
      <c r="P41" s="895"/>
      <c r="Q41" s="896" t="str">
        <f>IF(VLOOKUP(L13,'CO-SCHOLOSTIC'!D7:H51,5,0)="","",VLOOKUP(L13,'CO-SCHOLOSTIC'!D7:H51,5,0))</f>
        <v>C</v>
      </c>
      <c r="R41" s="896"/>
      <c r="S41" s="896"/>
      <c r="T41" s="896"/>
      <c r="U41" s="897"/>
      <c r="V41" s="818"/>
      <c r="W41" s="818"/>
      <c r="X41" s="818"/>
      <c r="Y41" s="818"/>
      <c r="Z41" s="818"/>
      <c r="AA41" s="818"/>
      <c r="AB41" s="818"/>
      <c r="AC41" s="819"/>
      <c r="AD41" s="34"/>
      <c r="AE41" s="264"/>
    </row>
    <row r="42" spans="1:31" s="43" customFormat="1" ht="6" customHeight="1" thickBot="1" x14ac:dyDescent="0.3">
      <c r="A42" s="60"/>
      <c r="B42" s="241"/>
      <c r="C42" s="817"/>
      <c r="D42" s="818"/>
      <c r="E42" s="818"/>
      <c r="F42" s="818"/>
      <c r="G42" s="818"/>
      <c r="H42" s="818"/>
      <c r="I42" s="818"/>
      <c r="J42" s="818"/>
      <c r="K42" s="818"/>
      <c r="L42" s="818"/>
      <c r="M42" s="818"/>
      <c r="N42" s="818"/>
      <c r="O42" s="818"/>
      <c r="P42" s="818"/>
      <c r="Q42" s="818"/>
      <c r="R42" s="818"/>
      <c r="S42" s="818"/>
      <c r="T42" s="818"/>
      <c r="U42" s="818"/>
      <c r="V42" s="818"/>
      <c r="W42" s="818"/>
      <c r="X42" s="818"/>
      <c r="Y42" s="818"/>
      <c r="Z42" s="818"/>
      <c r="AA42" s="818"/>
      <c r="AB42" s="818"/>
      <c r="AC42" s="819"/>
      <c r="AD42" s="25"/>
      <c r="AE42" s="44"/>
    </row>
    <row r="43" spans="1:31" s="43" customFormat="1" ht="13.8" hidden="1" x14ac:dyDescent="0.25">
      <c r="A43" s="60"/>
      <c r="B43" s="241"/>
      <c r="C43" s="820" t="s">
        <v>122</v>
      </c>
      <c r="D43" s="821"/>
      <c r="E43" s="821"/>
      <c r="F43" s="821"/>
      <c r="G43" s="821"/>
      <c r="H43" s="821"/>
      <c r="I43" s="821"/>
      <c r="J43" s="822" t="str">
        <f>VLOOKUP(L13,'GREEN SHEET'!C7:GC112,165,0)</f>
        <v/>
      </c>
      <c r="K43" s="822"/>
      <c r="L43" s="822"/>
      <c r="M43" s="822"/>
      <c r="N43" s="822"/>
      <c r="O43" s="822"/>
      <c r="P43" s="822"/>
      <c r="Q43" s="822"/>
      <c r="R43" s="822"/>
      <c r="S43" s="822"/>
      <c r="T43" s="822"/>
      <c r="U43" s="822"/>
      <c r="V43" s="822"/>
      <c r="W43" s="822"/>
      <c r="X43" s="822"/>
      <c r="Y43" s="822"/>
      <c r="Z43" s="822"/>
      <c r="AA43" s="822"/>
      <c r="AB43" s="822"/>
      <c r="AC43" s="823"/>
      <c r="AD43" s="216"/>
      <c r="AE43" s="44"/>
    </row>
    <row r="44" spans="1:31" s="43" customFormat="1" ht="12" hidden="1" customHeight="1" x14ac:dyDescent="0.25">
      <c r="A44" s="60"/>
      <c r="B44" s="241"/>
      <c r="C44" s="23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30"/>
      <c r="AD44" s="30"/>
      <c r="AE44" s="44"/>
    </row>
    <row r="45" spans="1:31" s="478" customFormat="1" thickBot="1" x14ac:dyDescent="0.35">
      <c r="A45" s="214"/>
      <c r="B45" s="475"/>
      <c r="C45" s="854"/>
      <c r="D45" s="857" t="s">
        <v>287</v>
      </c>
      <c r="E45" s="855"/>
      <c r="F45" s="855"/>
      <c r="G45" s="855"/>
      <c r="H45" s="855"/>
      <c r="I45" s="855"/>
      <c r="J45" s="855"/>
      <c r="K45" s="855"/>
      <c r="L45" s="855"/>
      <c r="M45" s="855" t="str">
        <f>IF(VLOOKUP(L13,'GREEN SHEET'!C7:GC112,171,0)="","",CONCATENATE(VLOOKUP(L13,'GREEN SHEET'!C7:GC112,171,0),"/",'GREEN SHEET'!$FQ$6))</f>
        <v>294/500</v>
      </c>
      <c r="N45" s="855"/>
      <c r="O45" s="855"/>
      <c r="P45" s="856"/>
      <c r="Q45" s="857" t="s">
        <v>280</v>
      </c>
      <c r="R45" s="855"/>
      <c r="S45" s="855"/>
      <c r="T45" s="855"/>
      <c r="U45" s="855"/>
      <c r="V45" s="855" t="str">
        <f>IF(VLOOKUP(L13,'GREEN SHEET'!C7:GC112,165,0)="",VLOOKUP(L13,'GREEN SHEET'!C7:GC112,180,0),VLOOKUP(L13,'GREEN SHEET'!C7:GC112,180,0))</f>
        <v>C1</v>
      </c>
      <c r="W45" s="855"/>
      <c r="X45" s="855"/>
      <c r="Y45" s="856"/>
      <c r="Z45" s="844"/>
      <c r="AA45" s="845"/>
      <c r="AB45" s="845"/>
      <c r="AC45" s="846"/>
      <c r="AD45" s="26"/>
      <c r="AE45" s="477"/>
    </row>
    <row r="46" spans="1:31" s="43" customFormat="1" thickBot="1" x14ac:dyDescent="0.3">
      <c r="A46" s="60"/>
      <c r="B46" s="241"/>
      <c r="C46" s="854"/>
      <c r="D46" s="860" t="s">
        <v>288</v>
      </c>
      <c r="E46" s="858"/>
      <c r="F46" s="858"/>
      <c r="G46" s="858"/>
      <c r="H46" s="858"/>
      <c r="I46" s="858"/>
      <c r="J46" s="858"/>
      <c r="K46" s="858"/>
      <c r="L46" s="858"/>
      <c r="M46" s="858" t="str">
        <f>IF(VLOOKUP(L13,'GREEN SHEET'!C7:GC112,171,0)="",VLOOKUP(L13,'GREEN SHEET'!C7:GC112,178,0),VLOOKUP(L13,'GREEN SHEET'!C7:GC112,178,0))</f>
        <v>58.80 %</v>
      </c>
      <c r="N46" s="858"/>
      <c r="O46" s="858"/>
      <c r="P46" s="859"/>
      <c r="Q46" s="833" t="str">
        <f>IF(M45="","","PROMOTED TO NEXT CLASS")</f>
        <v>PROMOTED TO NEXT CLASS</v>
      </c>
      <c r="R46" s="834"/>
      <c r="S46" s="834"/>
      <c r="T46" s="834"/>
      <c r="U46" s="834"/>
      <c r="V46" s="834" t="str">
        <f>IF(M45="","","X")</f>
        <v>X</v>
      </c>
      <c r="W46" s="834"/>
      <c r="X46" s="834"/>
      <c r="Y46" s="835"/>
      <c r="Z46" s="844"/>
      <c r="AA46" s="845"/>
      <c r="AB46" s="845"/>
      <c r="AC46" s="846"/>
      <c r="AD46" s="30"/>
      <c r="AE46" s="44"/>
    </row>
    <row r="47" spans="1:31" s="43" customFormat="1" ht="34.5" customHeight="1" x14ac:dyDescent="0.25">
      <c r="A47" s="60"/>
      <c r="B47" s="241"/>
      <c r="C47" s="824" t="s">
        <v>123</v>
      </c>
      <c r="D47" s="768"/>
      <c r="E47" s="768"/>
      <c r="F47" s="825" t="str">
        <f>IF(VLOOKUP(L13,'GREEN SHEET'!C6:FM111,165,0)="",VLOOKUP(L13,'GREEN SHEET'!C6:FM111,164,0),VLOOKUP(L13,'GREEN SHEET'!C6:FM111,165,0))</f>
        <v>PASS</v>
      </c>
      <c r="G47" s="825"/>
      <c r="H47" s="825"/>
      <c r="I47" s="825"/>
      <c r="J47" s="825"/>
      <c r="K47" s="832" t="str">
        <f>IF(F47="COMPARTMENT","COMPARTMENT IN SUBJECT:-","")</f>
        <v/>
      </c>
      <c r="L47" s="832"/>
      <c r="M47" s="832"/>
      <c r="N47" s="832"/>
      <c r="O47" s="832"/>
      <c r="P47" s="832"/>
      <c r="Q47" s="832"/>
      <c r="R47" s="832"/>
      <c r="S47" s="830" t="str">
        <f>IF(K47="","",VLOOKUP(L13,'GREEN SHEET'!C7:GC112,166,0))</f>
        <v/>
      </c>
      <c r="T47" s="830"/>
      <c r="U47" s="830"/>
      <c r="V47" s="830"/>
      <c r="W47" s="830"/>
      <c r="X47" s="830"/>
      <c r="Y47" s="830"/>
      <c r="Z47" s="830"/>
      <c r="AA47" s="830"/>
      <c r="AB47" s="830"/>
      <c r="AC47" s="831"/>
      <c r="AD47" s="253"/>
      <c r="AE47" s="44"/>
    </row>
    <row r="48" spans="1:31" s="43" customFormat="1" ht="27" customHeight="1" x14ac:dyDescent="0.25">
      <c r="A48" s="60"/>
      <c r="B48" s="241"/>
      <c r="C48" s="767"/>
      <c r="D48" s="764"/>
      <c r="E48" s="764"/>
      <c r="F48" s="764"/>
      <c r="G48" s="764"/>
      <c r="H48" s="764"/>
      <c r="I48" s="764"/>
      <c r="J48" s="764"/>
      <c r="K48" s="764"/>
      <c r="L48" s="764"/>
      <c r="M48" s="764"/>
      <c r="N48" s="764"/>
      <c r="O48" s="764"/>
      <c r="P48" s="764"/>
      <c r="Q48" s="764"/>
      <c r="R48" s="764"/>
      <c r="S48" s="764"/>
      <c r="T48" s="764"/>
      <c r="U48" s="764"/>
      <c r="V48" s="764"/>
      <c r="W48" s="764"/>
      <c r="X48" s="764"/>
      <c r="Y48" s="764"/>
      <c r="Z48" s="764"/>
      <c r="AA48" s="764"/>
      <c r="AB48" s="764"/>
      <c r="AC48" s="836"/>
      <c r="AD48" s="123"/>
      <c r="AE48" s="44"/>
    </row>
    <row r="49" spans="1:31" s="267" customFormat="1" ht="20.25" customHeight="1" x14ac:dyDescent="0.3">
      <c r="A49" s="245"/>
      <c r="B49" s="243"/>
      <c r="C49" s="826" t="s">
        <v>175</v>
      </c>
      <c r="D49" s="765"/>
      <c r="E49" s="765"/>
      <c r="F49" s="765" t="str">
        <f>IF(DASHBOARD!E23="","",DASHBOARD!E23)</f>
        <v>SVGMS, XXXX</v>
      </c>
      <c r="G49" s="765"/>
      <c r="H49" s="765"/>
      <c r="I49" s="765"/>
      <c r="J49" s="811" t="s">
        <v>151</v>
      </c>
      <c r="K49" s="811"/>
      <c r="L49" s="811"/>
      <c r="M49" s="811"/>
      <c r="N49" s="811"/>
      <c r="O49" s="811"/>
      <c r="P49" s="811"/>
      <c r="Q49" s="811" t="s">
        <v>150</v>
      </c>
      <c r="R49" s="811"/>
      <c r="S49" s="811"/>
      <c r="T49" s="811"/>
      <c r="U49" s="811"/>
      <c r="V49" s="812" t="s">
        <v>177</v>
      </c>
      <c r="W49" s="812"/>
      <c r="X49" s="812"/>
      <c r="Y49" s="812"/>
      <c r="Z49" s="812"/>
      <c r="AA49" s="812"/>
      <c r="AB49" s="812"/>
      <c r="AC49" s="813"/>
      <c r="AD49" s="254"/>
      <c r="AE49" s="266"/>
    </row>
    <row r="50" spans="1:31" s="43" customFormat="1" ht="15.75" customHeight="1" x14ac:dyDescent="0.3">
      <c r="A50" s="60"/>
      <c r="B50" s="241"/>
      <c r="C50" s="827" t="s">
        <v>176</v>
      </c>
      <c r="D50" s="828"/>
      <c r="E50" s="828"/>
      <c r="F50" s="829" t="str">
        <f>IF(F47="PASSED AFTER COMPARTMENT",DASHBOARD!C24,DASHBOARD!C23)</f>
        <v>30.03.2026</v>
      </c>
      <c r="G50" s="829"/>
      <c r="H50" s="829"/>
      <c r="I50" s="829"/>
      <c r="J50" s="814" t="str">
        <f>IF(DASHBOARD!G8="","",DASHBOARD!G8)</f>
        <v/>
      </c>
      <c r="K50" s="814"/>
      <c r="L50" s="814"/>
      <c r="M50" s="814"/>
      <c r="N50" s="814"/>
      <c r="O50" s="814"/>
      <c r="P50" s="814"/>
      <c r="Q50" s="847" t="str">
        <f>IF(DASHBOARD!H8="","",DASHBOARD!H8)</f>
        <v/>
      </c>
      <c r="R50" s="847"/>
      <c r="S50" s="847"/>
      <c r="T50" s="847"/>
      <c r="U50" s="847"/>
      <c r="V50" s="815" t="str">
        <f>IF(DASHBOARD!D8="","",DASHBOARD!D8)</f>
        <v/>
      </c>
      <c r="W50" s="815"/>
      <c r="X50" s="815"/>
      <c r="Y50" s="815"/>
      <c r="Z50" s="815"/>
      <c r="AA50" s="815"/>
      <c r="AB50" s="815"/>
      <c r="AC50" s="816"/>
      <c r="AD50" s="255"/>
      <c r="AE50" s="44"/>
    </row>
    <row r="51" spans="1:31" s="43" customFormat="1" ht="14.4" customHeight="1" x14ac:dyDescent="0.25">
      <c r="A51" s="60"/>
      <c r="B51" s="241"/>
      <c r="C51" s="817"/>
      <c r="D51" s="818"/>
      <c r="E51" s="818"/>
      <c r="F51" s="818"/>
      <c r="G51" s="818"/>
      <c r="H51" s="818"/>
      <c r="I51" s="818"/>
      <c r="J51" s="818"/>
      <c r="K51" s="818"/>
      <c r="L51" s="818"/>
      <c r="M51" s="818"/>
      <c r="N51" s="818"/>
      <c r="O51" s="818"/>
      <c r="P51" s="818"/>
      <c r="Q51" s="818"/>
      <c r="R51" s="818"/>
      <c r="S51" s="818"/>
      <c r="T51" s="818"/>
      <c r="U51" s="818"/>
      <c r="V51" s="818"/>
      <c r="W51" s="818"/>
      <c r="X51" s="818"/>
      <c r="Y51" s="818"/>
      <c r="Z51" s="818"/>
      <c r="AA51" s="818"/>
      <c r="AB51" s="818"/>
      <c r="AC51" s="819"/>
      <c r="AD51" s="25"/>
      <c r="AE51" s="44"/>
    </row>
    <row r="52" spans="1:31" s="43" customFormat="1" ht="19.5" customHeight="1" x14ac:dyDescent="0.25">
      <c r="A52" s="60"/>
      <c r="B52" s="241"/>
      <c r="C52" s="840" t="s">
        <v>43</v>
      </c>
      <c r="D52" s="841"/>
      <c r="E52" s="841"/>
      <c r="F52" s="841"/>
      <c r="G52" s="841"/>
      <c r="H52" s="841"/>
      <c r="I52" s="841"/>
      <c r="J52" s="841"/>
      <c r="K52" s="841"/>
      <c r="L52" s="841"/>
      <c r="M52" s="841"/>
      <c r="N52" s="841"/>
      <c r="O52" s="841"/>
      <c r="P52" s="841"/>
      <c r="Q52" s="841"/>
      <c r="R52" s="841"/>
      <c r="S52" s="841"/>
      <c r="T52" s="841"/>
      <c r="U52" s="841"/>
      <c r="V52" s="841"/>
      <c r="W52" s="841"/>
      <c r="X52" s="841"/>
      <c r="Y52" s="841"/>
      <c r="Z52" s="841"/>
      <c r="AA52" s="841"/>
      <c r="AB52" s="841"/>
      <c r="AC52" s="842"/>
      <c r="AD52" s="217"/>
      <c r="AE52" s="44"/>
    </row>
    <row r="53" spans="1:31" s="43" customFormat="1" ht="15" customHeight="1" thickBot="1" x14ac:dyDescent="0.3">
      <c r="A53" s="60"/>
      <c r="B53" s="241"/>
      <c r="C53" s="848" t="s">
        <v>124</v>
      </c>
      <c r="D53" s="849"/>
      <c r="E53" s="849"/>
      <c r="F53" s="849"/>
      <c r="G53" s="849"/>
      <c r="H53" s="849"/>
      <c r="I53" s="849"/>
      <c r="J53" s="849"/>
      <c r="K53" s="849"/>
      <c r="L53" s="849"/>
      <c r="M53" s="849"/>
      <c r="N53" s="849"/>
      <c r="O53" s="849"/>
      <c r="P53" s="849"/>
      <c r="Q53" s="849"/>
      <c r="R53" s="849"/>
      <c r="S53" s="849"/>
      <c r="T53" s="849"/>
      <c r="U53" s="849"/>
      <c r="V53" s="849"/>
      <c r="W53" s="849"/>
      <c r="X53" s="849"/>
      <c r="Y53" s="849"/>
      <c r="Z53" s="849"/>
      <c r="AA53" s="849"/>
      <c r="AB53" s="849"/>
      <c r="AC53" s="850"/>
      <c r="AD53" s="25"/>
      <c r="AE53" s="44"/>
    </row>
    <row r="54" spans="1:31" s="43" customFormat="1" ht="14.4" customHeight="1" x14ac:dyDescent="0.25">
      <c r="A54" s="60"/>
      <c r="B54" s="241"/>
      <c r="C54" s="817"/>
      <c r="D54" s="818"/>
      <c r="E54" s="818"/>
      <c r="F54" s="818"/>
      <c r="G54" s="818"/>
      <c r="H54" s="818"/>
      <c r="I54" s="819"/>
      <c r="J54" s="843" t="s">
        <v>125</v>
      </c>
      <c r="K54" s="799"/>
      <c r="L54" s="799"/>
      <c r="M54" s="799"/>
      <c r="N54" s="799"/>
      <c r="O54" s="799"/>
      <c r="P54" s="799" t="s">
        <v>117</v>
      </c>
      <c r="Q54" s="799"/>
      <c r="R54" s="799"/>
      <c r="S54" s="799"/>
      <c r="T54" s="799"/>
      <c r="U54" s="800"/>
      <c r="V54" s="817"/>
      <c r="W54" s="818"/>
      <c r="X54" s="818"/>
      <c r="Y54" s="818"/>
      <c r="Z54" s="818"/>
      <c r="AA54" s="818"/>
      <c r="AB54" s="818"/>
      <c r="AC54" s="819"/>
      <c r="AD54" s="25"/>
      <c r="AE54" s="44"/>
    </row>
    <row r="55" spans="1:31" s="43" customFormat="1" ht="14.4" customHeight="1" x14ac:dyDescent="0.25">
      <c r="A55" s="60"/>
      <c r="B55" s="241"/>
      <c r="C55" s="817"/>
      <c r="D55" s="818"/>
      <c r="E55" s="818"/>
      <c r="F55" s="818"/>
      <c r="G55" s="818"/>
      <c r="H55" s="818"/>
      <c r="I55" s="819"/>
      <c r="J55" s="837" t="s">
        <v>44</v>
      </c>
      <c r="K55" s="838"/>
      <c r="L55" s="838"/>
      <c r="M55" s="838"/>
      <c r="N55" s="838"/>
      <c r="O55" s="838"/>
      <c r="P55" s="838" t="s">
        <v>45</v>
      </c>
      <c r="Q55" s="838"/>
      <c r="R55" s="838"/>
      <c r="S55" s="838"/>
      <c r="T55" s="838"/>
      <c r="U55" s="839"/>
      <c r="V55" s="817"/>
      <c r="W55" s="818"/>
      <c r="X55" s="818"/>
      <c r="Y55" s="818"/>
      <c r="Z55" s="818"/>
      <c r="AA55" s="818"/>
      <c r="AB55" s="818"/>
      <c r="AC55" s="819"/>
      <c r="AD55" s="25"/>
      <c r="AE55" s="44"/>
    </row>
    <row r="56" spans="1:31" s="43" customFormat="1" ht="14.4" customHeight="1" x14ac:dyDescent="0.25">
      <c r="A56" s="60"/>
      <c r="B56" s="241"/>
      <c r="C56" s="817"/>
      <c r="D56" s="818"/>
      <c r="E56" s="818"/>
      <c r="F56" s="818"/>
      <c r="G56" s="818"/>
      <c r="H56" s="818"/>
      <c r="I56" s="819"/>
      <c r="J56" s="837" t="s">
        <v>46</v>
      </c>
      <c r="K56" s="838"/>
      <c r="L56" s="838"/>
      <c r="M56" s="838"/>
      <c r="N56" s="838"/>
      <c r="O56" s="838"/>
      <c r="P56" s="838" t="s">
        <v>47</v>
      </c>
      <c r="Q56" s="838"/>
      <c r="R56" s="838"/>
      <c r="S56" s="838"/>
      <c r="T56" s="838"/>
      <c r="U56" s="839"/>
      <c r="V56" s="817"/>
      <c r="W56" s="818"/>
      <c r="X56" s="818"/>
      <c r="Y56" s="818"/>
      <c r="Z56" s="818"/>
      <c r="AA56" s="818"/>
      <c r="AB56" s="818"/>
      <c r="AC56" s="819"/>
      <c r="AD56" s="25"/>
      <c r="AE56" s="44"/>
    </row>
    <row r="57" spans="1:31" s="43" customFormat="1" ht="14.4" customHeight="1" x14ac:dyDescent="0.25">
      <c r="A57" s="60"/>
      <c r="B57" s="241"/>
      <c r="C57" s="817"/>
      <c r="D57" s="818"/>
      <c r="E57" s="818"/>
      <c r="F57" s="818"/>
      <c r="G57" s="818"/>
      <c r="H57" s="818"/>
      <c r="I57" s="819"/>
      <c r="J57" s="837" t="s">
        <v>48</v>
      </c>
      <c r="K57" s="838"/>
      <c r="L57" s="838"/>
      <c r="M57" s="838"/>
      <c r="N57" s="838"/>
      <c r="O57" s="838"/>
      <c r="P57" s="838" t="s">
        <v>49</v>
      </c>
      <c r="Q57" s="838"/>
      <c r="R57" s="838"/>
      <c r="S57" s="838"/>
      <c r="T57" s="838"/>
      <c r="U57" s="839"/>
      <c r="V57" s="817"/>
      <c r="W57" s="818"/>
      <c r="X57" s="818"/>
      <c r="Y57" s="818"/>
      <c r="Z57" s="818"/>
      <c r="AA57" s="818"/>
      <c r="AB57" s="818"/>
      <c r="AC57" s="819"/>
      <c r="AD57" s="25"/>
      <c r="AE57" s="44"/>
    </row>
    <row r="58" spans="1:31" s="43" customFormat="1" ht="14.4" customHeight="1" x14ac:dyDescent="0.25">
      <c r="A58" s="60"/>
      <c r="B58" s="241"/>
      <c r="C58" s="817"/>
      <c r="D58" s="818"/>
      <c r="E58" s="818"/>
      <c r="F58" s="818"/>
      <c r="G58" s="818"/>
      <c r="H58" s="818"/>
      <c r="I58" s="819"/>
      <c r="J58" s="837" t="s">
        <v>50</v>
      </c>
      <c r="K58" s="838"/>
      <c r="L58" s="838"/>
      <c r="M58" s="838"/>
      <c r="N58" s="838"/>
      <c r="O58" s="838"/>
      <c r="P58" s="838" t="s">
        <v>51</v>
      </c>
      <c r="Q58" s="838"/>
      <c r="R58" s="838"/>
      <c r="S58" s="838"/>
      <c r="T58" s="838"/>
      <c r="U58" s="839"/>
      <c r="V58" s="817"/>
      <c r="W58" s="818"/>
      <c r="X58" s="818"/>
      <c r="Y58" s="818"/>
      <c r="Z58" s="818"/>
      <c r="AA58" s="818"/>
      <c r="AB58" s="818"/>
      <c r="AC58" s="819"/>
      <c r="AD58" s="25"/>
      <c r="AE58" s="44"/>
    </row>
    <row r="59" spans="1:31" s="43" customFormat="1" ht="14.4" customHeight="1" x14ac:dyDescent="0.25">
      <c r="A59" s="60"/>
      <c r="B59" s="241"/>
      <c r="C59" s="817"/>
      <c r="D59" s="818"/>
      <c r="E59" s="818"/>
      <c r="F59" s="818"/>
      <c r="G59" s="818"/>
      <c r="H59" s="818"/>
      <c r="I59" s="819"/>
      <c r="J59" s="837" t="s">
        <v>52</v>
      </c>
      <c r="K59" s="838"/>
      <c r="L59" s="838"/>
      <c r="M59" s="838"/>
      <c r="N59" s="838"/>
      <c r="O59" s="838"/>
      <c r="P59" s="838" t="s">
        <v>53</v>
      </c>
      <c r="Q59" s="838"/>
      <c r="R59" s="838"/>
      <c r="S59" s="838"/>
      <c r="T59" s="838"/>
      <c r="U59" s="839"/>
      <c r="V59" s="817"/>
      <c r="W59" s="818"/>
      <c r="X59" s="818"/>
      <c r="Y59" s="818"/>
      <c r="Z59" s="818"/>
      <c r="AA59" s="818"/>
      <c r="AB59" s="818"/>
      <c r="AC59" s="819"/>
      <c r="AD59" s="25"/>
      <c r="AE59" s="44"/>
    </row>
    <row r="60" spans="1:31" s="43" customFormat="1" ht="14.4" customHeight="1" x14ac:dyDescent="0.25">
      <c r="A60" s="60"/>
      <c r="B60" s="241"/>
      <c r="C60" s="817"/>
      <c r="D60" s="818"/>
      <c r="E60" s="818"/>
      <c r="F60" s="818"/>
      <c r="G60" s="818"/>
      <c r="H60" s="818"/>
      <c r="I60" s="819"/>
      <c r="J60" s="837" t="s">
        <v>54</v>
      </c>
      <c r="K60" s="838"/>
      <c r="L60" s="838"/>
      <c r="M60" s="838"/>
      <c r="N60" s="838"/>
      <c r="O60" s="838"/>
      <c r="P60" s="838" t="s">
        <v>55</v>
      </c>
      <c r="Q60" s="838"/>
      <c r="R60" s="838"/>
      <c r="S60" s="838"/>
      <c r="T60" s="838"/>
      <c r="U60" s="839"/>
      <c r="V60" s="817"/>
      <c r="W60" s="818"/>
      <c r="X60" s="818"/>
      <c r="Y60" s="818"/>
      <c r="Z60" s="818"/>
      <c r="AA60" s="818"/>
      <c r="AB60" s="818"/>
      <c r="AC60" s="819"/>
      <c r="AD60" s="25"/>
      <c r="AE60" s="44"/>
    </row>
    <row r="61" spans="1:31" s="43" customFormat="1" ht="14.4" customHeight="1" x14ac:dyDescent="0.25">
      <c r="A61" s="60"/>
      <c r="B61" s="241"/>
      <c r="C61" s="817"/>
      <c r="D61" s="818"/>
      <c r="E61" s="818"/>
      <c r="F61" s="818"/>
      <c r="G61" s="818"/>
      <c r="H61" s="818"/>
      <c r="I61" s="819"/>
      <c r="J61" s="837" t="s">
        <v>56</v>
      </c>
      <c r="K61" s="838"/>
      <c r="L61" s="838"/>
      <c r="M61" s="838"/>
      <c r="N61" s="838"/>
      <c r="O61" s="838"/>
      <c r="P61" s="838" t="s">
        <v>24</v>
      </c>
      <c r="Q61" s="838"/>
      <c r="R61" s="838"/>
      <c r="S61" s="838"/>
      <c r="T61" s="838"/>
      <c r="U61" s="839"/>
      <c r="V61" s="817"/>
      <c r="W61" s="818"/>
      <c r="X61" s="818"/>
      <c r="Y61" s="818"/>
      <c r="Z61" s="818"/>
      <c r="AA61" s="818"/>
      <c r="AB61" s="818"/>
      <c r="AC61" s="819"/>
      <c r="AD61" s="25"/>
      <c r="AE61" s="44"/>
    </row>
    <row r="62" spans="1:31" s="43" customFormat="1" ht="15" customHeight="1" thickBot="1" x14ac:dyDescent="0.3">
      <c r="A62" s="60"/>
      <c r="B62" s="241"/>
      <c r="C62" s="817"/>
      <c r="D62" s="818"/>
      <c r="E62" s="818"/>
      <c r="F62" s="818"/>
      <c r="G62" s="818"/>
      <c r="H62" s="818"/>
      <c r="I62" s="819"/>
      <c r="J62" s="861" t="s">
        <v>126</v>
      </c>
      <c r="K62" s="862"/>
      <c r="L62" s="862"/>
      <c r="M62" s="862"/>
      <c r="N62" s="862"/>
      <c r="O62" s="862"/>
      <c r="P62" s="862" t="s">
        <v>127</v>
      </c>
      <c r="Q62" s="862"/>
      <c r="R62" s="862"/>
      <c r="S62" s="862"/>
      <c r="T62" s="862"/>
      <c r="U62" s="863"/>
      <c r="V62" s="817"/>
      <c r="W62" s="818"/>
      <c r="X62" s="818"/>
      <c r="Y62" s="818"/>
      <c r="Z62" s="818"/>
      <c r="AA62" s="818"/>
      <c r="AB62" s="818"/>
      <c r="AC62" s="819"/>
      <c r="AD62" s="25"/>
      <c r="AE62" s="44"/>
    </row>
    <row r="63" spans="1:31" s="43" customFormat="1" ht="15" customHeight="1" thickBot="1" x14ac:dyDescent="0.3">
      <c r="A63" s="60"/>
      <c r="B63" s="241"/>
      <c r="C63" s="851"/>
      <c r="D63" s="852"/>
      <c r="E63" s="852"/>
      <c r="F63" s="852"/>
      <c r="G63" s="852"/>
      <c r="H63" s="852"/>
      <c r="I63" s="852"/>
      <c r="J63" s="852"/>
      <c r="K63" s="852"/>
      <c r="L63" s="852"/>
      <c r="M63" s="852"/>
      <c r="N63" s="852"/>
      <c r="O63" s="852"/>
      <c r="P63" s="852"/>
      <c r="Q63" s="852"/>
      <c r="R63" s="852"/>
      <c r="S63" s="852"/>
      <c r="T63" s="852"/>
      <c r="U63" s="852"/>
      <c r="V63" s="852"/>
      <c r="W63" s="852"/>
      <c r="X63" s="852"/>
      <c r="Y63" s="852"/>
      <c r="Z63" s="852"/>
      <c r="AA63" s="852"/>
      <c r="AB63" s="852"/>
      <c r="AC63" s="853"/>
      <c r="AD63" s="25"/>
      <c r="AE63" s="44"/>
    </row>
    <row r="64" spans="1:31" s="43" customFormat="1" ht="6.75" customHeight="1" thickBot="1" x14ac:dyDescent="0.3">
      <c r="A64" s="60"/>
      <c r="B64" s="270"/>
      <c r="C64" s="268"/>
      <c r="D64" s="268"/>
      <c r="E64" s="268"/>
      <c r="F64" s="268"/>
      <c r="G64" s="268"/>
      <c r="H64" s="268"/>
      <c r="I64" s="268"/>
      <c r="J64" s="268"/>
      <c r="K64" s="268"/>
      <c r="L64" s="268"/>
      <c r="M64" s="268"/>
      <c r="N64" s="268"/>
      <c r="O64" s="268"/>
      <c r="P64" s="268"/>
      <c r="Q64" s="268"/>
      <c r="R64" s="268"/>
      <c r="S64" s="268"/>
      <c r="T64" s="268"/>
      <c r="U64" s="268"/>
      <c r="V64" s="268"/>
      <c r="W64" s="268"/>
      <c r="X64" s="268"/>
      <c r="Y64" s="268"/>
      <c r="Z64" s="268"/>
      <c r="AA64" s="268"/>
      <c r="AB64" s="268"/>
      <c r="AC64" s="268"/>
      <c r="AD64" s="269"/>
      <c r="AE64" s="44"/>
    </row>
    <row r="65" spans="1:30" s="272" customFormat="1" ht="15.6" customHeight="1" x14ac:dyDescent="0.3">
      <c r="A65" s="271"/>
      <c r="B65" s="271"/>
      <c r="R65" s="754" t="str">
        <f>IF(DASHBOARD!G23="","",DASHBOARD!G23)</f>
        <v>PREPARED BY:- EXAM CELL, SVGMS AMET</v>
      </c>
      <c r="S65" s="754"/>
      <c r="T65" s="754"/>
      <c r="U65" s="754"/>
      <c r="V65" s="754"/>
      <c r="W65" s="754"/>
      <c r="X65" s="754"/>
      <c r="Y65" s="754"/>
      <c r="Z65" s="754"/>
      <c r="AA65" s="754"/>
      <c r="AB65" s="754"/>
      <c r="AC65" s="754"/>
      <c r="AD65" s="273"/>
    </row>
    <row r="66" spans="1:30" hidden="1" x14ac:dyDescent="0.3"/>
    <row r="67" spans="1:30" hidden="1" x14ac:dyDescent="0.3"/>
    <row r="68" spans="1:30" hidden="1" x14ac:dyDescent="0.3"/>
  </sheetData>
  <sheetProtection algorithmName="SHA-512" hashValue="5pjrBfiIXNZa+OsMBX33WmuqIB4arBRrPnO+OimrAodD74x4FXjpO4oo4QMlcBUeTKXwVJJEX9ICoqd0ofNHxw==" saltValue="X19bs0VSIoSZtfUgmUGaNA==" spinCount="100000" sheet="1" objects="1" scenarios="1" formatCells="0" formatColumns="0" formatRows="0" selectLockedCells="1"/>
  <mergeCells count="171">
    <mergeCell ref="C27:AC27"/>
    <mergeCell ref="C18:AC18"/>
    <mergeCell ref="AA15:AC15"/>
    <mergeCell ref="V16:AC16"/>
    <mergeCell ref="C10:AC10"/>
    <mergeCell ref="C19:AC19"/>
    <mergeCell ref="C34:AC34"/>
    <mergeCell ref="V35:AC41"/>
    <mergeCell ref="Y32:AC32"/>
    <mergeCell ref="H32:M32"/>
    <mergeCell ref="N32:S32"/>
    <mergeCell ref="T32:X32"/>
    <mergeCell ref="H33:M33"/>
    <mergeCell ref="N33:S33"/>
    <mergeCell ref="T33:X33"/>
    <mergeCell ref="Y33:AC33"/>
    <mergeCell ref="C32:G33"/>
    <mergeCell ref="C31:AC31"/>
    <mergeCell ref="C39:P39"/>
    <mergeCell ref="Q39:U39"/>
    <mergeCell ref="C40:P40"/>
    <mergeCell ref="Q40:U40"/>
    <mergeCell ref="C41:P41"/>
    <mergeCell ref="Q41:U41"/>
    <mergeCell ref="C42:AC42"/>
    <mergeCell ref="Z45:AC46"/>
    <mergeCell ref="Q50:U50"/>
    <mergeCell ref="C54:I62"/>
    <mergeCell ref="V54:AC62"/>
    <mergeCell ref="C53:AC53"/>
    <mergeCell ref="C63:AC63"/>
    <mergeCell ref="C45:C46"/>
    <mergeCell ref="V45:Y45"/>
    <mergeCell ref="M45:P45"/>
    <mergeCell ref="D45:L45"/>
    <mergeCell ref="Q45:U45"/>
    <mergeCell ref="M46:P46"/>
    <mergeCell ref="D46:L46"/>
    <mergeCell ref="J62:O62"/>
    <mergeCell ref="P62:U62"/>
    <mergeCell ref="J59:O59"/>
    <mergeCell ref="P59:U59"/>
    <mergeCell ref="J60:O60"/>
    <mergeCell ref="P60:U60"/>
    <mergeCell ref="J61:O61"/>
    <mergeCell ref="P61:U61"/>
    <mergeCell ref="J56:O56"/>
    <mergeCell ref="P56:U56"/>
    <mergeCell ref="J57:O57"/>
    <mergeCell ref="P57:U57"/>
    <mergeCell ref="J58:O58"/>
    <mergeCell ref="P58:U58"/>
    <mergeCell ref="C52:AC52"/>
    <mergeCell ref="J54:O54"/>
    <mergeCell ref="P54:U54"/>
    <mergeCell ref="J55:O55"/>
    <mergeCell ref="P55:U55"/>
    <mergeCell ref="J49:P49"/>
    <mergeCell ref="Q49:U49"/>
    <mergeCell ref="V49:AC49"/>
    <mergeCell ref="J50:P50"/>
    <mergeCell ref="V50:AC50"/>
    <mergeCell ref="C51:AC51"/>
    <mergeCell ref="C43:I43"/>
    <mergeCell ref="J43:AC43"/>
    <mergeCell ref="C47:E47"/>
    <mergeCell ref="F47:J47"/>
    <mergeCell ref="C49:E49"/>
    <mergeCell ref="F49:I49"/>
    <mergeCell ref="C50:E50"/>
    <mergeCell ref="F50:I50"/>
    <mergeCell ref="S47:AC47"/>
    <mergeCell ref="K47:R47"/>
    <mergeCell ref="Q46:U46"/>
    <mergeCell ref="V46:Y46"/>
    <mergeCell ref="C48:AC48"/>
    <mergeCell ref="C35:U35"/>
    <mergeCell ref="C36:P36"/>
    <mergeCell ref="Q36:U36"/>
    <mergeCell ref="C37:P37"/>
    <mergeCell ref="Q37:U37"/>
    <mergeCell ref="C38:P38"/>
    <mergeCell ref="Q38:U38"/>
    <mergeCell ref="C28:AC28"/>
    <mergeCell ref="C29:G29"/>
    <mergeCell ref="H29:K29"/>
    <mergeCell ref="L29:O29"/>
    <mergeCell ref="P29:Q29"/>
    <mergeCell ref="R29:S29"/>
    <mergeCell ref="U29:X29"/>
    <mergeCell ref="Y29:AA29"/>
    <mergeCell ref="AB29:AC29"/>
    <mergeCell ref="Y25:AA25"/>
    <mergeCell ref="AB25:AC25"/>
    <mergeCell ref="C26:G26"/>
    <mergeCell ref="H26:K26"/>
    <mergeCell ref="L26:O26"/>
    <mergeCell ref="P26:Q26"/>
    <mergeCell ref="R26:S26"/>
    <mergeCell ref="U26:X26"/>
    <mergeCell ref="Y26:AA26"/>
    <mergeCell ref="AB26:AC26"/>
    <mergeCell ref="C25:G25"/>
    <mergeCell ref="H25:K25"/>
    <mergeCell ref="L25:O25"/>
    <mergeCell ref="P25:Q25"/>
    <mergeCell ref="R25:S25"/>
    <mergeCell ref="U25:X25"/>
    <mergeCell ref="C24:G24"/>
    <mergeCell ref="H24:K24"/>
    <mergeCell ref="L24:O24"/>
    <mergeCell ref="P24:Q24"/>
    <mergeCell ref="R24:S24"/>
    <mergeCell ref="AK3:AN3"/>
    <mergeCell ref="Y24:AA24"/>
    <mergeCell ref="AB24:AC24"/>
    <mergeCell ref="C23:G23"/>
    <mergeCell ref="H23:K23"/>
    <mergeCell ref="L23:O23"/>
    <mergeCell ref="P23:Q23"/>
    <mergeCell ref="R23:S23"/>
    <mergeCell ref="U23:X23"/>
    <mergeCell ref="U24:X24"/>
    <mergeCell ref="C22:G22"/>
    <mergeCell ref="H22:K22"/>
    <mergeCell ref="L22:O22"/>
    <mergeCell ref="P22:Q22"/>
    <mergeCell ref="R22:S22"/>
    <mergeCell ref="U22:X22"/>
    <mergeCell ref="Y22:AA22"/>
    <mergeCell ref="AB22:AC22"/>
    <mergeCell ref="Y23:AA23"/>
    <mergeCell ref="V13:Z13"/>
    <mergeCell ref="AB23:AC23"/>
    <mergeCell ref="C20:G21"/>
    <mergeCell ref="H20:K21"/>
    <mergeCell ref="L20:O21"/>
    <mergeCell ref="P20:Q21"/>
    <mergeCell ref="R20:S21"/>
    <mergeCell ref="T20:T21"/>
    <mergeCell ref="U20:X21"/>
    <mergeCell ref="Y20:AA21"/>
    <mergeCell ref="AB20:AC21"/>
    <mergeCell ref="L17:Q17"/>
    <mergeCell ref="S16:U16"/>
    <mergeCell ref="S17:U17"/>
    <mergeCell ref="V17:AC17"/>
    <mergeCell ref="R65:AC65"/>
    <mergeCell ref="AA13:AC13"/>
    <mergeCell ref="C14:K14"/>
    <mergeCell ref="L14:Z14"/>
    <mergeCell ref="AA14:AC14"/>
    <mergeCell ref="E3:Z3"/>
    <mergeCell ref="H4:X4"/>
    <mergeCell ref="E5:Z5"/>
    <mergeCell ref="E6:Z6"/>
    <mergeCell ref="E7:Z7"/>
    <mergeCell ref="E11:Z11"/>
    <mergeCell ref="G8:X8"/>
    <mergeCell ref="C9:G9"/>
    <mergeCell ref="H9:R9"/>
    <mergeCell ref="S9:V9"/>
    <mergeCell ref="W9:AC9"/>
    <mergeCell ref="C15:K15"/>
    <mergeCell ref="L15:Z15"/>
    <mergeCell ref="C16:K16"/>
    <mergeCell ref="C17:K17"/>
    <mergeCell ref="E12:Z12"/>
    <mergeCell ref="L16:Q16"/>
    <mergeCell ref="C13:K13"/>
    <mergeCell ref="L13:U13"/>
  </mergeCells>
  <pageMargins left="0.33" right="0.15748031496063" top="0.28999999999999998" bottom="0.09" header="0.24" footer="0.04"/>
  <pageSetup paperSize="9" scale="78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08581B"/>
  </sheetPr>
  <dimension ref="A1:LU140"/>
  <sheetViews>
    <sheetView tabSelected="1" view="pageBreakPreview" zoomScale="70" zoomScaleNormal="60" zoomScaleSheetLayoutView="70" workbookViewId="0">
      <pane xSplit="3" topLeftCell="BD1" activePane="topRight" state="frozen"/>
      <selection activeCell="K14" sqref="K14:Y14"/>
      <selection pane="topRight" activeCell="K1" sqref="K1:K1048576"/>
    </sheetView>
  </sheetViews>
  <sheetFormatPr defaultColWidth="0" defaultRowHeight="13.8" zeroHeight="1" x14ac:dyDescent="0.25"/>
  <cols>
    <col min="1" max="1" width="2" style="70" customWidth="1"/>
    <col min="2" max="2" width="5.6640625" style="70" bestFit="1" customWidth="1"/>
    <col min="3" max="3" width="12" style="60" customWidth="1"/>
    <col min="4" max="4" width="8.5546875" style="60" customWidth="1"/>
    <col min="5" max="5" width="44.44140625" style="60" bestFit="1" customWidth="1"/>
    <col min="6" max="6" width="41.5546875" style="60" bestFit="1" customWidth="1"/>
    <col min="7" max="7" width="45.109375" style="60" bestFit="1" customWidth="1"/>
    <col min="8" max="8" width="15.44140625" style="60" bestFit="1" customWidth="1"/>
    <col min="9" max="9" width="10.109375" style="60" bestFit="1" customWidth="1"/>
    <col min="10" max="10" width="11.109375" style="60" bestFit="1" customWidth="1"/>
    <col min="11" max="11" width="22.44140625" style="60" hidden="1" customWidth="1"/>
    <col min="12" max="12" width="8.5546875" style="60" bestFit="1" customWidth="1"/>
    <col min="13" max="13" width="5.6640625" style="60" customWidth="1"/>
    <col min="14" max="15" width="5.5546875" style="60" customWidth="1"/>
    <col min="16" max="16" width="4.6640625" style="60" customWidth="1"/>
    <col min="17" max="17" width="9.44140625" style="60" customWidth="1"/>
    <col min="18" max="18" width="8" style="60" customWidth="1"/>
    <col min="19" max="19" width="7.6640625" style="60" customWidth="1"/>
    <col min="20" max="20" width="6.109375" style="60" customWidth="1"/>
    <col min="21" max="21" width="5.44140625" style="60" customWidth="1"/>
    <col min="22" max="22" width="15.77734375" style="60" customWidth="1"/>
    <col min="23" max="23" width="6.33203125" style="60" customWidth="1"/>
    <col min="24" max="24" width="8.88671875" style="60" bestFit="1" customWidth="1"/>
    <col min="25" max="26" width="5.5546875" style="60" customWidth="1"/>
    <col min="27" max="27" width="7" style="60" customWidth="1"/>
    <col min="28" max="28" width="4.109375" style="60" bestFit="1" customWidth="1"/>
    <col min="29" max="29" width="7" style="60" customWidth="1"/>
    <col min="30" max="30" width="8.44140625" style="60" customWidth="1"/>
    <col min="31" max="31" width="7" style="60" customWidth="1"/>
    <col min="32" max="32" width="6.33203125" style="60" customWidth="1"/>
    <col min="33" max="33" width="13.88671875" style="60" customWidth="1"/>
    <col min="34" max="34" width="8.5546875" style="60" bestFit="1" customWidth="1"/>
    <col min="35" max="45" width="4.6640625" style="60" customWidth="1"/>
    <col min="46" max="46" width="7.109375" style="60" bestFit="1" customWidth="1"/>
    <col min="47" max="47" width="3.88671875" style="60" bestFit="1" customWidth="1"/>
    <col min="48" max="48" width="4.6640625" style="60" customWidth="1"/>
    <col min="49" max="49" width="6" style="60" customWidth="1"/>
    <col min="50" max="50" width="4.33203125" style="60" bestFit="1" customWidth="1"/>
    <col min="51" max="51" width="3.88671875" style="60" bestFit="1" customWidth="1"/>
    <col min="52" max="52" width="11.33203125" style="60" bestFit="1" customWidth="1"/>
    <col min="53" max="54" width="6.6640625" style="60" customWidth="1"/>
    <col min="55" max="55" width="8.5546875" style="60" bestFit="1" customWidth="1"/>
    <col min="56" max="59" width="4.6640625" style="60" customWidth="1"/>
    <col min="60" max="60" width="6.88671875" style="60" bestFit="1" customWidth="1"/>
    <col min="61" max="64" width="5.109375" style="60" customWidth="1"/>
    <col min="65" max="65" width="6.88671875" style="60" bestFit="1" customWidth="1"/>
    <col min="66" max="66" width="4.6640625" style="60" customWidth="1"/>
    <col min="67" max="67" width="7.109375" style="60" bestFit="1" customWidth="1"/>
    <col min="68" max="71" width="5.109375" style="60" customWidth="1"/>
    <col min="72" max="72" width="7.6640625" style="60" customWidth="1"/>
    <col min="73" max="75" width="6.6640625" style="60" customWidth="1"/>
    <col min="76" max="76" width="8.5546875" style="60" bestFit="1" customWidth="1"/>
    <col min="77" max="85" width="5.109375" style="60" customWidth="1"/>
    <col min="86" max="86" width="6.88671875" style="60" bestFit="1" customWidth="1"/>
    <col min="87" max="87" width="5.109375" style="60" customWidth="1"/>
    <col min="88" max="88" width="7.6640625" style="60" bestFit="1" customWidth="1"/>
    <col min="89" max="92" width="5.109375" style="60" customWidth="1"/>
    <col min="93" max="93" width="9.33203125" style="60" customWidth="1"/>
    <col min="94" max="96" width="7.109375" style="60" customWidth="1"/>
    <col min="97" max="97" width="8.5546875" style="60" bestFit="1" customWidth="1"/>
    <col min="98" max="108" width="5.109375" style="60" customWidth="1"/>
    <col min="109" max="109" width="7.6640625" style="60" bestFit="1" customWidth="1"/>
    <col min="110" max="111" width="5.109375" style="60" customWidth="1"/>
    <col min="112" max="112" width="5.109375" style="60" bestFit="1" customWidth="1"/>
    <col min="113" max="113" width="4" style="60" bestFit="1" customWidth="1"/>
    <col min="114" max="114" width="6.33203125" style="60" customWidth="1"/>
    <col min="115" max="115" width="5.5546875" style="60" customWidth="1"/>
    <col min="116" max="117" width="6.33203125" style="60" customWidth="1"/>
    <col min="118" max="118" width="1.109375" style="60" customWidth="1"/>
    <col min="119" max="123" width="9.109375" style="60" customWidth="1"/>
    <col min="124" max="126" width="9.109375" style="60" hidden="1" customWidth="1"/>
    <col min="127" max="127" width="1.21875" style="60" customWidth="1"/>
    <col min="128" max="129" width="4.44140625" style="60" customWidth="1"/>
    <col min="130" max="130" width="6" style="60" customWidth="1"/>
    <col min="131" max="132" width="4.44140625" style="60" customWidth="1"/>
    <col min="133" max="133" width="5.109375" style="60" customWidth="1"/>
    <col min="134" max="137" width="5.88671875" style="60" customWidth="1"/>
    <col min="138" max="138" width="4.44140625" style="60" bestFit="1" customWidth="1"/>
    <col min="139" max="139" width="21.33203125" style="60" hidden="1" customWidth="1"/>
    <col min="140" max="140" width="11.21875" style="60" hidden="1" customWidth="1"/>
    <col min="141" max="141" width="7.5546875" style="60" hidden="1" customWidth="1"/>
    <col min="142" max="142" width="9.44140625" style="60" hidden="1" customWidth="1"/>
    <col min="143" max="143" width="11.21875" style="60" hidden="1" customWidth="1"/>
    <col min="144" max="144" width="5.5546875" style="60" hidden="1" customWidth="1"/>
    <col min="145" max="145" width="18.88671875" style="60" hidden="1" customWidth="1"/>
    <col min="146" max="150" width="5.5546875" style="60" hidden="1" customWidth="1"/>
    <col min="151" max="151" width="29.88671875" style="60" hidden="1" customWidth="1"/>
    <col min="152" max="156" width="4.44140625" style="60" hidden="1" customWidth="1"/>
    <col min="157" max="157" width="29.88671875" style="60" hidden="1" customWidth="1"/>
    <col min="158" max="159" width="4.44140625" style="60" hidden="1" customWidth="1"/>
    <col min="160" max="160" width="7.33203125" style="60" hidden="1" customWidth="1"/>
    <col min="161" max="161" width="4.44140625" style="60" hidden="1" customWidth="1"/>
    <col min="162" max="162" width="7.33203125" style="60" hidden="1" customWidth="1"/>
    <col min="163" max="163" width="29.88671875" style="60" hidden="1" customWidth="1"/>
    <col min="164" max="164" width="5.77734375" style="60" hidden="1" customWidth="1"/>
    <col min="165" max="165" width="11.109375" style="60" hidden="1" customWidth="1"/>
    <col min="166" max="166" width="21.33203125" style="60" bestFit="1" customWidth="1"/>
    <col min="167" max="167" width="42.44140625" style="60" customWidth="1"/>
    <col min="168" max="168" width="59.6640625" style="60" customWidth="1"/>
    <col min="169" max="169" width="51" style="60" customWidth="1"/>
    <col min="170" max="170" width="13.109375" style="60" customWidth="1"/>
    <col min="171" max="171" width="11.33203125" style="60" bestFit="1" customWidth="1"/>
    <col min="172" max="172" width="9.44140625" style="60" customWidth="1"/>
    <col min="173" max="173" width="11.33203125" style="60" bestFit="1" customWidth="1"/>
    <col min="174" max="174" width="16.44140625" style="60" customWidth="1"/>
    <col min="175" max="175" width="6.109375" style="60" hidden="1" customWidth="1"/>
    <col min="176" max="176" width="8.6640625" style="60" customWidth="1"/>
    <col min="177" max="177" width="9" style="60" customWidth="1"/>
    <col min="178" max="178" width="8.88671875" style="60" customWidth="1"/>
    <col min="179" max="180" width="15.33203125" style="60" customWidth="1"/>
    <col min="181" max="181" width="8.21875" style="60" hidden="1" customWidth="1"/>
    <col min="182" max="182" width="11.33203125" style="60" bestFit="1" customWidth="1"/>
    <col min="183" max="183" width="9.6640625" style="60" hidden="1" customWidth="1"/>
    <col min="184" max="184" width="11" style="60" hidden="1" customWidth="1"/>
    <col min="185" max="185" width="32.109375" style="60" hidden="1" customWidth="1"/>
    <col min="186" max="186" width="3.5546875" style="70" customWidth="1"/>
    <col min="187" max="254" width="9.109375" style="205" hidden="1" customWidth="1"/>
    <col min="255" max="255" width="9.33203125" style="205" hidden="1" customWidth="1"/>
    <col min="256" max="256" width="7" style="205" hidden="1" customWidth="1"/>
    <col min="257" max="257" width="10.109375" style="205" hidden="1" customWidth="1"/>
    <col min="258" max="258" width="7.88671875" style="205" hidden="1" customWidth="1"/>
    <col min="259" max="259" width="8.6640625" style="205" hidden="1" customWidth="1"/>
    <col min="260" max="260" width="15.88671875" style="205" hidden="1" customWidth="1"/>
    <col min="261" max="261" width="9.88671875" style="205" hidden="1" customWidth="1"/>
    <col min="262" max="262" width="7.44140625" style="205" hidden="1" customWidth="1"/>
    <col min="263" max="263" width="10.6640625" style="205" hidden="1" customWidth="1"/>
    <col min="264" max="264" width="8.44140625" style="205" hidden="1" customWidth="1"/>
    <col min="265" max="265" width="9.33203125" style="205" hidden="1" customWidth="1"/>
    <col min="266" max="266" width="16.44140625" style="205" hidden="1" customWidth="1"/>
    <col min="267" max="269" width="9.109375" style="205" hidden="1" customWidth="1"/>
    <col min="270" max="270" width="16.44140625" style="205" hidden="1" customWidth="1"/>
    <col min="271" max="273" width="9.109375" style="205" hidden="1" customWidth="1"/>
    <col min="274" max="274" width="7.88671875" style="205" hidden="1" customWidth="1"/>
    <col min="275" max="275" width="8.6640625" style="205" hidden="1" customWidth="1"/>
    <col min="276" max="276" width="15.88671875" style="205" hidden="1" customWidth="1"/>
    <col min="277" max="277" width="9.88671875" style="205" hidden="1" customWidth="1"/>
    <col min="278" max="278" width="7.44140625" style="205" hidden="1" customWidth="1"/>
    <col min="279" max="279" width="10.6640625" style="205" hidden="1" customWidth="1"/>
    <col min="280" max="280" width="8.44140625" style="205" hidden="1" customWidth="1"/>
    <col min="281" max="281" width="9.33203125" style="205" hidden="1" customWidth="1"/>
    <col min="282" max="282" width="16.44140625" style="205" hidden="1" customWidth="1"/>
    <col min="283" max="285" width="9.109375" style="205" hidden="1" customWidth="1"/>
    <col min="286" max="333" width="16.44140625" style="205" hidden="1" customWidth="1"/>
    <col min="334" max="16384" width="9.109375" style="205" hidden="1"/>
  </cols>
  <sheetData>
    <row r="1" spans="1:186" s="401" customFormat="1" x14ac:dyDescent="0.3">
      <c r="A1" s="400"/>
      <c r="B1" s="400"/>
      <c r="C1" s="400">
        <v>1</v>
      </c>
      <c r="D1" s="400">
        <v>2</v>
      </c>
      <c r="E1" s="400">
        <v>3</v>
      </c>
      <c r="F1" s="400">
        <v>4</v>
      </c>
      <c r="G1" s="400">
        <v>5</v>
      </c>
      <c r="H1" s="400">
        <v>6</v>
      </c>
      <c r="I1" s="400">
        <v>7</v>
      </c>
      <c r="J1" s="400">
        <v>8</v>
      </c>
      <c r="K1" s="400">
        <v>9</v>
      </c>
      <c r="L1" s="400">
        <v>10</v>
      </c>
      <c r="M1" s="400">
        <v>11</v>
      </c>
      <c r="N1" s="400">
        <v>12</v>
      </c>
      <c r="O1" s="400">
        <v>13</v>
      </c>
      <c r="P1" s="400">
        <v>14</v>
      </c>
      <c r="Q1" s="400">
        <v>15</v>
      </c>
      <c r="R1" s="400">
        <v>16</v>
      </c>
      <c r="S1" s="400">
        <v>17</v>
      </c>
      <c r="T1" s="400">
        <v>18</v>
      </c>
      <c r="U1" s="400">
        <v>19</v>
      </c>
      <c r="V1" s="400">
        <v>20</v>
      </c>
      <c r="W1" s="400">
        <v>21</v>
      </c>
      <c r="X1" s="400">
        <v>22</v>
      </c>
      <c r="Y1" s="400">
        <v>23</v>
      </c>
      <c r="Z1" s="400">
        <v>24</v>
      </c>
      <c r="AA1" s="400">
        <v>25</v>
      </c>
      <c r="AB1" s="400">
        <v>26</v>
      </c>
      <c r="AC1" s="400">
        <v>27</v>
      </c>
      <c r="AD1" s="400">
        <v>28</v>
      </c>
      <c r="AE1" s="400">
        <v>29</v>
      </c>
      <c r="AF1" s="400">
        <v>30</v>
      </c>
      <c r="AG1" s="400">
        <v>31</v>
      </c>
      <c r="AH1" s="400">
        <v>32</v>
      </c>
      <c r="AI1" s="400">
        <v>33</v>
      </c>
      <c r="AJ1" s="400">
        <v>34</v>
      </c>
      <c r="AK1" s="400">
        <v>35</v>
      </c>
      <c r="AL1" s="400">
        <v>36</v>
      </c>
      <c r="AM1" s="400">
        <v>37</v>
      </c>
      <c r="AN1" s="400">
        <v>38</v>
      </c>
      <c r="AO1" s="400">
        <v>39</v>
      </c>
      <c r="AP1" s="400">
        <v>40</v>
      </c>
      <c r="AQ1" s="400">
        <v>41</v>
      </c>
      <c r="AR1" s="400">
        <v>42</v>
      </c>
      <c r="AS1" s="400">
        <v>43</v>
      </c>
      <c r="AT1" s="400">
        <v>44</v>
      </c>
      <c r="AU1" s="400">
        <v>45</v>
      </c>
      <c r="AV1" s="400">
        <v>46</v>
      </c>
      <c r="AW1" s="400">
        <v>47</v>
      </c>
      <c r="AX1" s="400">
        <v>48</v>
      </c>
      <c r="AY1" s="400">
        <v>49</v>
      </c>
      <c r="AZ1" s="400">
        <v>50</v>
      </c>
      <c r="BA1" s="400">
        <v>51</v>
      </c>
      <c r="BB1" s="400">
        <v>52</v>
      </c>
      <c r="BC1" s="400">
        <v>53</v>
      </c>
      <c r="BD1" s="400">
        <v>54</v>
      </c>
      <c r="BE1" s="400">
        <v>55</v>
      </c>
      <c r="BF1" s="400">
        <v>56</v>
      </c>
      <c r="BG1" s="400">
        <v>57</v>
      </c>
      <c r="BH1" s="400">
        <v>58</v>
      </c>
      <c r="BI1" s="400">
        <v>59</v>
      </c>
      <c r="BJ1" s="400">
        <v>60</v>
      </c>
      <c r="BK1" s="400">
        <v>61</v>
      </c>
      <c r="BL1" s="400">
        <v>62</v>
      </c>
      <c r="BM1" s="400">
        <v>63</v>
      </c>
      <c r="BN1" s="400">
        <v>64</v>
      </c>
      <c r="BO1" s="400">
        <v>65</v>
      </c>
      <c r="BP1" s="400">
        <v>66</v>
      </c>
      <c r="BQ1" s="400">
        <v>67</v>
      </c>
      <c r="BR1" s="400">
        <v>68</v>
      </c>
      <c r="BS1" s="400">
        <v>69</v>
      </c>
      <c r="BT1" s="400">
        <v>70</v>
      </c>
      <c r="BU1" s="400">
        <v>71</v>
      </c>
      <c r="BV1" s="400">
        <v>72</v>
      </c>
      <c r="BW1" s="400">
        <v>73</v>
      </c>
      <c r="BX1" s="400">
        <v>74</v>
      </c>
      <c r="BY1" s="400">
        <v>75</v>
      </c>
      <c r="BZ1" s="400">
        <v>76</v>
      </c>
      <c r="CA1" s="400">
        <v>77</v>
      </c>
      <c r="CB1" s="400">
        <v>78</v>
      </c>
      <c r="CC1" s="400">
        <v>79</v>
      </c>
      <c r="CD1" s="400">
        <v>80</v>
      </c>
      <c r="CE1" s="400">
        <v>81</v>
      </c>
      <c r="CF1" s="400">
        <v>82</v>
      </c>
      <c r="CG1" s="400">
        <v>83</v>
      </c>
      <c r="CH1" s="400">
        <v>84</v>
      </c>
      <c r="CI1" s="400">
        <v>85</v>
      </c>
      <c r="CJ1" s="400">
        <v>86</v>
      </c>
      <c r="CK1" s="400">
        <v>87</v>
      </c>
      <c r="CL1" s="400">
        <v>88</v>
      </c>
      <c r="CM1" s="400">
        <v>89</v>
      </c>
      <c r="CN1" s="400">
        <v>90</v>
      </c>
      <c r="CO1" s="400">
        <v>91</v>
      </c>
      <c r="CP1" s="400">
        <v>92</v>
      </c>
      <c r="CQ1" s="400">
        <v>93</v>
      </c>
      <c r="CR1" s="400">
        <v>94</v>
      </c>
      <c r="CS1" s="400">
        <v>95</v>
      </c>
      <c r="CT1" s="400">
        <v>96</v>
      </c>
      <c r="CU1" s="400">
        <v>97</v>
      </c>
      <c r="CV1" s="400">
        <v>98</v>
      </c>
      <c r="CW1" s="400">
        <v>99</v>
      </c>
      <c r="CX1" s="400">
        <v>100</v>
      </c>
      <c r="CY1" s="400">
        <v>101</v>
      </c>
      <c r="CZ1" s="400">
        <v>102</v>
      </c>
      <c r="DA1" s="400">
        <v>103</v>
      </c>
      <c r="DB1" s="400">
        <v>104</v>
      </c>
      <c r="DC1" s="400">
        <v>105</v>
      </c>
      <c r="DD1" s="400">
        <v>106</v>
      </c>
      <c r="DE1" s="400">
        <v>107</v>
      </c>
      <c r="DF1" s="400">
        <v>108</v>
      </c>
      <c r="DG1" s="400">
        <v>109</v>
      </c>
      <c r="DH1" s="400">
        <v>110</v>
      </c>
      <c r="DI1" s="400">
        <v>111</v>
      </c>
      <c r="DJ1" s="400">
        <v>112</v>
      </c>
      <c r="DK1" s="400">
        <v>113</v>
      </c>
      <c r="DL1" s="400">
        <v>114</v>
      </c>
      <c r="DM1" s="400">
        <v>115</v>
      </c>
      <c r="DN1" s="400">
        <v>116</v>
      </c>
      <c r="DO1" s="400">
        <v>117</v>
      </c>
      <c r="DP1" s="400">
        <v>118</v>
      </c>
      <c r="DQ1" s="400">
        <v>119</v>
      </c>
      <c r="DR1" s="400">
        <v>120</v>
      </c>
      <c r="DS1" s="400">
        <v>121</v>
      </c>
      <c r="DT1" s="400">
        <v>122</v>
      </c>
      <c r="DU1" s="400">
        <v>123</v>
      </c>
      <c r="DV1" s="400">
        <v>124</v>
      </c>
      <c r="DW1" s="400">
        <v>125</v>
      </c>
      <c r="DX1" s="400">
        <v>126</v>
      </c>
      <c r="DY1" s="400">
        <v>127</v>
      </c>
      <c r="DZ1" s="400">
        <v>128</v>
      </c>
      <c r="EA1" s="400">
        <v>129</v>
      </c>
      <c r="EB1" s="400">
        <v>130</v>
      </c>
      <c r="EC1" s="400">
        <v>131</v>
      </c>
      <c r="ED1" s="400">
        <v>132</v>
      </c>
      <c r="EE1" s="400">
        <v>133</v>
      </c>
      <c r="EF1" s="400">
        <v>134</v>
      </c>
      <c r="EG1" s="400">
        <v>135</v>
      </c>
      <c r="EH1" s="400">
        <v>136</v>
      </c>
      <c r="EI1" s="400">
        <v>137</v>
      </c>
      <c r="EJ1" s="400">
        <v>138</v>
      </c>
      <c r="EK1" s="400">
        <v>139</v>
      </c>
      <c r="EL1" s="400">
        <v>140</v>
      </c>
      <c r="EM1" s="400">
        <v>141</v>
      </c>
      <c r="EN1" s="400">
        <v>142</v>
      </c>
      <c r="EO1" s="400">
        <v>143</v>
      </c>
      <c r="EP1" s="400">
        <v>144</v>
      </c>
      <c r="EQ1" s="400">
        <v>145</v>
      </c>
      <c r="ER1" s="400">
        <v>146</v>
      </c>
      <c r="ES1" s="400">
        <v>147</v>
      </c>
      <c r="ET1" s="400">
        <v>148</v>
      </c>
      <c r="EU1" s="400">
        <v>149</v>
      </c>
      <c r="EV1" s="400">
        <v>150</v>
      </c>
      <c r="EW1" s="400">
        <v>151</v>
      </c>
      <c r="EX1" s="400">
        <v>152</v>
      </c>
      <c r="EY1" s="400">
        <v>153</v>
      </c>
      <c r="EZ1" s="400">
        <v>154</v>
      </c>
      <c r="FA1" s="400">
        <v>155</v>
      </c>
      <c r="FB1" s="400">
        <v>156</v>
      </c>
      <c r="FC1" s="400">
        <v>157</v>
      </c>
      <c r="FD1" s="400">
        <v>158</v>
      </c>
      <c r="FE1" s="400">
        <v>159</v>
      </c>
      <c r="FF1" s="400">
        <v>160</v>
      </c>
      <c r="FG1" s="400">
        <v>161</v>
      </c>
      <c r="FH1" s="400">
        <v>162</v>
      </c>
      <c r="FI1" s="400">
        <v>163</v>
      </c>
      <c r="FJ1" s="400">
        <v>164</v>
      </c>
      <c r="FK1" s="400">
        <v>165</v>
      </c>
      <c r="FL1" s="400">
        <v>166</v>
      </c>
      <c r="FM1" s="400">
        <v>167</v>
      </c>
      <c r="FN1" s="400">
        <v>168</v>
      </c>
      <c r="FO1" s="400">
        <v>169</v>
      </c>
      <c r="FP1" s="400">
        <v>170</v>
      </c>
      <c r="FQ1" s="400">
        <v>171</v>
      </c>
      <c r="FR1" s="400">
        <v>172</v>
      </c>
      <c r="FS1" s="400">
        <v>173</v>
      </c>
      <c r="FT1" s="400">
        <v>174</v>
      </c>
      <c r="FU1" s="400">
        <v>175</v>
      </c>
      <c r="FV1" s="400">
        <v>176</v>
      </c>
      <c r="FW1" s="400">
        <v>177</v>
      </c>
      <c r="FX1" s="400">
        <v>178</v>
      </c>
      <c r="FY1" s="400">
        <v>179</v>
      </c>
      <c r="FZ1" s="400">
        <v>180</v>
      </c>
      <c r="GA1" s="400">
        <v>180</v>
      </c>
      <c r="GB1" s="400">
        <v>181</v>
      </c>
      <c r="GC1" s="400">
        <v>183</v>
      </c>
      <c r="GD1" s="400"/>
    </row>
    <row r="2" spans="1:186" ht="11.25" customHeight="1" x14ac:dyDescent="0.25">
      <c r="A2" s="143" t="s">
        <v>24</v>
      </c>
      <c r="B2" s="60"/>
      <c r="BX2" s="291"/>
      <c r="BY2" s="291"/>
      <c r="BZ2" s="291"/>
      <c r="CA2" s="291"/>
      <c r="CB2" s="291"/>
      <c r="CC2" s="291"/>
      <c r="CD2" s="291"/>
      <c r="CE2" s="291"/>
      <c r="CF2" s="291"/>
      <c r="CG2" s="291"/>
      <c r="CH2" s="291"/>
      <c r="CI2" s="291"/>
      <c r="CJ2" s="291"/>
      <c r="CK2" s="291"/>
      <c r="CL2" s="291"/>
      <c r="CM2" s="291"/>
      <c r="CN2" s="291"/>
      <c r="CO2" s="291"/>
      <c r="CP2" s="291"/>
      <c r="CQ2" s="291"/>
      <c r="CR2" s="291"/>
      <c r="DO2" s="291"/>
      <c r="DP2" s="291"/>
      <c r="DQ2" s="291"/>
      <c r="DR2" s="291"/>
      <c r="DS2" s="291"/>
      <c r="DT2" s="291"/>
      <c r="DU2" s="291"/>
      <c r="DV2" s="291"/>
      <c r="GD2" s="60"/>
    </row>
    <row r="3" spans="1:186" ht="39.75" customHeight="1" x14ac:dyDescent="0.25">
      <c r="A3" s="60"/>
      <c r="B3" s="1008" t="str">
        <f>IF(DASHBOARD!B2="","",DASHBOARD!B2)</f>
        <v xml:space="preserve">          SWAMI VIVEKANAND GOVT. MODEL SCHOOL,                                                                 </v>
      </c>
      <c r="C3" s="1008"/>
      <c r="D3" s="1008"/>
      <c r="E3" s="1008"/>
      <c r="F3" s="1008"/>
      <c r="G3" s="1008"/>
      <c r="H3" s="1008"/>
      <c r="I3" s="1008"/>
      <c r="J3" s="1008"/>
      <c r="K3" s="1009"/>
      <c r="L3" s="981" t="str">
        <f>IF(DASHBOARD!D12="","",DASHBOARD!D12)</f>
        <v>XXXXX</v>
      </c>
      <c r="M3" s="982"/>
      <c r="N3" s="982"/>
      <c r="O3" s="982"/>
      <c r="P3" s="982"/>
      <c r="Q3" s="982"/>
      <c r="R3" s="982"/>
      <c r="S3" s="982"/>
      <c r="T3" s="982"/>
      <c r="U3" s="982"/>
      <c r="V3" s="982"/>
      <c r="W3" s="982"/>
      <c r="X3" s="982"/>
      <c r="Y3" s="982"/>
      <c r="Z3" s="982"/>
      <c r="AA3" s="982"/>
      <c r="AB3" s="982"/>
      <c r="AC3" s="982"/>
      <c r="AD3" s="982"/>
      <c r="AE3" s="982"/>
      <c r="AF3" s="983"/>
      <c r="AG3" s="907" t="str">
        <f>CONCATENATE(IF(DASHBOARD!D13="","",DASHBOARD!D13), IF(DASHBOARD!D14="","",CONCATENATE(" / ",DASHBOARD!D14)))</f>
        <v>XXXXX / XXXXX</v>
      </c>
      <c r="AH3" s="908"/>
      <c r="AI3" s="908"/>
      <c r="AJ3" s="908"/>
      <c r="AK3" s="908"/>
      <c r="AL3" s="908"/>
      <c r="AM3" s="908"/>
      <c r="AN3" s="908"/>
      <c r="AO3" s="908"/>
      <c r="AP3" s="908"/>
      <c r="AQ3" s="908"/>
      <c r="AR3" s="908"/>
      <c r="AS3" s="908"/>
      <c r="AT3" s="908"/>
      <c r="AU3" s="908"/>
      <c r="AV3" s="908"/>
      <c r="AW3" s="908"/>
      <c r="AX3" s="908"/>
      <c r="AY3" s="908"/>
      <c r="AZ3" s="908"/>
      <c r="BA3" s="908"/>
      <c r="BB3" s="909"/>
      <c r="BC3" s="981" t="str">
        <f>IF(DASHBOARD!D15="","",DASHBOARD!D15)</f>
        <v>XXXXX</v>
      </c>
      <c r="BD3" s="982"/>
      <c r="BE3" s="982"/>
      <c r="BF3" s="982"/>
      <c r="BG3" s="982"/>
      <c r="BH3" s="982"/>
      <c r="BI3" s="982"/>
      <c r="BJ3" s="982"/>
      <c r="BK3" s="982"/>
      <c r="BL3" s="982"/>
      <c r="BM3" s="982"/>
      <c r="BN3" s="982"/>
      <c r="BO3" s="982"/>
      <c r="BP3" s="982"/>
      <c r="BQ3" s="982"/>
      <c r="BR3" s="982"/>
      <c r="BS3" s="982"/>
      <c r="BT3" s="982"/>
      <c r="BU3" s="982"/>
      <c r="BV3" s="982"/>
      <c r="BW3" s="983"/>
      <c r="BX3" s="907" t="str">
        <f>IF(DASHBOARD!D16="","",DASHBOARD!D16)</f>
        <v>XXXXX</v>
      </c>
      <c r="BY3" s="908"/>
      <c r="BZ3" s="908"/>
      <c r="CA3" s="908"/>
      <c r="CB3" s="908"/>
      <c r="CC3" s="908"/>
      <c r="CD3" s="908"/>
      <c r="CE3" s="908"/>
      <c r="CF3" s="908"/>
      <c r="CG3" s="908"/>
      <c r="CH3" s="908"/>
      <c r="CI3" s="908"/>
      <c r="CJ3" s="908"/>
      <c r="CK3" s="908"/>
      <c r="CL3" s="908"/>
      <c r="CM3" s="908"/>
      <c r="CN3" s="908"/>
      <c r="CO3" s="908"/>
      <c r="CP3" s="908"/>
      <c r="CQ3" s="908"/>
      <c r="CR3" s="909"/>
      <c r="CS3" s="981" t="str">
        <f>IF(DASHBOARD!D17="","",DASHBOARD!D17)</f>
        <v>XXXXX</v>
      </c>
      <c r="CT3" s="982"/>
      <c r="CU3" s="982"/>
      <c r="CV3" s="982"/>
      <c r="CW3" s="982"/>
      <c r="CX3" s="982"/>
      <c r="CY3" s="982"/>
      <c r="CZ3" s="982"/>
      <c r="DA3" s="982"/>
      <c r="DB3" s="982"/>
      <c r="DC3" s="982"/>
      <c r="DD3" s="982"/>
      <c r="DE3" s="982"/>
      <c r="DF3" s="982"/>
      <c r="DG3" s="982"/>
      <c r="DH3" s="982"/>
      <c r="DI3" s="982"/>
      <c r="DJ3" s="982"/>
      <c r="DK3" s="982"/>
      <c r="DL3" s="982"/>
      <c r="DM3" s="983"/>
      <c r="DN3" s="351"/>
      <c r="DO3" s="907" t="str">
        <f>CONCATENATE(IF(DASHBOARD!D20="","",DASHBOARD!D20), IF(DASHBOARD!D21="","",CONCATENATE(" / ",DASHBOARD!D21)), IF(DASHBOARD!D22="","",CONCATENATE(" / ",DASHBOARD!D22)))</f>
        <v>XXXXX / XXXXX / XXXXX</v>
      </c>
      <c r="DP3" s="908"/>
      <c r="DQ3" s="908"/>
      <c r="DR3" s="908"/>
      <c r="DS3" s="908"/>
      <c r="DT3" s="908"/>
      <c r="DU3" s="908"/>
      <c r="DV3" s="909"/>
      <c r="DW3" s="351"/>
      <c r="DX3" s="996" t="s">
        <v>273</v>
      </c>
      <c r="DY3" s="997"/>
      <c r="DZ3" s="997"/>
      <c r="EA3" s="997"/>
      <c r="EB3" s="997"/>
      <c r="EC3" s="998"/>
      <c r="ED3" s="996" t="s">
        <v>311</v>
      </c>
      <c r="EE3" s="997"/>
      <c r="EF3" s="997"/>
      <c r="EG3" s="997"/>
      <c r="EH3" s="997"/>
      <c r="EI3" s="998"/>
      <c r="EJ3" s="986" t="str">
        <f>IF(DASHBOARD!CJ12="","",DASHBOARD!CJ12)</f>
        <v/>
      </c>
      <c r="EK3" s="986"/>
      <c r="EL3" s="986"/>
      <c r="EM3" s="986"/>
      <c r="EN3" s="986"/>
      <c r="EO3" s="986"/>
      <c r="EP3" s="986"/>
      <c r="EQ3" s="986"/>
      <c r="ER3" s="986"/>
      <c r="ES3" s="986"/>
      <c r="ET3" s="986"/>
      <c r="EU3" s="986"/>
      <c r="EV3" s="986"/>
      <c r="EW3" s="986"/>
      <c r="EX3" s="986"/>
      <c r="EY3" s="986"/>
      <c r="EZ3" s="986"/>
      <c r="FA3" s="986"/>
      <c r="FB3" s="986"/>
      <c r="FC3" s="986"/>
      <c r="FD3" s="986"/>
      <c r="FE3" s="986"/>
      <c r="FF3" s="986"/>
      <c r="FG3" s="986"/>
      <c r="FH3" s="986"/>
      <c r="FI3" s="986"/>
      <c r="FJ3" s="986"/>
      <c r="FK3" s="986"/>
      <c r="FL3" s="986"/>
      <c r="FM3" s="986"/>
      <c r="FN3" s="986"/>
      <c r="FO3" s="986"/>
      <c r="FP3" s="986"/>
      <c r="FQ3" s="986"/>
      <c r="FR3" s="986"/>
      <c r="FS3" s="986"/>
      <c r="FT3" s="986"/>
      <c r="FU3" s="986"/>
      <c r="FV3" s="986"/>
      <c r="FW3" s="986"/>
      <c r="FX3" s="986"/>
      <c r="FY3" s="986"/>
      <c r="FZ3" s="986"/>
      <c r="GA3" s="986"/>
      <c r="GB3" s="986"/>
      <c r="GC3" s="986"/>
      <c r="GD3" s="60"/>
    </row>
    <row r="4" spans="1:186" ht="39.75" customHeight="1" thickBot="1" x14ac:dyDescent="0.3">
      <c r="A4" s="60"/>
      <c r="B4" s="333"/>
      <c r="C4" s="333"/>
      <c r="D4" s="1008" t="str">
        <f>IF(DASHBOARD!C3="","",DASHBOARD!C3)</f>
        <v>XXXX,  BLOCK-XXXX (RAJSAMAND)</v>
      </c>
      <c r="E4" s="1008"/>
      <c r="F4" s="1008"/>
      <c r="G4" s="1008"/>
      <c r="H4" s="1008"/>
      <c r="I4" s="1008"/>
      <c r="J4" s="1008"/>
      <c r="K4" s="1009"/>
      <c r="L4" s="989" t="str">
        <f>IF(DASHBOARD!B12="","",DASHBOARD!B12)</f>
        <v>ENGLISH</v>
      </c>
      <c r="M4" s="989"/>
      <c r="N4" s="989"/>
      <c r="O4" s="989"/>
      <c r="P4" s="989"/>
      <c r="Q4" s="989"/>
      <c r="R4" s="989"/>
      <c r="S4" s="989"/>
      <c r="T4" s="989"/>
      <c r="U4" s="989"/>
      <c r="V4" s="989"/>
      <c r="W4" s="989"/>
      <c r="X4" s="989"/>
      <c r="Y4" s="989"/>
      <c r="Z4" s="989"/>
      <c r="AA4" s="989"/>
      <c r="AB4" s="989"/>
      <c r="AC4" s="981" t="s">
        <v>154</v>
      </c>
      <c r="AD4" s="982"/>
      <c r="AE4" s="982"/>
      <c r="AF4" s="983"/>
      <c r="AG4" s="1019" t="str">
        <f>CONCATENATE(IF(DASHBOARD!C13="","",DASHBOARD!C13), IF(DASHBOARD!C14="","",CONCATENATE(" / ",DASHBOARD!C14)))</f>
        <v>HINDI / SANSKRIT</v>
      </c>
      <c r="AH4" s="1020"/>
      <c r="AI4" s="1020"/>
      <c r="AJ4" s="1020"/>
      <c r="AK4" s="1020"/>
      <c r="AL4" s="1020"/>
      <c r="AM4" s="1020"/>
      <c r="AN4" s="1020"/>
      <c r="AO4" s="1020"/>
      <c r="AP4" s="1020"/>
      <c r="AQ4" s="1020"/>
      <c r="AR4" s="1020"/>
      <c r="AS4" s="1020"/>
      <c r="AT4" s="1020"/>
      <c r="AU4" s="1020"/>
      <c r="AV4" s="1020"/>
      <c r="AW4" s="1020"/>
      <c r="AX4" s="1021"/>
      <c r="AY4" s="907" t="s">
        <v>154</v>
      </c>
      <c r="AZ4" s="908"/>
      <c r="BA4" s="908"/>
      <c r="BB4" s="909"/>
      <c r="BC4" s="989" t="str">
        <f>IF(DASHBOARD!B15="","",DASHBOARD!B15)</f>
        <v>MATHS</v>
      </c>
      <c r="BD4" s="989"/>
      <c r="BE4" s="989"/>
      <c r="BF4" s="989"/>
      <c r="BG4" s="989"/>
      <c r="BH4" s="989"/>
      <c r="BI4" s="989"/>
      <c r="BJ4" s="989"/>
      <c r="BK4" s="989"/>
      <c r="BL4" s="989"/>
      <c r="BM4" s="989"/>
      <c r="BN4" s="989"/>
      <c r="BO4" s="989"/>
      <c r="BP4" s="989"/>
      <c r="BQ4" s="989"/>
      <c r="BR4" s="989"/>
      <c r="BS4" s="989"/>
      <c r="BT4" s="1016" t="s">
        <v>154</v>
      </c>
      <c r="BU4" s="1017"/>
      <c r="BV4" s="1017"/>
      <c r="BW4" s="1018"/>
      <c r="BX4" s="988" t="str">
        <f>IF(DASHBOARD!B16="","",DASHBOARD!B16)</f>
        <v>SCIENCE</v>
      </c>
      <c r="BY4" s="988"/>
      <c r="BZ4" s="988"/>
      <c r="CA4" s="988"/>
      <c r="CB4" s="988"/>
      <c r="CC4" s="988"/>
      <c r="CD4" s="988"/>
      <c r="CE4" s="988"/>
      <c r="CF4" s="988"/>
      <c r="CG4" s="988"/>
      <c r="CH4" s="988"/>
      <c r="CI4" s="988"/>
      <c r="CJ4" s="988"/>
      <c r="CK4" s="988"/>
      <c r="CL4" s="988"/>
      <c r="CM4" s="988"/>
      <c r="CN4" s="988"/>
      <c r="CO4" s="1002" t="s">
        <v>154</v>
      </c>
      <c r="CP4" s="1003"/>
      <c r="CQ4" s="1003"/>
      <c r="CR4" s="1004"/>
      <c r="CS4" s="989" t="str">
        <f>IF(DASHBOARD!B17="","",DASHBOARD!B17)</f>
        <v>SOCIAL SCIENCE</v>
      </c>
      <c r="CT4" s="989"/>
      <c r="CU4" s="989"/>
      <c r="CV4" s="989"/>
      <c r="CW4" s="989"/>
      <c r="CX4" s="989"/>
      <c r="CY4" s="989"/>
      <c r="CZ4" s="989"/>
      <c r="DA4" s="989"/>
      <c r="DB4" s="989"/>
      <c r="DC4" s="989"/>
      <c r="DD4" s="989"/>
      <c r="DE4" s="989"/>
      <c r="DF4" s="989"/>
      <c r="DG4" s="989"/>
      <c r="DH4" s="989"/>
      <c r="DI4" s="989"/>
      <c r="DJ4" s="1005" t="s">
        <v>154</v>
      </c>
      <c r="DK4" s="1006"/>
      <c r="DL4" s="1006"/>
      <c r="DM4" s="1007"/>
      <c r="DN4" s="350"/>
      <c r="DO4" s="913" t="str">
        <f>CONCATENATE(IF(DASHBOARD!B20="","",DASHBOARD!B20), IF(DASHBOARD!B21="","",CONCATENATE(" / ",DASHBOARD!B21)),IF(DASHBOARD!B22="","",CONCATENATE(" / ",DASHBOARD!B22)))</f>
        <v>BEAUTY &amp; WELLNESS / IT / APPAREL MADE-UPS HOME FURNISHING</v>
      </c>
      <c r="DP4" s="914"/>
      <c r="DQ4" s="914"/>
      <c r="DR4" s="914"/>
      <c r="DS4" s="915"/>
      <c r="DT4" s="990" t="s">
        <v>154</v>
      </c>
      <c r="DU4" s="991"/>
      <c r="DV4" s="992"/>
      <c r="DW4" s="350"/>
      <c r="DX4" s="999"/>
      <c r="DY4" s="1000"/>
      <c r="DZ4" s="1000"/>
      <c r="EA4" s="1000"/>
      <c r="EB4" s="1000"/>
      <c r="EC4" s="1001"/>
      <c r="ED4" s="999"/>
      <c r="EE4" s="1000"/>
      <c r="EF4" s="1000"/>
      <c r="EG4" s="1000"/>
      <c r="EH4" s="1000"/>
      <c r="EI4" s="1001"/>
      <c r="EJ4" s="987"/>
      <c r="EK4" s="987"/>
      <c r="EL4" s="987"/>
      <c r="EM4" s="987"/>
      <c r="EN4" s="987"/>
      <c r="EO4" s="987"/>
      <c r="EP4" s="987"/>
      <c r="EQ4" s="987"/>
      <c r="ER4" s="987"/>
      <c r="ES4" s="987"/>
      <c r="ET4" s="987"/>
      <c r="EU4" s="987"/>
      <c r="EV4" s="987"/>
      <c r="EW4" s="987"/>
      <c r="EX4" s="987"/>
      <c r="EY4" s="987"/>
      <c r="EZ4" s="987"/>
      <c r="FA4" s="987"/>
      <c r="FB4" s="987"/>
      <c r="FC4" s="987"/>
      <c r="FD4" s="987"/>
      <c r="FE4" s="987"/>
      <c r="FF4" s="987"/>
      <c r="FG4" s="987"/>
      <c r="FH4" s="987"/>
      <c r="FI4" s="987"/>
      <c r="FJ4" s="987"/>
      <c r="FK4" s="987"/>
      <c r="FL4" s="987"/>
      <c r="FM4" s="987"/>
      <c r="FN4" s="987"/>
      <c r="FO4" s="987"/>
      <c r="FP4" s="987"/>
      <c r="FQ4" s="987"/>
      <c r="FR4" s="987"/>
      <c r="FS4" s="987"/>
      <c r="FT4" s="987"/>
      <c r="FU4" s="987"/>
      <c r="FV4" s="987"/>
      <c r="FW4" s="987"/>
      <c r="FX4" s="987"/>
      <c r="FY4" s="987"/>
      <c r="FZ4" s="987"/>
      <c r="GA4" s="987"/>
      <c r="GB4" s="987"/>
      <c r="GC4" s="987"/>
      <c r="GD4" s="60"/>
    </row>
    <row r="5" spans="1:186" ht="81" customHeight="1" thickBot="1" x14ac:dyDescent="0.3">
      <c r="A5" s="60"/>
      <c r="B5" s="1013" t="str">
        <f>"MASTER DATA SHEET  "&amp;DASHBOARD!B4</f>
        <v>MASTER DATA SHEET  SESSION  -  2025-26</v>
      </c>
      <c r="C5" s="1014"/>
      <c r="D5" s="1014"/>
      <c r="E5" s="1014"/>
      <c r="F5" s="1014"/>
      <c r="G5" s="1014"/>
      <c r="H5" s="1015"/>
      <c r="I5" s="1010" t="str">
        <f>"CLASS - 9 "&amp;DASHBOARD!C8</f>
        <v>CLASS - 9 A</v>
      </c>
      <c r="J5" s="1011"/>
      <c r="K5" s="1012"/>
      <c r="L5" s="80" t="s">
        <v>93</v>
      </c>
      <c r="M5" s="81" t="s">
        <v>147</v>
      </c>
      <c r="N5" s="81" t="s">
        <v>94</v>
      </c>
      <c r="O5" s="81" t="s">
        <v>134</v>
      </c>
      <c r="P5" s="81" t="s">
        <v>95</v>
      </c>
      <c r="Q5" s="81" t="s">
        <v>148</v>
      </c>
      <c r="R5" s="81" t="s">
        <v>101</v>
      </c>
      <c r="S5" s="81" t="s">
        <v>102</v>
      </c>
      <c r="T5" s="81" t="s">
        <v>103</v>
      </c>
      <c r="U5" s="81" t="str">
        <f>IF(ENGLISH!H5="","",ENGLISH!H5)</f>
        <v>ASSESSMENT USING MULTIPLE STRATEGIES</v>
      </c>
      <c r="V5" s="81" t="str">
        <f>IF(ENGLISH!I5="","",ENGLISH!I5)</f>
        <v>PORTFOLIO</v>
      </c>
      <c r="W5" s="81" t="str">
        <f>IF(ENGLISH!J5="","",ENGLISH!J5)</f>
        <v>SUBJECT ENRICHMENT ACTIVITY</v>
      </c>
      <c r="X5" s="81" t="s">
        <v>139</v>
      </c>
      <c r="Y5" s="81" t="str">
        <f>IF(ENGLISH!K5="","",ENGLISH!K5)</f>
        <v>SESSION ENDING</v>
      </c>
      <c r="Z5" s="81" t="s">
        <v>133</v>
      </c>
      <c r="AA5" s="81" t="s">
        <v>104</v>
      </c>
      <c r="AB5" s="81" t="s">
        <v>105</v>
      </c>
      <c r="AC5" s="81" t="s">
        <v>155</v>
      </c>
      <c r="AD5" s="81" t="s">
        <v>153</v>
      </c>
      <c r="AE5" s="81" t="s">
        <v>57</v>
      </c>
      <c r="AF5" s="81" t="s">
        <v>146</v>
      </c>
      <c r="AG5" s="82" t="s">
        <v>78</v>
      </c>
      <c r="AH5" s="82" t="s">
        <v>93</v>
      </c>
      <c r="AI5" s="82" t="s">
        <v>147</v>
      </c>
      <c r="AJ5" s="82" t="s">
        <v>94</v>
      </c>
      <c r="AK5" s="82" t="s">
        <v>134</v>
      </c>
      <c r="AL5" s="82" t="s">
        <v>95</v>
      </c>
      <c r="AM5" s="82" t="s">
        <v>148</v>
      </c>
      <c r="AN5" s="82" t="s">
        <v>101</v>
      </c>
      <c r="AO5" s="82" t="s">
        <v>102</v>
      </c>
      <c r="AP5" s="82" t="s">
        <v>103</v>
      </c>
      <c r="AQ5" s="82" t="s">
        <v>140</v>
      </c>
      <c r="AR5" s="82" t="s">
        <v>138</v>
      </c>
      <c r="AS5" s="82" t="s">
        <v>197</v>
      </c>
      <c r="AT5" s="82" t="s">
        <v>139</v>
      </c>
      <c r="AU5" s="82" t="s">
        <v>22</v>
      </c>
      <c r="AV5" s="82" t="s">
        <v>133</v>
      </c>
      <c r="AW5" s="82" t="s">
        <v>104</v>
      </c>
      <c r="AX5" s="82" t="s">
        <v>105</v>
      </c>
      <c r="AY5" s="82" t="s">
        <v>155</v>
      </c>
      <c r="AZ5" s="82" t="s">
        <v>153</v>
      </c>
      <c r="BA5" s="82" t="s">
        <v>57</v>
      </c>
      <c r="BB5" s="82" t="s">
        <v>146</v>
      </c>
      <c r="BC5" s="81" t="s">
        <v>93</v>
      </c>
      <c r="BD5" s="81" t="s">
        <v>147</v>
      </c>
      <c r="BE5" s="81" t="s">
        <v>94</v>
      </c>
      <c r="BF5" s="81" t="s">
        <v>134</v>
      </c>
      <c r="BG5" s="81" t="s">
        <v>95</v>
      </c>
      <c r="BH5" s="81" t="s">
        <v>148</v>
      </c>
      <c r="BI5" s="81" t="s">
        <v>101</v>
      </c>
      <c r="BJ5" s="81" t="s">
        <v>102</v>
      </c>
      <c r="BK5" s="81" t="s">
        <v>103</v>
      </c>
      <c r="BL5" s="81" t="s">
        <v>140</v>
      </c>
      <c r="BM5" s="81" t="s">
        <v>138</v>
      </c>
      <c r="BN5" s="81" t="s">
        <v>197</v>
      </c>
      <c r="BO5" s="81" t="s">
        <v>139</v>
      </c>
      <c r="BP5" s="81" t="s">
        <v>22</v>
      </c>
      <c r="BQ5" s="81" t="s">
        <v>133</v>
      </c>
      <c r="BR5" s="81" t="s">
        <v>104</v>
      </c>
      <c r="BS5" s="81" t="s">
        <v>105</v>
      </c>
      <c r="BT5" s="81" t="s">
        <v>155</v>
      </c>
      <c r="BU5" s="81" t="s">
        <v>153</v>
      </c>
      <c r="BV5" s="81" t="s">
        <v>57</v>
      </c>
      <c r="BW5" s="81" t="s">
        <v>146</v>
      </c>
      <c r="BX5" s="82" t="s">
        <v>93</v>
      </c>
      <c r="BY5" s="82" t="s">
        <v>147</v>
      </c>
      <c r="BZ5" s="82" t="s">
        <v>94</v>
      </c>
      <c r="CA5" s="82" t="s">
        <v>134</v>
      </c>
      <c r="CB5" s="82" t="s">
        <v>95</v>
      </c>
      <c r="CC5" s="82" t="s">
        <v>148</v>
      </c>
      <c r="CD5" s="82" t="s">
        <v>101</v>
      </c>
      <c r="CE5" s="82" t="s">
        <v>102</v>
      </c>
      <c r="CF5" s="82" t="s">
        <v>103</v>
      </c>
      <c r="CG5" s="82" t="s">
        <v>140</v>
      </c>
      <c r="CH5" s="82" t="s">
        <v>138</v>
      </c>
      <c r="CI5" s="82" t="s">
        <v>197</v>
      </c>
      <c r="CJ5" s="82" t="s">
        <v>139</v>
      </c>
      <c r="CK5" s="82" t="s">
        <v>22</v>
      </c>
      <c r="CL5" s="82" t="s">
        <v>133</v>
      </c>
      <c r="CM5" s="82" t="s">
        <v>104</v>
      </c>
      <c r="CN5" s="82" t="s">
        <v>105</v>
      </c>
      <c r="CO5" s="82" t="s">
        <v>155</v>
      </c>
      <c r="CP5" s="82" t="s">
        <v>153</v>
      </c>
      <c r="CQ5" s="82" t="s">
        <v>57</v>
      </c>
      <c r="CR5" s="82" t="s">
        <v>146</v>
      </c>
      <c r="CS5" s="81" t="s">
        <v>93</v>
      </c>
      <c r="CT5" s="81" t="s">
        <v>147</v>
      </c>
      <c r="CU5" s="81" t="s">
        <v>94</v>
      </c>
      <c r="CV5" s="81" t="s">
        <v>134</v>
      </c>
      <c r="CW5" s="81" t="s">
        <v>95</v>
      </c>
      <c r="CX5" s="81" t="s">
        <v>148</v>
      </c>
      <c r="CY5" s="81" t="s">
        <v>101</v>
      </c>
      <c r="CZ5" s="81" t="s">
        <v>102</v>
      </c>
      <c r="DA5" s="81" t="s">
        <v>103</v>
      </c>
      <c r="DB5" s="81" t="s">
        <v>140</v>
      </c>
      <c r="DC5" s="81" t="s">
        <v>138</v>
      </c>
      <c r="DD5" s="81" t="s">
        <v>197</v>
      </c>
      <c r="DE5" s="81" t="s">
        <v>139</v>
      </c>
      <c r="DF5" s="81" t="s">
        <v>22</v>
      </c>
      <c r="DG5" s="81" t="s">
        <v>133</v>
      </c>
      <c r="DH5" s="81" t="s">
        <v>104</v>
      </c>
      <c r="DI5" s="81" t="s">
        <v>105</v>
      </c>
      <c r="DJ5" s="81" t="s">
        <v>155</v>
      </c>
      <c r="DK5" s="81" t="s">
        <v>153</v>
      </c>
      <c r="DL5" s="81" t="s">
        <v>57</v>
      </c>
      <c r="DM5" s="81" t="s">
        <v>146</v>
      </c>
      <c r="DN5" s="81"/>
      <c r="DO5" s="82" t="s">
        <v>78</v>
      </c>
      <c r="DP5" s="82" t="s">
        <v>268</v>
      </c>
      <c r="DQ5" s="82" t="s">
        <v>269</v>
      </c>
      <c r="DR5" s="82" t="s">
        <v>104</v>
      </c>
      <c r="DS5" s="82" t="s">
        <v>105</v>
      </c>
      <c r="DT5" s="82" t="s">
        <v>155</v>
      </c>
      <c r="DU5" s="82" t="s">
        <v>57</v>
      </c>
      <c r="DV5" s="82" t="s">
        <v>146</v>
      </c>
      <c r="DW5" s="81"/>
      <c r="DX5" s="83" t="s">
        <v>0</v>
      </c>
      <c r="DY5" s="83" t="s">
        <v>1</v>
      </c>
      <c r="DZ5" s="83" t="s">
        <v>80</v>
      </c>
      <c r="EA5" s="83" t="s">
        <v>63</v>
      </c>
      <c r="EB5" s="83" t="s">
        <v>130</v>
      </c>
      <c r="EC5" s="362" t="str">
        <f>DO4</f>
        <v>BEAUTY &amp; WELLNESS / IT / APPAREL MADE-UPS HOME FURNISHING</v>
      </c>
      <c r="ED5" s="361" t="str">
        <f t="shared" ref="ED5:EI5" si="0">DX5&amp;" (SUPP.)"</f>
        <v>ENGLISH (SUPP.)</v>
      </c>
      <c r="EE5" s="361" t="str">
        <f t="shared" si="0"/>
        <v>HINDI (SUPP.)</v>
      </c>
      <c r="EF5" s="361" t="str">
        <f t="shared" si="0"/>
        <v>MATHEMATICS (SUPP.)</v>
      </c>
      <c r="EG5" s="361" t="str">
        <f t="shared" si="0"/>
        <v>SCIENCE (SUPP.)</v>
      </c>
      <c r="EH5" s="361" t="str">
        <f t="shared" si="0"/>
        <v>SST (SUPP.)</v>
      </c>
      <c r="EI5" s="361" t="str">
        <f t="shared" si="0"/>
        <v>BEAUTY &amp; WELLNESS / IT / APPAREL MADE-UPS HOME FURNISHING (SUPP.)</v>
      </c>
      <c r="EJ5" s="402" t="str">
        <f>IF(DASHBOARD!B12="","",DASHBOARD!B12)</f>
        <v>ENGLISH</v>
      </c>
      <c r="EK5" s="402" t="str">
        <f>AG4</f>
        <v>HINDI / SANSKRIT</v>
      </c>
      <c r="EL5" s="402" t="str">
        <f>IF(DASHBOARD!B15="","",DASHBOARD!B15)</f>
        <v>MATHS</v>
      </c>
      <c r="EM5" s="402" t="str">
        <f>IF(DASHBOARD!B16="","",DASHBOARD!B16)</f>
        <v>SCIENCE</v>
      </c>
      <c r="EN5" s="402" t="s">
        <v>130</v>
      </c>
      <c r="EO5" s="403" t="str">
        <f>DO4</f>
        <v>BEAUTY &amp; WELLNESS / IT / APPAREL MADE-UPS HOME FURNISHING</v>
      </c>
      <c r="EP5" s="404" t="str">
        <f>IF(EJ5="","",EJ5)</f>
        <v>ENGLISH</v>
      </c>
      <c r="EQ5" s="404" t="str">
        <f>AG4</f>
        <v>HINDI / SANSKRIT</v>
      </c>
      <c r="ER5" s="404" t="str">
        <f>IF(EL5="","",EL5)</f>
        <v>MATHS</v>
      </c>
      <c r="ES5" s="404" t="str">
        <f>IF(EM5="","",EM5)</f>
        <v>SCIENCE</v>
      </c>
      <c r="ET5" s="404" t="str">
        <f>IF(EN5="","",EN5)</f>
        <v>SST</v>
      </c>
      <c r="EU5" s="518" t="str">
        <f>DO4</f>
        <v>BEAUTY &amp; WELLNESS / IT / APPAREL MADE-UPS HOME FURNISHING</v>
      </c>
      <c r="EV5" s="405" t="s">
        <v>0</v>
      </c>
      <c r="EW5" s="405" t="s">
        <v>1</v>
      </c>
      <c r="EX5" s="405" t="s">
        <v>62</v>
      </c>
      <c r="EY5" s="405" t="s">
        <v>81</v>
      </c>
      <c r="EZ5" s="405" t="s">
        <v>130</v>
      </c>
      <c r="FA5" s="405" t="str">
        <f>DO4</f>
        <v>BEAUTY &amp; WELLNESS / IT / APPAREL MADE-UPS HOME FURNISHING</v>
      </c>
      <c r="FB5" s="406" t="s">
        <v>0</v>
      </c>
      <c r="FC5" s="406" t="s">
        <v>1</v>
      </c>
      <c r="FD5" s="406" t="s">
        <v>80</v>
      </c>
      <c r="FE5" s="406" t="s">
        <v>81</v>
      </c>
      <c r="FF5" s="406" t="s">
        <v>3</v>
      </c>
      <c r="FG5" s="406" t="str">
        <f>DO4</f>
        <v>BEAUTY &amp; WELLNESS / IT / APPAREL MADE-UPS HOME FURNISHING</v>
      </c>
      <c r="FH5" s="84" t="s">
        <v>131</v>
      </c>
      <c r="FI5" s="84" t="s">
        <v>226</v>
      </c>
      <c r="FJ5" s="341" t="s">
        <v>132</v>
      </c>
      <c r="FK5" s="341" t="s">
        <v>158</v>
      </c>
      <c r="FL5" s="85" t="s">
        <v>164</v>
      </c>
      <c r="FM5" s="85" t="s">
        <v>227</v>
      </c>
      <c r="FN5" s="86" t="s">
        <v>159</v>
      </c>
      <c r="FO5" s="86" t="s">
        <v>160</v>
      </c>
      <c r="FP5" s="86" t="s">
        <v>162</v>
      </c>
      <c r="FQ5" s="86" t="s">
        <v>161</v>
      </c>
      <c r="FR5" s="87" t="s">
        <v>109</v>
      </c>
      <c r="FS5" s="87" t="s">
        <v>109</v>
      </c>
      <c r="FT5" s="86" t="s">
        <v>191</v>
      </c>
      <c r="FU5" s="87" t="s">
        <v>110</v>
      </c>
      <c r="FV5" s="87" t="s">
        <v>135</v>
      </c>
      <c r="FW5" s="87" t="s">
        <v>136</v>
      </c>
      <c r="FX5" s="87" t="s">
        <v>275</v>
      </c>
      <c r="FY5" s="87" t="s">
        <v>275</v>
      </c>
      <c r="FZ5" s="87" t="s">
        <v>201</v>
      </c>
      <c r="GA5" s="86" t="s">
        <v>2</v>
      </c>
      <c r="GB5" s="86" t="s">
        <v>225</v>
      </c>
      <c r="GC5" s="422" t="s">
        <v>228</v>
      </c>
      <c r="GD5" s="60"/>
    </row>
    <row r="6" spans="1:186" ht="17.25" customHeight="1" x14ac:dyDescent="0.25">
      <c r="A6" s="60"/>
      <c r="B6" s="88" t="s">
        <v>4</v>
      </c>
      <c r="C6" s="88" t="s">
        <v>5</v>
      </c>
      <c r="D6" s="88" t="s">
        <v>6</v>
      </c>
      <c r="E6" s="88" t="s">
        <v>7</v>
      </c>
      <c r="F6" s="88" t="s">
        <v>8</v>
      </c>
      <c r="G6" s="88" t="s">
        <v>9</v>
      </c>
      <c r="H6" s="88" t="s">
        <v>10</v>
      </c>
      <c r="I6" s="89" t="s">
        <v>11</v>
      </c>
      <c r="J6" s="89" t="s">
        <v>12</v>
      </c>
      <c r="K6" s="88" t="s">
        <v>13</v>
      </c>
      <c r="L6" s="335">
        <f>IF(ENGLISH!E6="","",ENGLISH!E6)</f>
        <v>10</v>
      </c>
      <c r="M6" s="90">
        <f t="shared" ref="M6" si="1">IF(L6="","",ROUNDUP((L6/$L$6)*5,1))</f>
        <v>5</v>
      </c>
      <c r="N6" s="335">
        <f>IF(ENGLISH!F6="","",ENGLISH!F6)</f>
        <v>80</v>
      </c>
      <c r="O6" s="90">
        <f t="shared" ref="O6" si="2">IF(N6="","",ROUNDUP((N6/$N$6)*5,1))</f>
        <v>5</v>
      </c>
      <c r="P6" s="335">
        <f>IF(ENGLISH!G6="","",ENGLISH!G6)</f>
        <v>10</v>
      </c>
      <c r="Q6" s="335">
        <f t="shared" ref="Q6" si="3">IF(P6="","",ROUNDUP((P6/$P$6)*5,1))</f>
        <v>5</v>
      </c>
      <c r="R6" s="90">
        <f>IFERROR(LARGE((M6,O6,Q6),1),"")</f>
        <v>5</v>
      </c>
      <c r="S6" s="90">
        <f>IFERROR(LARGE((M6,O6,Q6),2),"")</f>
        <v>5</v>
      </c>
      <c r="T6" s="335">
        <f t="shared" ref="T6" si="4">IF(AND(R6="",S6=""),"",SUM(R6:S6)/2)</f>
        <v>5</v>
      </c>
      <c r="U6" s="90">
        <f>IF(ENGLISH!H6="","",ENGLISH!H6)</f>
        <v>5</v>
      </c>
      <c r="V6" s="335">
        <f>IF(ENGLISH!I6="","",ENGLISH!I6)</f>
        <v>5</v>
      </c>
      <c r="W6" s="335">
        <f>IF(ENGLISH!J6="","",ENGLISH!J6)</f>
        <v>5</v>
      </c>
      <c r="X6" s="335">
        <f t="shared" ref="X6" si="5">IF(AND(T6="",U6="",V6="",W6=""),"",SUM(T6:W6))</f>
        <v>20</v>
      </c>
      <c r="Y6" s="90">
        <f>IF(ENGLISH!K6="","",ENGLISH!K6)</f>
        <v>80</v>
      </c>
      <c r="Z6" s="90">
        <f t="shared" ref="Z6" si="6">IF(Y6="","",(Y6/$Y$6)*80)</f>
        <v>80</v>
      </c>
      <c r="AA6" s="335">
        <f>IF(AND(T6="",U6="",V6="",Z6="",W6=""),"",ROUNDUP(SUM(T6,U6,V6,Z6,W6)*100/SUM($T$6,$U$6,$V$6,$Z$6,$W$6),0))</f>
        <v>100</v>
      </c>
      <c r="AB6" s="335" t="str">
        <f t="shared" ref="AB6" si="7">IF(AA6="","",IF(AA6&lt;33,"E",IF(AND(AA6&gt;=33,AA6&lt;41),"D",IF(AND(AA6&gt;=41,AA6&lt;51),"C2",IF(AND(AA6&gt;=51,AA6&lt;61),"C1",IF(AND(AA6&gt;=61,AA6&lt;71),"B2",IF(AND(AA6&gt;=71,AA6&lt;81),"B1",IF(AND(AA6&gt;=81,AA6&lt;91),"A2",IF(AND(AA6&gt;=91,AA6&lt;=100),"A1")))))))))</f>
        <v>A1</v>
      </c>
      <c r="AC6" s="91">
        <f>IF(ENGLISH!O6="","",ENGLISH!O6)</f>
        <v>80</v>
      </c>
      <c r="AD6" s="91">
        <f>IF(AC6="","",(AC6*80/$AC$6))</f>
        <v>80</v>
      </c>
      <c r="AE6" s="91">
        <v>100</v>
      </c>
      <c r="AF6" s="91" t="str">
        <f>IF(AE6="","",IF(AE6&lt;33,"E",IF(AND(AE6&gt;=33,AE6&lt;41),"D",IF(AND(AE6&gt;=41,AE6&lt;51),"C2",IF(AND(AE6&gt;=51,AE6&lt;61),"C1",IF(AND(AE6&gt;=61,AE6&lt;71),"B2",IF(AND(AE6&gt;=71,AE6&lt;81),"B1",IF(AND(AE6&gt;=81,AE6&lt;91),"A2",IF(AND(AE6&gt;=91,AE6&lt;=100),"A1")))))))))</f>
        <v>A1</v>
      </c>
      <c r="AG6" s="335"/>
      <c r="AH6" s="335">
        <f>IF('HINDI-SKT'!F6="","",'HINDI-SKT'!F6)</f>
        <v>10</v>
      </c>
      <c r="AI6" s="90">
        <f>IF(AH6="","",ROUNDUP((AH6/$AH$6)*5,1))</f>
        <v>5</v>
      </c>
      <c r="AJ6" s="335">
        <f>IF('HINDI-SKT'!G6="","",'HINDI-SKT'!G6)</f>
        <v>80</v>
      </c>
      <c r="AK6" s="90">
        <f>IF(AJ6="","",ROUNDUP((AJ6/$AJ$6)*5,1))</f>
        <v>5</v>
      </c>
      <c r="AL6" s="335">
        <f>IF('HINDI-SKT'!H6="","",'HINDI-SKT'!H6)</f>
        <v>10</v>
      </c>
      <c r="AM6" s="335">
        <f>IF(AL6="","",ROUNDUP((AL6/$AL$6)*5,1))</f>
        <v>5</v>
      </c>
      <c r="AN6" s="90">
        <f>IFERROR(LARGE((AI6,AK6,AM6),1),"")</f>
        <v>5</v>
      </c>
      <c r="AO6" s="90">
        <f>IFERROR(LARGE((AI6,AK6,AM6),2),"")</f>
        <v>5</v>
      </c>
      <c r="AP6" s="335">
        <f>IF(AND(AN6="",AO6=""),"",SUM(AN6:AO6)/2)</f>
        <v>5</v>
      </c>
      <c r="AQ6" s="90">
        <f>IF('HINDI-SKT'!I6="","",'HINDI-SKT'!I6)</f>
        <v>5</v>
      </c>
      <c r="AR6" s="335">
        <f>IF('HINDI-SKT'!J6="","",'HINDI-SKT'!J6)</f>
        <v>5</v>
      </c>
      <c r="AS6" s="335">
        <f>IF('HINDI-SKT'!K6="","",'HINDI-SKT'!K6)</f>
        <v>5</v>
      </c>
      <c r="AT6" s="335">
        <f>IF(AND(AP6="",AQ6="",AR6="",AS6=""),"",SUM(AP6:AS6))</f>
        <v>20</v>
      </c>
      <c r="AU6" s="335">
        <f>IF('HINDI-SKT'!L6="","",'HINDI-SKT'!L6)</f>
        <v>80</v>
      </c>
      <c r="AV6" s="90">
        <f>IF(AU6="","",(AU6/$AU$6)*80)</f>
        <v>80</v>
      </c>
      <c r="AW6" s="335">
        <f>IF(AND(AP6="",AQ6="",AR6="",AV6="",AS6),"",ROUNDUP(SUM(AP6,AQ6,AR6,AV6,AS6),0))</f>
        <v>100</v>
      </c>
      <c r="AX6" s="335" t="str">
        <f>IF(AW6="","",IF(AW6&lt;33,"E",IF(AND(AW6&gt;=33,AW6&lt;41),"D",IF(AND(AW6&gt;=41,AW6&lt;51),"C2",IF(AND(AW6&gt;=51,AW6&lt;61),"C1",IF(AND(AW6&gt;=61,AW6&lt;71),"B2",IF(AND(AW6&gt;=71,AW6&lt;81),"B1",IF(AND(AW6&gt;=81,AW6&lt;91),"A2",IF(AND(AW6&gt;=91,AW6&lt;=100),"A1")))))))))</f>
        <v>A1</v>
      </c>
      <c r="AY6" s="91">
        <f>IF('HINDI-SKT'!P6="","",'HINDI-SKT'!P6)</f>
        <v>80</v>
      </c>
      <c r="AZ6" s="91">
        <f>IF(AY6="","",(AY6*80/$AY$6))</f>
        <v>80</v>
      </c>
      <c r="BA6" s="91">
        <v>100</v>
      </c>
      <c r="BB6" s="91" t="str">
        <f>IF(BA6="","",IF(BA6&lt;33,"E",IF(AND(BA6&gt;=33,BA6&lt;41),"D",IF(AND(BA6&gt;=41,BA6&lt;51),"C2",IF(AND(BA6&gt;=51,BA6&lt;61),"C1",IF(AND(BA6&gt;=61,BA6&lt;71),"B2",IF(AND(BA6&gt;=71,BA6&lt;81),"B1",IF(AND(BA6&gt;=81,BA6&lt;91),"A2",IF(AND(BA6&gt;=91,BA6&lt;=100),"A1")))))))))</f>
        <v>A1</v>
      </c>
      <c r="BC6" s="335">
        <f>IF(MATHS!E6="","",MATHS!E6)</f>
        <v>10</v>
      </c>
      <c r="BD6" s="90">
        <f>IF(BC6="","",ROUNDUP((BC6/$BC$6)*5,1))</f>
        <v>5</v>
      </c>
      <c r="BE6" s="335">
        <f>IF(MATHS!F6="","",MATHS!F6)</f>
        <v>80</v>
      </c>
      <c r="BF6" s="90">
        <f>IF(BE6="","",ROUNDUP((BE6/$BE$6)*5,1))</f>
        <v>5</v>
      </c>
      <c r="BG6" s="335">
        <f>IF(MATHS!G6="","",MATHS!G6)</f>
        <v>10</v>
      </c>
      <c r="BH6" s="335">
        <f>IF(BG6="","",ROUNDUP((BG6/$BG$6)*5,1))</f>
        <v>5</v>
      </c>
      <c r="BI6" s="90">
        <f>IFERROR(LARGE((BD6,BF6,BH6),1),"")</f>
        <v>5</v>
      </c>
      <c r="BJ6" s="90">
        <f>IFERROR(LARGE((BD6,BF6,BH6),2),"")</f>
        <v>5</v>
      </c>
      <c r="BK6" s="335">
        <f>IF(AND(BI6="",BJ6=""),"",SUM(BI6:BJ6)/2)</f>
        <v>5</v>
      </c>
      <c r="BL6" s="90">
        <f>IF(MATHS!H6="","",MATHS!H6)</f>
        <v>5</v>
      </c>
      <c r="BM6" s="335">
        <f>IF(MATHS!I6="","",MATHS!I6)</f>
        <v>5</v>
      </c>
      <c r="BN6" s="335">
        <f>IF(MATHS!J6="","",MATHS!J6)</f>
        <v>5</v>
      </c>
      <c r="BO6" s="335">
        <f>IF(AND(BJ6="",BK6="",BL6="",BM6=""),"",SUM(BJ6:BM6))</f>
        <v>20</v>
      </c>
      <c r="BP6" s="335">
        <f>IF(MATHS!K6="","",MATHS!K6)</f>
        <v>80</v>
      </c>
      <c r="BQ6" s="90">
        <f>IF(BP6="","",(BP6/$BP$6)*80)</f>
        <v>80</v>
      </c>
      <c r="BR6" s="335">
        <f t="shared" ref="BR6" si="8">IF(AND(BK6="",BL6="",BM6="",BN6="",BQ6=""),"",ROUNDUP(SUM(BK6,BL6,BM6,BN6,BQ6),0))</f>
        <v>100</v>
      </c>
      <c r="BS6" s="335" t="str">
        <f>IF(BR6="","",IF(BR6&lt;33,"E",IF(AND(BR6&gt;=33,BR6&lt;41),"D",IF(AND(BR6&gt;=41,BR6&lt;51),"C2",IF(AND(BR6&gt;=51,BR6&lt;61),"C1",IF(AND(BR6&gt;=61,BR6&lt;71),"B2",IF(AND(BR6&gt;=71,BR6&lt;81),"B1",IF(AND(BR6&gt;=81,BR6&lt;91),"A2",IF(AND(BR6&gt;=91,BR6&lt;=100),"A1")))))))))</f>
        <v>A1</v>
      </c>
      <c r="BT6" s="91">
        <f>IF(MATHS!O6="","",MATHS!O6)</f>
        <v>80</v>
      </c>
      <c r="BU6" s="91">
        <f>IF(BT6="","",(BT6*80/$BT$6))</f>
        <v>80</v>
      </c>
      <c r="BV6" s="91">
        <v>100</v>
      </c>
      <c r="BW6" s="91" t="str">
        <f>IF(BV6="","",IF(BV6&lt;33,"E",IF(AND(BV6&gt;=33,BV6&lt;41),"D",IF(AND(BV6&gt;=41,BV6&lt;51),"C2",IF(AND(BV6&gt;=51,BV6&lt;61),"C1",IF(AND(BV6&gt;=61,BV6&lt;71),"B2",IF(AND(BV6&gt;=71,BV6&lt;81),"B1",IF(AND(BV6&gt;=81,BV6&lt;91),"A2",IF(AND(BV6&gt;=91,BV6&lt;=100),"A1")))))))))</f>
        <v>A1</v>
      </c>
      <c r="BX6" s="335">
        <f>IF(SCIENCE!E6="","",SCIENCE!E6)</f>
        <v>10</v>
      </c>
      <c r="BY6" s="90">
        <f>IF(BX6="","",ROUNDUP((BX6/$BX$6)*5,1))</f>
        <v>5</v>
      </c>
      <c r="BZ6" s="335">
        <f>IF(SCIENCE!F6="","",SCIENCE!F6)</f>
        <v>80</v>
      </c>
      <c r="CA6" s="90">
        <f>IF(BZ6="","",ROUNDUP((BZ6/$BZ$6)*5,1))</f>
        <v>5</v>
      </c>
      <c r="CB6" s="335">
        <f>IF(SCIENCE!G6="","",SCIENCE!G6)</f>
        <v>10</v>
      </c>
      <c r="CC6" s="335">
        <f>IF(CB6="","",ROUNDUP((CB6/$CB$6)*5,1))</f>
        <v>5</v>
      </c>
      <c r="CD6" s="90">
        <f>IFERROR(LARGE((BY6,CA6,CC6),1),"")</f>
        <v>5</v>
      </c>
      <c r="CE6" s="90">
        <f>IFERROR(LARGE((BY6,CA6,CC6),2),"")</f>
        <v>5</v>
      </c>
      <c r="CF6" s="335">
        <f>IF(AND(CD6="",CE6=""),"",SUM(CD6:CE6)/2)</f>
        <v>5</v>
      </c>
      <c r="CG6" s="90">
        <f>IF(SCIENCE!H6="","",SCIENCE!H6)</f>
        <v>5</v>
      </c>
      <c r="CH6" s="90">
        <f>IF(SCIENCE!I6="","",SCIENCE!I6)</f>
        <v>5</v>
      </c>
      <c r="CI6" s="90">
        <f>IF(SCIENCE!J6="","",SCIENCE!J6)</f>
        <v>5</v>
      </c>
      <c r="CJ6" s="90">
        <f>IF(AND(CF6="",CG6="",CH6="",CI6=""),"",SUM(CF6:CI6))</f>
        <v>20</v>
      </c>
      <c r="CK6" s="90">
        <f>IF(SCIENCE!K6="","",SCIENCE!K6)</f>
        <v>80</v>
      </c>
      <c r="CL6" s="90">
        <f>IF(CK6="","",(CK6/$CK$6)*80)</f>
        <v>80</v>
      </c>
      <c r="CM6" s="335">
        <f>IF(AND(CF6="",CG6="",CH6="",CI6="",CL6=""),"",ROUNDUP(SUM(CF6,CG6,CH6,CI6,CL6),0))</f>
        <v>100</v>
      </c>
      <c r="CN6" s="335" t="str">
        <f>IF(CM6="","",IF(CM6&lt;33,"E",IF(AND(CM6&gt;=33,CM6&lt;41),"D",IF(AND(CM6&gt;=41,CM6&lt;51),"C2",IF(AND(CM6&gt;=51,CM6&lt;61),"C1",IF(AND(CM6&gt;=61,CM6&lt;71),"B2",IF(AND(CM6&gt;=71,CM6&lt;81),"B1",IF(AND(CM6&gt;=81,CM6&lt;91),"A2",IF(AND(CM6&gt;=91,CM6&lt;=100),"A1")))))))))</f>
        <v>A1</v>
      </c>
      <c r="CO6" s="91">
        <f>IF(SCIENCE!O6="","",SCIENCE!O6)</f>
        <v>80</v>
      </c>
      <c r="CP6" s="91">
        <f>IF(CO6="","",(CO6*80/$CO$6))</f>
        <v>80</v>
      </c>
      <c r="CQ6" s="91">
        <v>100</v>
      </c>
      <c r="CR6" s="91" t="str">
        <f>IF(CQ6="","",IF(CQ6&lt;33,"E",IF(AND(CQ6&gt;=33,CQ6&lt;41),"D",IF(AND(CQ6&gt;=41,CQ6&lt;51),"C2",IF(AND(CQ6&gt;=51,CQ6&lt;61),"C1",IF(AND(CQ6&gt;=61,CQ6&lt;71),"B2",IF(AND(CQ6&gt;=71,CQ6&lt;81),"B1",IF(AND(CQ6&gt;=81,CQ6&lt;91),"A2",IF(AND(CQ6&gt;=91,CQ6&lt;=100),"A1")))))))))</f>
        <v>A1</v>
      </c>
      <c r="CS6" s="335">
        <f>IF(SST!E6="","",SST!E6)</f>
        <v>10</v>
      </c>
      <c r="CT6" s="90">
        <f>IF(CS6="","",ROUNDUP((CS6/$CS$6)*5,1))</f>
        <v>5</v>
      </c>
      <c r="CU6" s="335">
        <f>IF(SST!F6="","",SST!F6)</f>
        <v>80</v>
      </c>
      <c r="CV6" s="90">
        <f>IF(CU6="","",ROUNDUP((CU6/$CU$6)*5,1))</f>
        <v>5</v>
      </c>
      <c r="CW6" s="335">
        <f>IF(SST!G6="","",SST!G6)</f>
        <v>10</v>
      </c>
      <c r="CX6" s="335">
        <f>IF(CW6="","",ROUNDUP((CW6/$CW$6)*5,1))</f>
        <v>5</v>
      </c>
      <c r="CY6" s="90">
        <f>IFERROR(LARGE((CT6,CV6,CX6),1),"")</f>
        <v>5</v>
      </c>
      <c r="CZ6" s="90">
        <f>IFERROR(LARGE((CT6,CV6,CX6),2),"")</f>
        <v>5</v>
      </c>
      <c r="DA6" s="335">
        <f>IF(AND(CY6="",CZ6=""),"",SUM(CY6:CZ6)/2)</f>
        <v>5</v>
      </c>
      <c r="DB6" s="90">
        <f>IF(SST!H6="","",SST!H6)</f>
        <v>5</v>
      </c>
      <c r="DC6" s="90">
        <f>IF(SST!I6="","",SST!I6)</f>
        <v>5</v>
      </c>
      <c r="DD6" s="90">
        <f>IF(SST!J6="","",SST!J6)</f>
        <v>5</v>
      </c>
      <c r="DE6" s="90">
        <f>IF(AND(DA6="",DB6="",DC6="",DD6=""),"",SUM(DA6:DD6))</f>
        <v>20</v>
      </c>
      <c r="DF6" s="90">
        <f>IF(SST!K6="","",SST!K6)</f>
        <v>80</v>
      </c>
      <c r="DG6" s="90">
        <f>IF(DF6="","",(DF6/$DF$6)*80)</f>
        <v>80</v>
      </c>
      <c r="DH6" s="335">
        <f>IF(AND(DA6="",DB6="",DD6="",DC6="",DG6=""),"",ROUNDUP(SUM(DA6,DB6,DD6,DC6,DG6),0))</f>
        <v>100</v>
      </c>
      <c r="DI6" s="335" t="str">
        <f>IF(DH6="","",IF(DH6&lt;33,"E",IF(AND(DH6&gt;=33,DH6&lt;41),"D",IF(AND(DH6&gt;=41,DH6&lt;51),"C2",IF(AND(DH6&gt;=51,DH6&lt;61),"C1",IF(AND(DH6&gt;=61,DH6&lt;71),"B2",IF(AND(DH6&gt;=71,DH6&lt;81),"B1",IF(AND(DH6&gt;=81,DH6&lt;91),"A2",IF(AND(DH6&gt;=91,DH6&lt;=100),"A1")))))))))</f>
        <v>A1</v>
      </c>
      <c r="DJ6" s="91">
        <f>IF(SST!O6="","",SST!O6)</f>
        <v>80</v>
      </c>
      <c r="DK6" s="91">
        <f>IF(DJ6="","",(DJ6*80/$DJ$6))</f>
        <v>80</v>
      </c>
      <c r="DL6" s="91">
        <v>100</v>
      </c>
      <c r="DM6" s="91" t="str">
        <f>IF(DL6="","",IF(DL6&lt;33,"E",IF(AND(DL6&gt;=33,DL6&lt;41),"D",IF(AND(DL6&gt;=41,DL6&lt;51),"C2",IF(AND(DL6&gt;=51,DL6&lt;61),"C1",IF(AND(DL6&gt;=61,DL6&lt;71),"B2",IF(AND(DL6&gt;=71,DL6&lt;81),"B1",IF(AND(DL6&gt;=81,DL6&lt;91),"A2",IF(AND(DL6&gt;=91,DL6&lt;=100),"A1")))))))))</f>
        <v>A1</v>
      </c>
      <c r="DN6" s="91"/>
      <c r="DO6" s="335"/>
      <c r="DP6" s="335">
        <f>IF(VOCATIONAL!F6="","",VOCATIONAL!F6)</f>
        <v>50</v>
      </c>
      <c r="DQ6" s="335">
        <f>IF(VOCATIONAL!G6="","",VOCATIONAL!G6)</f>
        <v>50</v>
      </c>
      <c r="DR6" s="335">
        <f>IF(AND(DP6="",DQ6=""),"",ROUNDUP(SUM(DP6,DQ6),0))</f>
        <v>100</v>
      </c>
      <c r="DS6" s="335" t="str">
        <f>IF(DR6="","",IF(DR6&lt;33,"E",IF(AND(DR6&gt;=33,DR6&lt;41),"D",IF(AND(DR6&gt;=41,DR6&lt;51),"C2",IF(AND(DR6&gt;=51,DR6&lt;61),"C1",IF(AND(DR6&gt;=61,DR6&lt;71),"B2",IF(AND(DR6&gt;=71,DR6&lt;81),"B1",IF(AND(DR6&gt;=81,DR6&lt;91),"A2",IF(AND(DR6&gt;=91,DR6&lt;=100),"A1")))))))))</f>
        <v>A1</v>
      </c>
      <c r="DT6" s="335" t="str">
        <f>IF(VOCATIONAL!K6="","",VOCATIONAL!K6)</f>
        <v/>
      </c>
      <c r="DU6" s="335">
        <f>IF(AND(DP6="",DT6=""),"",ROUNDUP(SUM(DP6,DT6),0))</f>
        <v>50</v>
      </c>
      <c r="DV6" s="335" t="str">
        <f>IF(DU6="","",IF(DU6&lt;33,"E",IF(AND(DU6&gt;=33,DU6&lt;41),"D",IF(AND(DU6&gt;=41,DU6&lt;51),"C2",IF(AND(DU6&gt;=51,DU6&lt;61),"C1",IF(AND(DU6&gt;=61,DU6&lt;71),"B2",IF(AND(DU6&gt;=71,DU6&lt;81),"B1",IF(AND(DU6&gt;=81,DU6&lt;91),"A2",IF(AND(DU6&gt;=91,DU6&lt;=100),"A1")))))))))</f>
        <v>C2</v>
      </c>
      <c r="DW6" s="91"/>
      <c r="DX6" s="336">
        <f>IF(AA6="","",AA6)</f>
        <v>100</v>
      </c>
      <c r="DY6" s="336">
        <f>IF(AW6="","",AW6)</f>
        <v>100</v>
      </c>
      <c r="DZ6" s="336">
        <f>IF(BR6="","",BR6)</f>
        <v>100</v>
      </c>
      <c r="EA6" s="336">
        <f>IF(CM6="","",CM6)</f>
        <v>100</v>
      </c>
      <c r="EB6" s="336">
        <f>IF(DH6="","",DH6)</f>
        <v>100</v>
      </c>
      <c r="EC6" s="336">
        <f>IF(DR6="","",DR6)</f>
        <v>100</v>
      </c>
      <c r="ED6" s="336">
        <f>IF(AE6="","",AE6)</f>
        <v>100</v>
      </c>
      <c r="EE6" s="336">
        <f>IF(BA6="","",BA6)</f>
        <v>100</v>
      </c>
      <c r="EF6" s="336">
        <f>IF(BV6="","",BV6)</f>
        <v>100</v>
      </c>
      <c r="EG6" s="336">
        <f>IF(CQ6="","",CQ6)</f>
        <v>100</v>
      </c>
      <c r="EH6" s="336">
        <f>IF(DL6="","",DL6)</f>
        <v>100</v>
      </c>
      <c r="EI6" s="336">
        <f>IF(DU6="","",DU6)</f>
        <v>50</v>
      </c>
      <c r="EJ6" s="993" t="s">
        <v>156</v>
      </c>
      <c r="EK6" s="994"/>
      <c r="EL6" s="994"/>
      <c r="EM6" s="994"/>
      <c r="EN6" s="994"/>
      <c r="EO6" s="995"/>
      <c r="EP6" s="993" t="s">
        <v>157</v>
      </c>
      <c r="EQ6" s="994"/>
      <c r="ER6" s="994"/>
      <c r="ES6" s="994"/>
      <c r="ET6" s="994"/>
      <c r="EU6" s="995"/>
      <c r="EV6" s="92">
        <f>IF(DX6="","",DX6)</f>
        <v>100</v>
      </c>
      <c r="EW6" s="92">
        <f>IF(DY6="","",DY6)</f>
        <v>100</v>
      </c>
      <c r="EX6" s="92">
        <f>IF(DZ6&lt;33,"",DZ6)</f>
        <v>100</v>
      </c>
      <c r="EY6" s="92">
        <f>IF(AND(DZ6&gt;=33,EA6&lt;33),"",EA6)</f>
        <v>100</v>
      </c>
      <c r="EZ6" s="92">
        <f>IF(AND(DZ6&gt;=33,EA6&gt;=33,EB6&lt;33),"",EB6)</f>
        <v>100</v>
      </c>
      <c r="FA6" s="92">
        <f>IF(AND(DZ6&gt;=33,EA6&gt;=33,EB6&gt;=33,EC6&lt;33),"",EC6)</f>
        <v>100</v>
      </c>
      <c r="FB6" s="93">
        <f>IF(AND(EV6&lt;33,$FJ$7="COMPARTMENT"),ED6,DX6)</f>
        <v>100</v>
      </c>
      <c r="FC6" s="93">
        <f>IF(AND(EW6&lt;33,$FJ$7="COMPARTMENT"),EE6,DY6)</f>
        <v>100</v>
      </c>
      <c r="FD6" s="93">
        <f>IF(EX6="","",IF(AND(EX6&lt;33,$FJ$7="COMPARTMENT"),EF6,DZ6))</f>
        <v>100</v>
      </c>
      <c r="FE6" s="93">
        <f>IF(EY6="","",IF(AND(EY6&lt;33,$FJ$7="COMPARTMENT"),EG6,EA6))</f>
        <v>100</v>
      </c>
      <c r="FF6" s="93">
        <f>IF(EZ6="","",IF(AND(EZ6&lt;33,$FJ$7="COMPARTMENT"),EH6,EB6))</f>
        <v>100</v>
      </c>
      <c r="FG6" s="364">
        <f>IF(FA6="","",IF(AND(FA6&lt;33,$FJ$7="COMPARTMENT"),EI6,EC6))</f>
        <v>100</v>
      </c>
      <c r="FH6" s="984" t="s">
        <v>156</v>
      </c>
      <c r="FI6" s="985"/>
      <c r="FJ6" s="90" t="s">
        <v>273</v>
      </c>
      <c r="FK6" s="90" t="s">
        <v>274</v>
      </c>
      <c r="FL6" s="90"/>
      <c r="FM6" s="90"/>
      <c r="FN6" s="94">
        <f>IF(C6="","",SUM(EV6:EZ6))</f>
        <v>500</v>
      </c>
      <c r="FO6" s="94">
        <f>IF(C6="","",SUM(FB6:FF6))</f>
        <v>500</v>
      </c>
      <c r="FP6" s="94">
        <f>ROUND(FN6,0)</f>
        <v>500</v>
      </c>
      <c r="FQ6" s="94">
        <f>ROUND(FO6,0)</f>
        <v>500</v>
      </c>
      <c r="FR6" s="95">
        <v>1</v>
      </c>
      <c r="FS6" s="95"/>
      <c r="FT6" s="91" t="str">
        <f>IF(FS6="","",IF(FS6&lt;33,"E",IF(AND(FS6&gt;=33,FS6&lt;41),"D",IF(AND(FS6&gt;=41,FS6&lt;51),"C2",IF(AND(FS6&gt;=51,FS6&lt;61),"C1",IF(AND(FS6&gt;=61,FS6&lt;71),"B2",IF(AND(FS6&gt;=71,FS6&lt;81),"B1",IF(AND(FS6&gt;=81,FS6&lt;91),"A2",IF(AND(FS6&gt;=91,FS6&lt;=100),"A1")))))))))</f>
        <v/>
      </c>
      <c r="FU6" s="95"/>
      <c r="FV6" s="90">
        <f>IF(ATTENDANCE!Q7="","",ATTENDANCE!Q7)</f>
        <v>200</v>
      </c>
      <c r="FW6" s="90" t="str">
        <f>IF(FV6="","",ROUND((FV6*100/$FV$6),0)&amp;" %")</f>
        <v>100 %</v>
      </c>
      <c r="FX6" s="90"/>
      <c r="FY6" s="90"/>
      <c r="FZ6" s="335"/>
      <c r="GA6" s="90"/>
      <c r="GB6" s="335"/>
      <c r="GC6" s="335"/>
      <c r="GD6" s="60"/>
    </row>
    <row r="7" spans="1:186" ht="15" customHeight="1" x14ac:dyDescent="0.25">
      <c r="A7" s="60"/>
      <c r="B7" s="96">
        <f>IF(DATA!B5="","",DATA!B5)</f>
        <v>1</v>
      </c>
      <c r="C7" s="96">
        <f>IF(DATA!C5="","",DATA!C5)</f>
        <v>901</v>
      </c>
      <c r="D7" s="96">
        <f>IF(DATA!D5="","",DATA!D5)</f>
        <v>974</v>
      </c>
      <c r="E7" s="303" t="str">
        <f>IF(DATA!E5="","",DATA!E5)</f>
        <v>ARTI PRAJAPAT</v>
      </c>
      <c r="F7" s="303" t="str">
        <f>IF(DATA!F5="","",DATA!F5)</f>
        <v>MR PRABHU LAL</v>
      </c>
      <c r="G7" s="303" t="str">
        <f>IF(DATA!G5="","",DATA!G5)</f>
        <v>MRS PREM DEVI</v>
      </c>
      <c r="H7" s="98">
        <f>IF(DATA!H5="","",DATA!H5)</f>
        <v>40203</v>
      </c>
      <c r="I7" s="97" t="str">
        <f>IF(DATA!I5="","",DATA!I5)</f>
        <v>GIRL</v>
      </c>
      <c r="J7" s="97" t="str">
        <f>IF(DATA!J5="","",DATA!J5)</f>
        <v>OBC</v>
      </c>
      <c r="K7" s="97" t="str">
        <f>IF(DATA!K5="","",DATA!K5)</f>
        <v/>
      </c>
      <c r="L7" s="99">
        <f>IF(ENGLISH!E7="","",ENGLISH!E7)</f>
        <v>0</v>
      </c>
      <c r="M7" s="100">
        <f t="shared" ref="M7" si="9">IF(L7="","",ROUNDUP((L7/$L$6)*5,1))</f>
        <v>0</v>
      </c>
      <c r="N7" s="99">
        <f>IF(ENGLISH!F7="","",ENGLISH!F7)</f>
        <v>22</v>
      </c>
      <c r="O7" s="100">
        <f t="shared" ref="O7" si="10">IF(N7="","",ROUNDUP((N7/$N$6)*5,1))</f>
        <v>1.4000000000000001</v>
      </c>
      <c r="P7" s="99">
        <f>IF(ENGLISH!G7="","",ENGLISH!G7)</f>
        <v>7</v>
      </c>
      <c r="Q7" s="99">
        <f t="shared" ref="Q7" si="11">IF(P7="","",ROUNDUP((P7/$P$6)*5,1))</f>
        <v>3.5</v>
      </c>
      <c r="R7" s="100">
        <f>IFERROR(LARGE((M7,O7,Q7),1),"")</f>
        <v>3.5</v>
      </c>
      <c r="S7" s="100">
        <f>IFERROR(LARGE((M7,O7,Q7),2),"")</f>
        <v>1.4000000000000001</v>
      </c>
      <c r="T7" s="99">
        <f t="shared" ref="T7" si="12">IF(AND(R7="",S7=""),"",SUM(R7:S7)/2)</f>
        <v>2.4500000000000002</v>
      </c>
      <c r="U7" s="100">
        <f>IF(ENGLISH!H7="","",ENGLISH!H7)</f>
        <v>5</v>
      </c>
      <c r="V7" s="99">
        <f>IF(ENGLISH!I7="","",ENGLISH!I7)</f>
        <v>5</v>
      </c>
      <c r="W7" s="99">
        <f>IF(ENGLISH!J7="","",ENGLISH!J7)</f>
        <v>5</v>
      </c>
      <c r="X7" s="99">
        <f t="shared" ref="X7" si="13">IF(AND(T7="",U7="",V7="",W7=""),"",SUM(T7:W7))</f>
        <v>17.45</v>
      </c>
      <c r="Y7" s="100">
        <f>IF(ENGLISH!K7="","",ENGLISH!K7)</f>
        <v>50</v>
      </c>
      <c r="Z7" s="100">
        <f t="shared" ref="Z7" si="14">IF(Y7="","",(Y7/$Y$6)*80)</f>
        <v>50</v>
      </c>
      <c r="AA7" s="101">
        <f>IF(C7="TC","",IF(AND(T7="",U7="",V7="",Z7="",W7=""),"",ROUNDUP(SUM(T7,U7,V7,Z7,W7)*100/SUM($T$6,$U$6,$V$6,$Z$6,$W$6),0)))</f>
        <v>68</v>
      </c>
      <c r="AB7" s="99" t="str">
        <f t="shared" ref="AB7:AB112" si="15">IF(AA7="","",IF(AA7&lt;33,"E",IF(AND(AA7&gt;=33,AA7&lt;41),"D",IF(AND(AA7&gt;=41,AA7&lt;51),"C2",IF(AND(AA7&gt;=51,AA7&lt;61),"C1",IF(AND(AA7&gt;=61,AA7&lt;71),"B2",IF(AND(AA7&gt;=71,AA7&lt;81),"B1",IF(AND(AA7&gt;=81,AA7&lt;91),"A2",IF(AND(AA7&gt;=91,AA7&lt;=100),"A1")))))))))</f>
        <v>B2</v>
      </c>
      <c r="AC7" s="99" t="str">
        <f>IF(ENGLISH!O7="","",ENGLISH!O7)</f>
        <v/>
      </c>
      <c r="AD7" s="99" t="str">
        <f>IF(AC7="","",(AC7*80/$AC$6))</f>
        <v/>
      </c>
      <c r="AE7" s="99" t="str">
        <f>IF(AC7="","",IF(AB7="E",ROUNDUP(SUM(X7,AD7),0),""))</f>
        <v/>
      </c>
      <c r="AF7" s="99" t="str">
        <f>IF(AE7="","",IF(AE7&lt;33,"E",IF(AND(AE7&gt;=33,AE7&lt;41),"D",IF(AND(AE7&gt;=41,AE7&lt;51),"C2",IF(AND(AE7&gt;=51,AE7&lt;61),"C1",IF(AND(AE7&gt;=61,AE7&lt;71),"B2",IF(AND(AE7&gt;=71,AE7&lt;81),"B1",IF(AND(AE7&gt;=81,AE7&lt;91),"A2",IF(AND(AE7&gt;=91,AE7&lt;=100),"A1")))))))))</f>
        <v/>
      </c>
      <c r="AG7" s="102" t="str">
        <f>IF(C7="","",VLOOKUP(C7,'HINDI-SKT'!$D$7:$E$51,2,0))</f>
        <v>HINDI</v>
      </c>
      <c r="AH7" s="102">
        <f>IF('HINDI-SKT'!F7="","",'HINDI-SKT'!F7)</f>
        <v>0</v>
      </c>
      <c r="AI7" s="103">
        <f t="shared" ref="AI7:AI49" si="16">IF(AH7="","",ROUNDUP((AH7/$AH$6)*5,1))</f>
        <v>0</v>
      </c>
      <c r="AJ7" s="102">
        <f>IF('HINDI-SKT'!G7="","",'HINDI-SKT'!G7)</f>
        <v>38</v>
      </c>
      <c r="AK7" s="103">
        <f t="shared" ref="AK7:AK49" si="17">IF(AJ7="","",ROUNDUP((AJ7/$AJ$6)*5,1))</f>
        <v>2.4</v>
      </c>
      <c r="AL7" s="102">
        <f>IF('HINDI-SKT'!H7="","",'HINDI-SKT'!H7)</f>
        <v>9</v>
      </c>
      <c r="AM7" s="102">
        <f t="shared" ref="AM7:AM49" si="18">IF(AL7="","",ROUNDUP((AL7/$AL$6)*5,1))</f>
        <v>4.5</v>
      </c>
      <c r="AN7" s="103">
        <f>IFERROR(LARGE((AI7,AK7,AM7),1),"")</f>
        <v>4.5</v>
      </c>
      <c r="AO7" s="103">
        <f>IFERROR(LARGE((AI7,AK7,AM7),2),"")</f>
        <v>2.4</v>
      </c>
      <c r="AP7" s="102">
        <f t="shared" ref="AP7:AP49" si="19">IF(AND(AN7="",AO7=""),"",SUM(AN7:AO7)/2)</f>
        <v>3.45</v>
      </c>
      <c r="AQ7" s="103">
        <f>IF('HINDI-SKT'!I7="","",'HINDI-SKT'!I7)</f>
        <v>5</v>
      </c>
      <c r="AR7" s="102">
        <f>IF('HINDI-SKT'!J7="","",'HINDI-SKT'!J7)</f>
        <v>5</v>
      </c>
      <c r="AS7" s="102">
        <f>IF('HINDI-SKT'!K7="","",'HINDI-SKT'!K7)</f>
        <v>5</v>
      </c>
      <c r="AT7" s="102">
        <f>IF(C7="TC","",IF(AND(AP7="",AQ7="",AR7="",AS7=""),"",SUM(AP7:AS7)))</f>
        <v>18.45</v>
      </c>
      <c r="AU7" s="102">
        <f>IF('HINDI-SKT'!L7="","",'HINDI-SKT'!L7)</f>
        <v>25</v>
      </c>
      <c r="AV7" s="103">
        <f t="shared" ref="AV7" si="20">IF(AU7="","",(AU7/$AU$6)*80)</f>
        <v>25</v>
      </c>
      <c r="AW7" s="102">
        <f>IF(C7="TC","",IF(AND(AP7="",AQ7="",AR7="",AV7="",AS7),"",ROUNDUP(SUM(AP7,AQ7,AR7,AV7,AS7),0)))</f>
        <v>44</v>
      </c>
      <c r="AX7" s="102" t="str">
        <f t="shared" ref="AX7" si="21">IF(AW7="","",IF(AW7&lt;33,"E",IF(AND(AW7&gt;=33,AW7&lt;41),"D",IF(AND(AW7&gt;=41,AW7&lt;51),"C2",IF(AND(AW7&gt;=51,AW7&lt;61),"C1",IF(AND(AW7&gt;=61,AW7&lt;71),"B2",IF(AND(AW7&gt;=71,AW7&lt;81),"B1",IF(AND(AW7&gt;=81,AW7&lt;91),"A2",IF(AND(AW7&gt;=91,AW7&lt;=100),"A1")))))))))</f>
        <v>C2</v>
      </c>
      <c r="AY7" s="102" t="str">
        <f>IF('HINDI-SKT'!P7="","",'HINDI-SKT'!P7)</f>
        <v/>
      </c>
      <c r="AZ7" s="102" t="str">
        <f>IF(AY7="","",(AY7*80/$AY$6))</f>
        <v/>
      </c>
      <c r="BA7" s="102" t="str">
        <f>IF(AY7="","",IF(AX7="E",ROUNDUP(SUM(AT7,AZ7),0),""))</f>
        <v/>
      </c>
      <c r="BB7" s="102" t="str">
        <f>IF(BA7="","",IF(BA7&lt;33,"E",IF(AND(BA7&gt;=33,BA7&lt;41),"D",IF(AND(BA7&gt;=41,BA7&lt;51),"C2",IF(AND(BA7&gt;=51,BA7&lt;61),"C1",IF(AND(BA7&gt;=61,BA7&lt;71),"B2",IF(AND(BA7&gt;=71,BA7&lt;81),"B1",IF(AND(BA7&gt;=81,BA7&lt;91),"A2",IF(AND(BA7&gt;=91,BA7&lt;=100),"A1")))))))))</f>
        <v/>
      </c>
      <c r="BC7" s="99">
        <f>IF(MATHS!E7="","",MATHS!E7)</f>
        <v>0</v>
      </c>
      <c r="BD7" s="100">
        <f t="shared" ref="BD7:BD49" si="22">IF(BC7="","",ROUNDUP((BC7/$BC$6)*5,1))</f>
        <v>0</v>
      </c>
      <c r="BE7" s="99">
        <f>IF(MATHS!F7="","",MATHS!F7)</f>
        <v>20</v>
      </c>
      <c r="BF7" s="100">
        <f t="shared" ref="BF7:BF49" si="23">IF(BE7="","",ROUNDUP((BE7/$BE$6)*5,1))</f>
        <v>1.3</v>
      </c>
      <c r="BG7" s="99">
        <f>IF(MATHS!G7="","",MATHS!G7)</f>
        <v>7</v>
      </c>
      <c r="BH7" s="99">
        <f t="shared" ref="BH7:BH49" si="24">IF(BG7="","",ROUNDUP((BG7/$BG$6)*5,1))</f>
        <v>3.5</v>
      </c>
      <c r="BI7" s="100">
        <f>IFERROR(LARGE((BD7,BF7,BH7),1),"")</f>
        <v>3.5</v>
      </c>
      <c r="BJ7" s="100">
        <f>IFERROR(LARGE((BD7,BF7,BH7),2),"")</f>
        <v>1.3</v>
      </c>
      <c r="BK7" s="99">
        <f t="shared" ref="BK7:BK49" si="25">IF(AND(BI7="",BJ7=""),"",SUM(BI7:BJ7)/2)</f>
        <v>2.4</v>
      </c>
      <c r="BL7" s="100">
        <f>IF(MATHS!H7="","",MATHS!H7)</f>
        <v>3</v>
      </c>
      <c r="BM7" s="99">
        <f>IF(MATHS!I7="","",MATHS!I7)</f>
        <v>3</v>
      </c>
      <c r="BN7" s="99">
        <f>IF(MATHS!J7="","",MATHS!J7)</f>
        <v>3</v>
      </c>
      <c r="BO7" s="99">
        <f>IF(C7="TC","",IF(AND(BK7="",BL7="",BM7="",BN7=""),"",SUM(BK7:BN7)))</f>
        <v>11.4</v>
      </c>
      <c r="BP7" s="99">
        <f>IF(MATHS!K7="","",MATHS!K7)</f>
        <v>50</v>
      </c>
      <c r="BQ7" s="100">
        <f t="shared" ref="BQ7:BQ49" si="26">IF(BP7="","",(BP7/$BP$6)*80)</f>
        <v>50</v>
      </c>
      <c r="BR7" s="99">
        <f>IF(C7="TC","",IF(AND(BK7="",BL7="",BM7="",BN7="",BQ7=""),"",ROUNDUP(SUM(BK7,BL7,BM7,BN7,BQ7),0)))</f>
        <v>62</v>
      </c>
      <c r="BS7" s="99" t="str">
        <f t="shared" ref="BS7:BS49" si="27">IF(BR7="","",IF(BR7&lt;33,"E",IF(AND(BR7&gt;=33,BR7&lt;41),"D",IF(AND(BR7&gt;=41,BR7&lt;51),"C2",IF(AND(BR7&gt;=51,BR7&lt;61),"C1",IF(AND(BR7&gt;=61,BR7&lt;71),"B2",IF(AND(BR7&gt;=71,BR7&lt;81),"B1",IF(AND(BR7&gt;=81,BR7&lt;91),"A2",IF(AND(BR7&gt;=91,BR7&lt;=100),"A1")))))))))</f>
        <v>B2</v>
      </c>
      <c r="BT7" s="99" t="str">
        <f>IF(MATHS!O7="","",MATHS!O7)</f>
        <v/>
      </c>
      <c r="BU7" s="99" t="str">
        <f>IF(BT7="","",(BT7*80/$BT$6))</f>
        <v/>
      </c>
      <c r="BV7" s="99" t="str">
        <f>IF(BT7="","",IF(BS7="E",ROUNDUP(SUM(BO7,BU7),0),""))</f>
        <v/>
      </c>
      <c r="BW7" s="102" t="str">
        <f>IF(BV7="","",IF(BV7&lt;33,"E",IF(AND(BV7&gt;=33,BV7&lt;41),"D",IF(AND(BV7&gt;=41,BV7&lt;51),"C2",IF(AND(BV7&gt;=51,BV7&lt;61),"C1",IF(AND(BV7&gt;=61,BV7&lt;71),"B2",IF(AND(BV7&gt;=71,BV7&lt;81),"B1",IF(AND(BV7&gt;=81,BV7&lt;91),"A2",IF(AND(BV7&gt;=91,BV7&lt;=100),"A1")))))))))</f>
        <v/>
      </c>
      <c r="BX7" s="102">
        <f>IF(SCIENCE!E7="","",SCIENCE!E7)</f>
        <v>0</v>
      </c>
      <c r="BY7" s="103">
        <f t="shared" ref="BY7:BY49" si="28">IF(BX7="","",ROUNDUP((BX7/$BX$6)*5,1))</f>
        <v>0</v>
      </c>
      <c r="BZ7" s="102">
        <f>IF(SCIENCE!F7="","",SCIENCE!F7)</f>
        <v>21</v>
      </c>
      <c r="CA7" s="103">
        <f t="shared" ref="CA7:CA49" si="29">IF(BZ7="","",ROUNDUP((BZ7/$BZ$6)*5,1))</f>
        <v>1.4000000000000001</v>
      </c>
      <c r="CB7" s="102">
        <f>IF(SCIENCE!G7="","",SCIENCE!G7)</f>
        <v>8</v>
      </c>
      <c r="CC7" s="102">
        <f t="shared" ref="CC7:CC49" si="30">IF(CB7="","",ROUNDUP((CB7/$CB$6)*5,1))</f>
        <v>4</v>
      </c>
      <c r="CD7" s="103">
        <f>IFERROR(LARGE((BY7,CA7,CC7),1),"")</f>
        <v>4</v>
      </c>
      <c r="CE7" s="103">
        <f>IFERROR(LARGE((BY7,CA7,CC7),2),"")</f>
        <v>1.4000000000000001</v>
      </c>
      <c r="CF7" s="102">
        <f t="shared" ref="CF7:CF49" si="31">IF(AND(CD7="",CE7=""),"",SUM(CD7:CE7)/2)</f>
        <v>2.7</v>
      </c>
      <c r="CG7" s="103">
        <f>IF(SCIENCE!H7="","",SCIENCE!H7)</f>
        <v>3</v>
      </c>
      <c r="CH7" s="103">
        <f>IF(SCIENCE!I7="","",SCIENCE!I7)</f>
        <v>3</v>
      </c>
      <c r="CI7" s="103">
        <f>IF(SCIENCE!J7="","",SCIENCE!J7)</f>
        <v>3</v>
      </c>
      <c r="CJ7" s="103">
        <f>IF(C7="TC","",IF(AND(CF7="",CG7="",CH7="",CI7=""),"",SUM(CF7:CI7)))</f>
        <v>11.7</v>
      </c>
      <c r="CK7" s="103">
        <f>IF(SCIENCE!K7="","",SCIENCE!K7)</f>
        <v>10</v>
      </c>
      <c r="CL7" s="103">
        <f t="shared" ref="CL7:CL49" si="32">IF(CK7="","",(CK7/$CK$6)*80)</f>
        <v>10</v>
      </c>
      <c r="CM7" s="102">
        <f>IF(C7="TC","",IF(AND(CF7="",CG7="",CH7="",CI7="",CL7=""),"",ROUNDUP(SUM(CF7,CG7,CH7,CI7,CL7),0)))</f>
        <v>22</v>
      </c>
      <c r="CN7" s="102" t="str">
        <f t="shared" ref="CN7:CN49" si="33">IF(CM7="","",IF(CM7&lt;33,"E",IF(AND(CM7&gt;=33,CM7&lt;41),"D",IF(AND(CM7&gt;=41,CM7&lt;51),"C2",IF(AND(CM7&gt;=51,CM7&lt;61),"C1",IF(AND(CM7&gt;=61,CM7&lt;71),"B2",IF(AND(CM7&gt;=71,CM7&lt;81),"B1",IF(AND(CM7&gt;=81,CM7&lt;91),"A2",IF(AND(CM7&gt;=91,CM7&lt;=100),"A1")))))))))</f>
        <v>E</v>
      </c>
      <c r="CO7" s="102" t="str">
        <f>IF(SCIENCE!O7="","",SCIENCE!O7)</f>
        <v/>
      </c>
      <c r="CP7" s="102" t="str">
        <f>IF(CO7="","",(CO7*80/$CO$6))</f>
        <v/>
      </c>
      <c r="CQ7" s="102" t="str">
        <f>IF(CO7="","",IF(CN7="E",ROUNDUP(SUM(CJ7,CP7),0),""))</f>
        <v/>
      </c>
      <c r="CR7" s="102" t="str">
        <f>IF(CQ7="","",IF(CQ7&lt;33,"E",IF(AND(CQ7&gt;=33,CQ7&lt;41),"D",IF(AND(CQ7&gt;=41,CQ7&lt;51),"C2",IF(AND(CQ7&gt;=51,CQ7&lt;61),"C1",IF(AND(CQ7&gt;=61,CQ7&lt;71),"B2",IF(AND(CQ7&gt;=71,CQ7&lt;81),"B1",IF(AND(CQ7&gt;=81,CQ7&lt;91),"A2",IF(AND(CQ7&gt;=91,CQ7&lt;=100),"A1")))))))))</f>
        <v/>
      </c>
      <c r="CS7" s="99">
        <f>IF(SST!E7="","",SST!E7)</f>
        <v>0</v>
      </c>
      <c r="CT7" s="100">
        <f t="shared" ref="CT7:CT49" si="34">IF(CS7="","",ROUNDUP((CS7/$CS$6)*5,1))</f>
        <v>0</v>
      </c>
      <c r="CU7" s="99">
        <f>IF(SST!F7="","",SST!F7)</f>
        <v>26</v>
      </c>
      <c r="CV7" s="100">
        <f t="shared" ref="CV7:CV49" si="35">IF(CU7="","",ROUNDUP((CU7/$CU$6)*5,1))</f>
        <v>1.7000000000000002</v>
      </c>
      <c r="CW7" s="99">
        <f>IF(SST!G7="","",SST!G7)</f>
        <v>5</v>
      </c>
      <c r="CX7" s="99">
        <f t="shared" ref="CX7:CX49" si="36">IF(CW7="","",ROUNDUP((CW7/$CW$6)*5,1))</f>
        <v>2.5</v>
      </c>
      <c r="CY7" s="100">
        <f>IFERROR(LARGE((CT7,CV7,CX7),1),"")</f>
        <v>2.5</v>
      </c>
      <c r="CZ7" s="100">
        <f>IFERROR(LARGE((CT7,CV7,CX7),2),"")</f>
        <v>1.7000000000000002</v>
      </c>
      <c r="DA7" s="99">
        <f t="shared" ref="DA7:DA49" si="37">IF(AND(CY7="",CZ7=""),"",SUM(CY7:CZ7)/2)</f>
        <v>2.1</v>
      </c>
      <c r="DB7" s="100">
        <f>IF(SST!H7="","",SST!H7)</f>
        <v>4</v>
      </c>
      <c r="DC7" s="100">
        <f>IF(SST!I7="","",SST!I7)</f>
        <v>4</v>
      </c>
      <c r="DD7" s="100">
        <f>IF(SST!J7="","",SST!J7)</f>
        <v>4</v>
      </c>
      <c r="DE7" s="100">
        <f>IF(C7="TC","",IF(AND(DA7="",DB7="",DC7="",DD7=""),"",SUM(DA7:DD7)))</f>
        <v>14.1</v>
      </c>
      <c r="DF7" s="100">
        <f>IF(SST!K7="","",SST!K7)</f>
        <v>50</v>
      </c>
      <c r="DG7" s="100">
        <f>IF(DF7="","",(DF7/$DF$6)*80)</f>
        <v>50</v>
      </c>
      <c r="DH7" s="99">
        <f>IF(C7="TC","",IF(AND(DA7="",DB7="",DD7="",DC7="",DG7=""),"",ROUNDUP(SUM(DA7,DB7,DD7,DC7,DG7),0)))</f>
        <v>65</v>
      </c>
      <c r="DI7" s="99" t="str">
        <f t="shared" ref="DI7:DI49" si="38">IF(DH7="","",IF(DH7&lt;33,"E",IF(AND(DH7&gt;=33,DH7&lt;41),"D",IF(AND(DH7&gt;=41,DH7&lt;51),"C2",IF(AND(DH7&gt;=51,DH7&lt;61),"C1",IF(AND(DH7&gt;=61,DH7&lt;71),"B2",IF(AND(DH7&gt;=71,DH7&lt;81),"B1",IF(AND(DH7&gt;=81,DH7&lt;91),"A2",IF(AND(DH7&gt;=91,DH7&lt;=100),"A1")))))))))</f>
        <v>B2</v>
      </c>
      <c r="DJ7" s="99" t="str">
        <f>IF(SST!O7="","",SST!O7)</f>
        <v/>
      </c>
      <c r="DK7" s="99" t="str">
        <f>IF(DJ7="","",(DJ7*80/$DJ$6))</f>
        <v/>
      </c>
      <c r="DL7" s="99" t="str">
        <f>IF(DJ7="","",IF(DI7="E",ROUNDUP(SUM(DE7,DK7),0),""))</f>
        <v/>
      </c>
      <c r="DM7" s="99" t="str">
        <f>IF(DL7="","",IF(DL7&lt;33,"E",IF(AND(DL7&gt;=33,DL7&lt;41),"D",IF(AND(DL7&gt;=41,DL7&lt;51),"C2",IF(AND(DL7&gt;=51,DL7&lt;61),"C1",IF(AND(DL7&gt;=61,DL7&lt;71),"B2",IF(AND(DL7&gt;=71,DL7&lt;81),"B1",IF(AND(DL7&gt;=81,DL7&lt;91),"A2",IF(AND(DL7&gt;=91,DL7&lt;=100),"A1")))))))))</f>
        <v/>
      </c>
      <c r="DN7" s="99"/>
      <c r="DO7" s="102" t="str">
        <f>IF(C7="","",IF(VLOOKUP(C7,VOCATIONAL!$D$7:$E$51,2,0)="","",VLOOKUP(C7,VOCATIONAL!$D$7:$E$51,2,0)))</f>
        <v>BEAUTY &amp; WELLNESS</v>
      </c>
      <c r="DP7" s="102">
        <f>IF(VOCATIONAL!F7="","",VOCATIONAL!F7)</f>
        <v>5</v>
      </c>
      <c r="DQ7" s="102">
        <f>IF(VOCATIONAL!G7="","",VOCATIONAL!G7)</f>
        <v>50</v>
      </c>
      <c r="DR7" s="102">
        <f>IF(C7="TC","",IF(AND(DP7="",DQ7=""),"",ROUNDUP(SUM(DP7,DQ7),0)))</f>
        <v>55</v>
      </c>
      <c r="DS7" s="102" t="str">
        <f t="shared" ref="DS7" si="39">IF(DR7="","",IF(DR7&lt;33,"E",IF(AND(DR7&gt;=33,DR7&lt;41),"D",IF(AND(DR7&gt;=41,DR7&lt;51),"C2",IF(AND(DR7&gt;=51,DR7&lt;61),"C1",IF(AND(DR7&gt;=61,DR7&lt;71),"B2",IF(AND(DR7&gt;=71,DR7&lt;81),"B1",IF(AND(DR7&gt;=81,DR7&lt;91),"A2",IF(AND(DR7&gt;=91,DR7&lt;=100),"A1")))))))))</f>
        <v>C1</v>
      </c>
      <c r="DT7" s="102" t="str">
        <f>IF(VOCATIONAL!K7="","",VOCATIONAL!K7)</f>
        <v/>
      </c>
      <c r="DU7" s="102" t="str">
        <f>IF(DT7="","",IF(DS7="E",ROUNDUP(SUM(DT7+DQ7),0),""))</f>
        <v/>
      </c>
      <c r="DV7" s="102" t="str">
        <f>IF(DU7="","",IF(DU7&lt;33,"E",IF(AND(DU7&gt;=33,DU7&lt;41),"D",IF(AND(DU7&gt;=41,DU7&lt;51),"C2",IF(AND(DU7&gt;=51,DU7&lt;61),"C1",IF(AND(DU7&gt;=61,DU7&lt;71),"B2",IF(AND(DU7&gt;=71,DU7&lt;81),"B1",IF(AND(DU7&gt;=81,DU7&lt;91),"A2",IF(AND(DU7&gt;=91,DU7&lt;=100),"A1")))))))))</f>
        <v/>
      </c>
      <c r="DW7" s="99"/>
      <c r="DX7" s="104">
        <f>IF(C7="TC","",IF(AA7="","",AA7))</f>
        <v>68</v>
      </c>
      <c r="DY7" s="104">
        <f>IF(C7="TC","",IF(AW7="","",AW7))</f>
        <v>44</v>
      </c>
      <c r="DZ7" s="104">
        <f>IF(C7="TC","",IF(BR7="","",BR7))</f>
        <v>62</v>
      </c>
      <c r="EA7" s="104">
        <f>IF(C7="TC","",IF(CM7="","",CM7))</f>
        <v>22</v>
      </c>
      <c r="EB7" s="104">
        <f>IF(C7="TC","",IF(DH7="","",DH7))</f>
        <v>65</v>
      </c>
      <c r="EC7" s="104">
        <f>IF(C7="TC","",IF(DR7="","",DR7))</f>
        <v>55</v>
      </c>
      <c r="ED7" s="104" t="str">
        <f>IF(C7="TC","",IF(AE7="","",AE7))</f>
        <v/>
      </c>
      <c r="EE7" s="104" t="str">
        <f>IF(C7="TC","",IF(BA7="","",BA7))</f>
        <v/>
      </c>
      <c r="EF7" s="104" t="str">
        <f>IF(C7="TC","",IF(BV7="","",BV7))</f>
        <v/>
      </c>
      <c r="EG7" s="104" t="str">
        <f>IF(C7="TC","",IF(CQ7="","",CQ7))</f>
        <v/>
      </c>
      <c r="EH7" s="104" t="str">
        <f>IF(C7="TC","",IF(DL7="","",DL7))</f>
        <v/>
      </c>
      <c r="EI7" s="104" t="str">
        <f>IF(DU7="","",DU7)</f>
        <v/>
      </c>
      <c r="EJ7" s="105" t="str">
        <f>IF(DX7&gt;=33,"",$EJ$5&amp;", ")</f>
        <v/>
      </c>
      <c r="EK7" s="105" t="str">
        <f>IF(DY7&gt;=33,"",$AG7&amp;", ")</f>
        <v/>
      </c>
      <c r="EL7" s="105" t="str">
        <f>IF(DZ7&gt;=33,"",$EL$5&amp;", ")</f>
        <v/>
      </c>
      <c r="EM7" s="105" t="str">
        <f>IF(EA7&gt;=33,"",$EM$5&amp;", ")</f>
        <v xml:space="preserve">SCIENCE, </v>
      </c>
      <c r="EN7" s="105" t="str">
        <f>IF(EB7&gt;=33,"",$EN$5&amp;", ")</f>
        <v/>
      </c>
      <c r="EO7" s="363" t="str">
        <f>IF(OR(DO7="",EC7="",EC7&gt;=33),"",$DO7&amp;", ")</f>
        <v/>
      </c>
      <c r="EP7" s="106" t="str">
        <f>IF(ED7&gt;=33,"",$EP$5&amp;", ")</f>
        <v/>
      </c>
      <c r="EQ7" s="106" t="str">
        <f>IF(EE7&gt;=33,"",$AG7&amp;", ")</f>
        <v/>
      </c>
      <c r="ER7" s="106" t="str">
        <f>IF(EF7&gt;=33,"",$ER$5&amp;", ")</f>
        <v/>
      </c>
      <c r="ES7" s="106" t="str">
        <f>IF(EG7&gt;=33,"",$ES$5&amp;", ")</f>
        <v/>
      </c>
      <c r="ET7" s="106" t="str">
        <f>IF(EH7&gt;=33,"",$ET$5&amp;", ")</f>
        <v/>
      </c>
      <c r="EU7" s="106" t="str">
        <f>IF(EI7&gt;=33,"",$DO7&amp;", ")</f>
        <v/>
      </c>
      <c r="EV7" s="92">
        <f>IF(DX7&lt;33,"",DX7)</f>
        <v>68</v>
      </c>
      <c r="EW7" s="92">
        <f>IF(DY7&lt;33,"",DY7)</f>
        <v>44</v>
      </c>
      <c r="EX7" s="92">
        <f>IF(DZ7&lt;33,"",DZ7)</f>
        <v>62</v>
      </c>
      <c r="EY7" s="92" t="str">
        <f>IF(EA7&lt;33,"",EA7)</f>
        <v/>
      </c>
      <c r="EZ7" s="92">
        <f>IF(EB7&lt;33,"",EB7)</f>
        <v>65</v>
      </c>
      <c r="FA7" s="92">
        <f>IF(EC7&lt;33,"",EC7)</f>
        <v>55</v>
      </c>
      <c r="FB7" s="93">
        <f t="shared" ref="FB7" si="40">IF(AND(EV7="",ED7&gt;=33),ED7,EV7)</f>
        <v>68</v>
      </c>
      <c r="FC7" s="93">
        <f t="shared" ref="FC7" si="41">IF(AND(EW7="",EE7&gt;=33),EE7,EW7)</f>
        <v>44</v>
      </c>
      <c r="FD7" s="93">
        <f t="shared" ref="FD7" si="42">IF(AND(EX7="",EF7&gt;=33),EF7,EX7)</f>
        <v>62</v>
      </c>
      <c r="FE7" s="93" t="str">
        <f t="shared" ref="FE7" si="43">IF(AND(EY7="",EG7&gt;=33),EG7,EY7)</f>
        <v/>
      </c>
      <c r="FF7" s="93">
        <f t="shared" ref="FF7" si="44">IF(AND(EZ7="",EH7&gt;=33),EH7,EZ7)</f>
        <v>65</v>
      </c>
      <c r="FG7" s="93">
        <f>IF(AND(FA7="",EI7&gt;=33),EI7,FA7)</f>
        <v>55</v>
      </c>
      <c r="FH7" s="107">
        <f>IF(OR(C7="TC",C7=""),"",COUNTBLANK(EV7:EZ7))</f>
        <v>1</v>
      </c>
      <c r="FI7" s="107">
        <f>IF(C7="TC","",IF(C7="","",(COUNTBLANK(FB7:FF7))))</f>
        <v>1</v>
      </c>
      <c r="FJ7" s="256" t="str">
        <f>IF(C7="TC","",IF(FH7="","",IF(IF(OR(EC7="",EC7&lt;33),FH7=0,FH7&lt;=1),"PASS",IF(IF(EC7="",FH7&lt;=2,FH7&lt;=2),"COMPARTMENT","FAIL"))))</f>
        <v>PASS</v>
      </c>
      <c r="FK7" s="256" t="str">
        <f>IF(C7="TC","",IF(AND(ED7="",EE7="",EF7="",EG7="",EH7="", EI7=""),"",IF(AND(IF(OR(EC7="",,EC7&lt;33),FI7=0,FI7=1),FJ7="COMPARTMENT"),"PASSED AFTER COMPARTMENT","FAIL")))</f>
        <v/>
      </c>
      <c r="FL7" s="256" t="str">
        <f>IF(OR(C7="TC",C7=""),"",IF(FJ7="PASS","",EJ7&amp;EK7&amp;EL7&amp;EM7&amp;EN7))</f>
        <v/>
      </c>
      <c r="FM7" s="256" t="str">
        <f>IF(C7="TC","",IF(OR(FK7="",FK7="PASSED AFTER COMPARTMENT"),"",EP7&amp;EQ7&amp;ER7&amp;ES7&amp;ET7))</f>
        <v/>
      </c>
      <c r="FN7" s="256">
        <f>IF(OR(C7="TC",C7="",FJ7="FAIL",FJ7="COMPARTMENT"),"",IF(OR(FJ7="PASS",FJ7="FAIL"),IF(EC7="",SUM(FB7:FF7),SUM(LARGE(FB7:FG7,{1,2,3,4,5}))),""))</f>
        <v>294</v>
      </c>
      <c r="FO7" s="256">
        <f>IF(AND(FN7="",FK7="PASSED AFTER COMPARTMENT"),IF(EC7="",SUM(FB7:FF7),SUM(LARGE(FB7:FG7,{1,2,3,4,5}))),FN7)</f>
        <v>294</v>
      </c>
      <c r="FP7" s="256">
        <f>IF(FN7="","",ROUND(FN7,0))</f>
        <v>294</v>
      </c>
      <c r="FQ7" s="256">
        <f>IF(FO7="","",ROUND(FO7,0))</f>
        <v>294</v>
      </c>
      <c r="FR7" s="256" t="str">
        <f>IF(C7="TC","",IF(FN7="","",IF(FJ7="COMPARTMENT","",(TEXT((FP7*100/$FP$6),"0.00"))&amp;" %")))</f>
        <v>58.80 %</v>
      </c>
      <c r="FS7" s="256">
        <f>IF(C7="TC","",IF(FN7="","",IF(FJ7="COMPARTMENT","",(FP7*100/$FP$6))))</f>
        <v>58.8</v>
      </c>
      <c r="FT7" s="108" t="str">
        <f>IF(FS7="","",IF(FS7&lt;33,"E",IF(AND(FS7&gt;=33,FS7&lt;41),"D",IF(AND(FS7&gt;=41,FS7&lt;51),"C2",IF(AND(FS7&gt;=51,FS7&lt;61),"C1",IF(AND(FS7&gt;=61,FS7&lt;71),"B2",IF(AND(FS7&gt;=71,FS7&lt;81),"B1",IF(AND(FS7&gt;=81,FS7&lt;91),"A2",IF(AND(FS7&gt;=91,FS7&lt;=100),"A1")))))))))</f>
        <v>C1</v>
      </c>
      <c r="FU7" s="256">
        <f>IF(FS7="","",SUMPRODUCT((FS7&lt;FS$7:FS$50)/COUNTIF(FS$7:FS$50,FS$7:FS$50)))</f>
        <v>1.0000000000000007</v>
      </c>
      <c r="FV7" s="109">
        <f>IF(ATTENDANCE!Q8="","",ATTENDANCE!Q8)</f>
        <v>137</v>
      </c>
      <c r="FW7" s="110" t="str">
        <f t="shared" ref="FW7" si="45">IF(FV7="","",ROUND((FV7*100/$FV$6),0)&amp;" %")</f>
        <v>69 %</v>
      </c>
      <c r="FX7" s="110" t="str">
        <f>IF(C7="TC","",IF(FO7="","",IF(FM7="COMPARTMENT","",(TEXT((FQ7*100/$FQ$6),"0.00"))&amp;" %")))</f>
        <v>58.80 %</v>
      </c>
      <c r="FY7" s="365">
        <f>IF(C7="TC","",IF(FO7="","",IF(FM7="COMPARTMENT","",(FQ7*100/$FQ$6))))</f>
        <v>58.8</v>
      </c>
      <c r="FZ7" s="108" t="str">
        <f>IF(FY7="","",IF(FY7&lt;33,"E",IF(AND(FY7&gt;=33,FY7&lt;41),"D",IF(AND(FY7&gt;=41,FY7&lt;51),"C2",IF(AND(FY7&gt;=51,FY7&lt;61),"C1",IF(AND(FY7&gt;=61,FY7&lt;71),"B2",IF(AND(FY7&gt;=71,FY7&lt;81),"B1",IF(AND(FY7&gt;=81,FY7&lt;91),"A2",IF(AND(FY7&gt;=91,FY7&lt;=100),"A1")))))))))</f>
        <v>C1</v>
      </c>
      <c r="GA7" s="256">
        <f>IF(ATTENDANCE!Q8="","",ATTENDANCE!Q8)</f>
        <v>137</v>
      </c>
      <c r="GB7" s="108">
        <f>IF(ATTENDANCE!Q8="","",ATTENDANCE!$Q8)</f>
        <v>137</v>
      </c>
      <c r="GC7" s="108" t="s">
        <v>229</v>
      </c>
      <c r="GD7" s="60"/>
    </row>
    <row r="8" spans="1:186" ht="15" customHeight="1" x14ac:dyDescent="0.25">
      <c r="A8" s="60"/>
      <c r="B8" s="96">
        <f>IF(DATA!B6="","",DATA!B6)</f>
        <v>2</v>
      </c>
      <c r="C8" s="96">
        <f>IF(DATA!C6="","",DATA!C6)</f>
        <v>902</v>
      </c>
      <c r="D8" s="96">
        <f>IF(DATA!D6="","",DATA!D6)</f>
        <v>971</v>
      </c>
      <c r="E8" s="303" t="str">
        <f>IF(DATA!E6="","",DATA!E6)</f>
        <v>ARVIND SINGH BALLA</v>
      </c>
      <c r="F8" s="303" t="str">
        <f>IF(DATA!F6="","",DATA!F6)</f>
        <v>INDRA SINGH BALLA</v>
      </c>
      <c r="G8" s="303" t="str">
        <f>IF(DATA!G6="","",DATA!G6)</f>
        <v>MEENA KANWAR BALLA</v>
      </c>
      <c r="H8" s="98">
        <f>IF(DATA!H6="","",DATA!H6)</f>
        <v>40292</v>
      </c>
      <c r="I8" s="97" t="str">
        <f>IF(DATA!I6="","",DATA!I6)</f>
        <v>BOY</v>
      </c>
      <c r="J8" s="97" t="str">
        <f>IF(DATA!J6="","",DATA!J6)</f>
        <v>GEN</v>
      </c>
      <c r="K8" s="97" t="str">
        <f>IF(DATA!K6="","",DATA!K6)</f>
        <v/>
      </c>
      <c r="L8" s="99">
        <f>IF(ENGLISH!E8="","",ENGLISH!E8)</f>
        <v>5</v>
      </c>
      <c r="M8" s="100">
        <f t="shared" ref="M8:M112" si="46">IF(L8="","",ROUNDUP((L8/$L$6)*5,1))</f>
        <v>2.5</v>
      </c>
      <c r="N8" s="99">
        <f>IF(ENGLISH!F8="","",ENGLISH!F8)</f>
        <v>25</v>
      </c>
      <c r="O8" s="100">
        <f t="shared" ref="O8:O112" si="47">IF(N8="","",ROUNDUP((N8/$N$6)*5,1))</f>
        <v>1.6</v>
      </c>
      <c r="P8" s="99">
        <f>IF(ENGLISH!G8="","",ENGLISH!G8)</f>
        <v>4</v>
      </c>
      <c r="Q8" s="99">
        <f t="shared" ref="Q8:Q112" si="48">IF(P8="","",ROUNDUP((P8/$P$6)*5,1))</f>
        <v>2</v>
      </c>
      <c r="R8" s="100">
        <f>IFERROR(LARGE((M8,O8,Q8),1),"")</f>
        <v>2.5</v>
      </c>
      <c r="S8" s="100">
        <f>IFERROR(LARGE((M8,O8,Q8),2),"")</f>
        <v>2</v>
      </c>
      <c r="T8" s="99">
        <f t="shared" ref="T8:T112" si="49">IF(AND(R8="",S8=""),"",SUM(R8:S8)/2)</f>
        <v>2.25</v>
      </c>
      <c r="U8" s="100">
        <f>IF(ENGLISH!H8="","",ENGLISH!H8)</f>
        <v>5</v>
      </c>
      <c r="V8" s="99">
        <f>IF(ENGLISH!I8="","",ENGLISH!I8)</f>
        <v>5</v>
      </c>
      <c r="W8" s="99">
        <f>IF(ENGLISH!J8="","",ENGLISH!J8)</f>
        <v>5</v>
      </c>
      <c r="X8" s="99">
        <f t="shared" ref="X8:X112" si="50">IF(AND(T8="",U8="",V8="",W8=""),"",SUM(T8:W8))</f>
        <v>17.25</v>
      </c>
      <c r="Y8" s="100">
        <f>IF(ENGLISH!K8="","",ENGLISH!K8)</f>
        <v>45</v>
      </c>
      <c r="Z8" s="100">
        <f t="shared" ref="Z8:Z112" si="51">IF(Y8="","",(Y8/$Y$6)*80)</f>
        <v>45</v>
      </c>
      <c r="AA8" s="101">
        <f t="shared" ref="AA8:AA112" si="52">IF(C8="TC","",IF(AND(T8="",U8="",V8="",Z8="",W8=""),"",ROUNDUP(SUM(T8,U8,V8,Z8,W8)*100/SUM($T$6,$U$6,$V$6,$Z$6,$W$6),0)))</f>
        <v>63</v>
      </c>
      <c r="AB8" s="99" t="str">
        <f t="shared" si="15"/>
        <v>B2</v>
      </c>
      <c r="AC8" s="99" t="str">
        <f>IF(ENGLISH!O8="","",ENGLISH!O8)</f>
        <v/>
      </c>
      <c r="AD8" s="99" t="str">
        <f t="shared" ref="AD8:AD50" si="53">IF(AC8="","",(AC8*80/$AC$6))</f>
        <v/>
      </c>
      <c r="AE8" s="99" t="str">
        <f t="shared" ref="AE8:AE51" si="54">IF(AC8="","",IF(AB8="E",ROUNDUP(SUM(X8,AD8),0),""))</f>
        <v/>
      </c>
      <c r="AF8" s="99" t="str">
        <f t="shared" ref="AF8:AF112" si="55">IF(AE8="","",IF(AE8&lt;33,"E",IF(AND(AE8&gt;=33,AE8&lt;41),"D",IF(AND(AE8&gt;=41,AE8&lt;51),"C2",IF(AND(AE8&gt;=51,AE8&lt;61),"C1",IF(AND(AE8&gt;=61,AE8&lt;71),"B2",IF(AND(AE8&gt;=71,AE8&lt;81),"B1",IF(AND(AE8&gt;=81,AE8&lt;91),"A2",IF(AND(AE8&gt;=91,AE8&lt;=100),"A1")))))))))</f>
        <v/>
      </c>
      <c r="AG8" s="102" t="str">
        <f>IF(C8="","",VLOOKUP(C8,'HINDI-SKT'!$D$7:$E$51,2,0))</f>
        <v>SANSKRIT</v>
      </c>
      <c r="AH8" s="102">
        <f>IF('HINDI-SKT'!F8="","",'HINDI-SKT'!F8)</f>
        <v>10</v>
      </c>
      <c r="AI8" s="103">
        <f t="shared" si="16"/>
        <v>5</v>
      </c>
      <c r="AJ8" s="102">
        <f>IF('HINDI-SKT'!G8="","",'HINDI-SKT'!G8)</f>
        <v>39</v>
      </c>
      <c r="AK8" s="103">
        <f t="shared" si="17"/>
        <v>2.5</v>
      </c>
      <c r="AL8" s="102">
        <f>IF('HINDI-SKT'!H8="","",'HINDI-SKT'!H8)</f>
        <v>8</v>
      </c>
      <c r="AM8" s="102">
        <f t="shared" si="18"/>
        <v>4</v>
      </c>
      <c r="AN8" s="103">
        <f>IFERROR(LARGE((AI8,AK8,AM8),1),"")</f>
        <v>5</v>
      </c>
      <c r="AO8" s="103">
        <f>IFERROR(LARGE((AI8,AK8,AM8),2),"")</f>
        <v>4</v>
      </c>
      <c r="AP8" s="102">
        <f t="shared" si="19"/>
        <v>4.5</v>
      </c>
      <c r="AQ8" s="103">
        <f>IF('HINDI-SKT'!I8="","",'HINDI-SKT'!I8)</f>
        <v>5</v>
      </c>
      <c r="AR8" s="102">
        <f>IF('HINDI-SKT'!J8="","",'HINDI-SKT'!J8)</f>
        <v>5</v>
      </c>
      <c r="AS8" s="102">
        <f>IF('HINDI-SKT'!K8="","",'HINDI-SKT'!K8)</f>
        <v>5</v>
      </c>
      <c r="AT8" s="102">
        <f t="shared" ref="AT8:AT112" si="56">IF(C8="TC","",IF(AND(AP8="",AQ8="",AR8="",AS8=""),"",SUM(AP8:AS8)))</f>
        <v>19.5</v>
      </c>
      <c r="AU8" s="102">
        <f>IF('HINDI-SKT'!L8="","",'HINDI-SKT'!L8)</f>
        <v>50</v>
      </c>
      <c r="AV8" s="103">
        <f t="shared" ref="AV8:AV50" si="57">IF(AU8="","",(AU8/$AU$6)*80)</f>
        <v>50</v>
      </c>
      <c r="AW8" s="102">
        <f t="shared" ref="AW8:AW50" si="58">IF(C8="TC","",IF(AND(AP8="",AQ8="",AR8="",AV8="",AS8),"",ROUNDUP(SUM(AP8,AQ8,AR8,AV8,AS8),0)))</f>
        <v>70</v>
      </c>
      <c r="AX8" s="102" t="str">
        <f t="shared" ref="AX8:AX50" si="59">IF(AW8="","",IF(AW8&lt;33,"E",IF(AND(AW8&gt;=33,AW8&lt;41),"D",IF(AND(AW8&gt;=41,AW8&lt;51),"C2",IF(AND(AW8&gt;=51,AW8&lt;61),"C1",IF(AND(AW8&gt;=61,AW8&lt;71),"B2",IF(AND(AW8&gt;=71,AW8&lt;81),"B1",IF(AND(AW8&gt;=81,AW8&lt;91),"A2",IF(AND(AW8&gt;=91,AW8&lt;=100),"A1")))))))))</f>
        <v>B2</v>
      </c>
      <c r="AY8" s="102" t="str">
        <f>IF('HINDI-SKT'!P8="","",'HINDI-SKT'!P8)</f>
        <v/>
      </c>
      <c r="AZ8" s="102" t="str">
        <f t="shared" ref="AZ8:AZ50" si="60">IF(AY8="","",(AY8*80/$AY$6))</f>
        <v/>
      </c>
      <c r="BA8" s="102" t="str">
        <f t="shared" ref="BA8:BA51" si="61">IF(AY8="","",IF(AX8="E",ROUNDUP(SUM(AT8,AZ8),0),""))</f>
        <v/>
      </c>
      <c r="BB8" s="102" t="str">
        <f t="shared" ref="BB8:BB112" si="62">IF(BA8="","",IF(BA8&lt;33,"E",IF(AND(BA8&gt;=33,BA8&lt;41),"D",IF(AND(BA8&gt;=41,BA8&lt;51),"C2",IF(AND(BA8&gt;=51,BA8&lt;61),"C1",IF(AND(BA8&gt;=61,BA8&lt;71),"B2",IF(AND(BA8&gt;=71,BA8&lt;81),"B1",IF(AND(BA8&gt;=81,BA8&lt;91),"A2",IF(AND(BA8&gt;=91,BA8&lt;=100),"A1")))))))))</f>
        <v/>
      </c>
      <c r="BC8" s="99">
        <f>IF(MATHS!E8="","",MATHS!E8)</f>
        <v>3</v>
      </c>
      <c r="BD8" s="100">
        <f t="shared" si="22"/>
        <v>1.5</v>
      </c>
      <c r="BE8" s="99">
        <f>IF(MATHS!F8="","",MATHS!F8)</f>
        <v>30</v>
      </c>
      <c r="BF8" s="100">
        <f t="shared" si="23"/>
        <v>1.9000000000000001</v>
      </c>
      <c r="BG8" s="99">
        <f>IF(MATHS!G8="","",MATHS!G8)</f>
        <v>4</v>
      </c>
      <c r="BH8" s="99">
        <f t="shared" si="24"/>
        <v>2</v>
      </c>
      <c r="BI8" s="100">
        <f>IFERROR(LARGE((BD8,BF8,BH8),1),"")</f>
        <v>2</v>
      </c>
      <c r="BJ8" s="100">
        <f>IFERROR(LARGE((BD8,BF8,BH8),2),"")</f>
        <v>1.9000000000000001</v>
      </c>
      <c r="BK8" s="99">
        <f t="shared" si="25"/>
        <v>1.9500000000000002</v>
      </c>
      <c r="BL8" s="100">
        <f>IF(MATHS!H8="","",MATHS!H8)</f>
        <v>4</v>
      </c>
      <c r="BM8" s="99">
        <f>IF(MATHS!I8="","",MATHS!I8)</f>
        <v>4</v>
      </c>
      <c r="BN8" s="99">
        <f>IF(MATHS!J8="","",MATHS!J8)</f>
        <v>4</v>
      </c>
      <c r="BO8" s="99">
        <f t="shared" ref="BO8:BO112" si="63">IF(C8="TC","",IF(AND(BK8="",BL8="",BM8="",BN8=""),"",SUM(BK8:BN8)))</f>
        <v>13.95</v>
      </c>
      <c r="BP8" s="99">
        <f>IF(MATHS!K8="","",MATHS!K8)</f>
        <v>50</v>
      </c>
      <c r="BQ8" s="100">
        <f t="shared" si="26"/>
        <v>50</v>
      </c>
      <c r="BR8" s="99">
        <f t="shared" ref="BR8:BR112" si="64">IF(C8="TC","",IF(AND(BK8="",BL8="",BM8="",BN8="",BQ8=""),"",ROUNDUP(SUM(BK8,BL8,BM8,BN8,BQ8),0)))</f>
        <v>64</v>
      </c>
      <c r="BS8" s="99" t="str">
        <f t="shared" si="27"/>
        <v>B2</v>
      </c>
      <c r="BT8" s="99" t="str">
        <f>IF(MATHS!O8="","",MATHS!O8)</f>
        <v/>
      </c>
      <c r="BU8" s="99" t="str">
        <f t="shared" ref="BU8:BU50" si="65">IF(BT8="","",(BT8*80/$BT$6))</f>
        <v/>
      </c>
      <c r="BV8" s="99" t="str">
        <f t="shared" ref="BV8:BV51" si="66">IF(BT8="","",IF(BS8="E",ROUNDUP(SUM(BO8,BU8),0),""))</f>
        <v/>
      </c>
      <c r="BW8" s="102" t="str">
        <f t="shared" ref="BW8:BW37" si="67">IF(BV8="","",IF(BV8&lt;33,"E",IF(AND(BV8&gt;=33,BV8&lt;41),"D",IF(AND(BV8&gt;=41,BV8&lt;51),"C2",IF(AND(BV8&gt;=51,BV8&lt;61),"C1",IF(AND(BV8&gt;=61,BV8&lt;71),"B2",IF(AND(BV8&gt;=71,BV8&lt;81),"B1",IF(AND(BV8&gt;=81,BV8&lt;91),"A2",IF(AND(BV8&gt;=91,BV8&lt;=100),"A1")))))))))</f>
        <v/>
      </c>
      <c r="BX8" s="102">
        <f>IF(SCIENCE!E8="","",SCIENCE!E8)</f>
        <v>7</v>
      </c>
      <c r="BY8" s="103">
        <f t="shared" si="28"/>
        <v>3.5</v>
      </c>
      <c r="BZ8" s="102">
        <f>IF(SCIENCE!F8="","",SCIENCE!F8)</f>
        <v>21</v>
      </c>
      <c r="CA8" s="103">
        <f t="shared" si="29"/>
        <v>1.4000000000000001</v>
      </c>
      <c r="CB8" s="102">
        <f>IF(SCIENCE!G8="","",SCIENCE!G8)</f>
        <v>7</v>
      </c>
      <c r="CC8" s="102">
        <f t="shared" si="30"/>
        <v>3.5</v>
      </c>
      <c r="CD8" s="103">
        <f>IFERROR(LARGE((BY8,CA8,CC8),1),"")</f>
        <v>3.5</v>
      </c>
      <c r="CE8" s="103">
        <f>IFERROR(LARGE((BY8,CA8,CC8),2),"")</f>
        <v>3.5</v>
      </c>
      <c r="CF8" s="102">
        <f t="shared" si="31"/>
        <v>3.5</v>
      </c>
      <c r="CG8" s="103">
        <f>IF(SCIENCE!H8="","",SCIENCE!H8)</f>
        <v>4</v>
      </c>
      <c r="CH8" s="103">
        <f>IF(SCIENCE!I8="","",SCIENCE!I8)</f>
        <v>4</v>
      </c>
      <c r="CI8" s="103">
        <f>IF(SCIENCE!J8="","",SCIENCE!J8)</f>
        <v>4</v>
      </c>
      <c r="CJ8" s="103">
        <f t="shared" ref="CJ8:CJ50" si="68">IF(C8="TC","",IF(AND(CF8="",CG8="",CH8="",CI8=""),"",SUM(CF8:CI8)))</f>
        <v>15.5</v>
      </c>
      <c r="CK8" s="103">
        <f>IF(SCIENCE!K8="","",SCIENCE!K8)</f>
        <v>20</v>
      </c>
      <c r="CL8" s="103">
        <f t="shared" si="32"/>
        <v>20</v>
      </c>
      <c r="CM8" s="102">
        <f t="shared" ref="CM8:CM112" si="69">IF(C8="TC","",IF(AND(CF8="",CG8="",CH8="",CI8="",CL8=""),"",ROUNDUP(SUM(CF8,CG8,CH8,CI8,CL8),0)))</f>
        <v>36</v>
      </c>
      <c r="CN8" s="102" t="str">
        <f t="shared" si="33"/>
        <v>D</v>
      </c>
      <c r="CO8" s="102" t="str">
        <f>IF(SCIENCE!O8="","",SCIENCE!O8)</f>
        <v/>
      </c>
      <c r="CP8" s="102" t="str">
        <f t="shared" ref="CP8:CP50" si="70">IF(CO8="","",(CO8*80/$CO$6))</f>
        <v/>
      </c>
      <c r="CQ8" s="102" t="str">
        <f t="shared" ref="CQ8:CQ112" si="71">IF(CO8="","",IF(CN8="E",ROUNDUP(SUM(CJ8,CP8),0),""))</f>
        <v/>
      </c>
      <c r="CR8" s="102" t="str">
        <f t="shared" ref="CR8:CR112" si="72">IF(CQ8="","",IF(CQ8&lt;33,"E",IF(AND(CQ8&gt;=33,CQ8&lt;41),"D",IF(AND(CQ8&gt;=41,CQ8&lt;51),"C2",IF(AND(CQ8&gt;=51,CQ8&lt;61),"C1",IF(AND(CQ8&gt;=61,CQ8&lt;71),"B2",IF(AND(CQ8&gt;=71,CQ8&lt;81),"B1",IF(AND(CQ8&gt;=81,CQ8&lt;91),"A2",IF(AND(CQ8&gt;=91,CQ8&lt;=100),"A1")))))))))</f>
        <v/>
      </c>
      <c r="CS8" s="99">
        <f>IF(SST!E8="","",SST!E8)</f>
        <v>7</v>
      </c>
      <c r="CT8" s="100">
        <f t="shared" si="34"/>
        <v>3.5</v>
      </c>
      <c r="CU8" s="99">
        <f>IF(SST!F8="","",SST!F8)</f>
        <v>54</v>
      </c>
      <c r="CV8" s="100">
        <f t="shared" si="35"/>
        <v>3.4</v>
      </c>
      <c r="CW8" s="99">
        <f>IF(SST!G8="","",SST!G8)</f>
        <v>7</v>
      </c>
      <c r="CX8" s="99">
        <f t="shared" si="36"/>
        <v>3.5</v>
      </c>
      <c r="CY8" s="100">
        <f>IFERROR(LARGE((CT8,CV8,CX8),1),"")</f>
        <v>3.5</v>
      </c>
      <c r="CZ8" s="100">
        <f>IFERROR(LARGE((CT8,CV8,CX8),2),"")</f>
        <v>3.5</v>
      </c>
      <c r="DA8" s="99">
        <f t="shared" si="37"/>
        <v>3.5</v>
      </c>
      <c r="DB8" s="100">
        <f>IF(SST!H8="","",SST!H8)</f>
        <v>4</v>
      </c>
      <c r="DC8" s="100">
        <f>IF(SST!I8="","",SST!I8)</f>
        <v>4</v>
      </c>
      <c r="DD8" s="100">
        <f>IF(SST!J8="","",SST!J8)</f>
        <v>4</v>
      </c>
      <c r="DE8" s="100">
        <f t="shared" ref="DE8:DE112" si="73">IF(C8="TC","",IF(AND(DA8="",DB8="",DC8="",DD8=""),"",SUM(DA8:DD8)))</f>
        <v>15.5</v>
      </c>
      <c r="DF8" s="100">
        <f>IF(SST!K8="","",SST!K8)</f>
        <v>0</v>
      </c>
      <c r="DG8" s="100">
        <f t="shared" ref="DG8:DG49" si="74">IF(DF8="","",(DF8/$DF$6)*80)</f>
        <v>0</v>
      </c>
      <c r="DH8" s="99">
        <f t="shared" ref="DH8:DH112" si="75">IF(C8="TC","",IF(AND(DA8="",DB8="",DD8="",DC8="",DG8=""),"",ROUNDUP(SUM(DA8,DB8,DD8,DC8,DG8),0)))</f>
        <v>16</v>
      </c>
      <c r="DI8" s="99" t="str">
        <f t="shared" si="38"/>
        <v>E</v>
      </c>
      <c r="DJ8" s="99">
        <f>IF(SST!O8="","",SST!O8)</f>
        <v>50</v>
      </c>
      <c r="DK8" s="99">
        <f t="shared" ref="DK8:DK50" si="76">IF(DJ8="","",(DJ8*80/$DJ$6))</f>
        <v>50</v>
      </c>
      <c r="DL8" s="99">
        <f t="shared" ref="DL8:DL51" si="77">IF(DJ8="","",IF(DI8="E",ROUNDUP(SUM(DE8,DK8),0),""))</f>
        <v>66</v>
      </c>
      <c r="DM8" s="99" t="str">
        <f t="shared" ref="DM8:DM112" si="78">IF(DL8="","",IF(DL8&lt;33,"E",IF(AND(DL8&gt;=33,DL8&lt;41),"D",IF(AND(DL8&gt;=41,DL8&lt;51),"C2",IF(AND(DL8&gt;=51,DL8&lt;61),"C1",IF(AND(DL8&gt;=61,DL8&lt;71),"B2",IF(AND(DL8&gt;=71,DL8&lt;81),"B1",IF(AND(DL8&gt;=81,DL8&lt;91),"A2",IF(AND(DL8&gt;=91,DL8&lt;=100),"A1")))))))))</f>
        <v>B2</v>
      </c>
      <c r="DN8" s="99"/>
      <c r="DO8" s="102" t="str">
        <f>IF(C8="","",IF(VLOOKUP(C8,VOCATIONAL!$D$7:$E$51,2,0)="","",VLOOKUP(C8,VOCATIONAL!$D$7:$E$51,2,0)))</f>
        <v>IT</v>
      </c>
      <c r="DP8" s="102">
        <f>IF(VOCATIONAL!F8="","",VOCATIONAL!F8)</f>
        <v>15</v>
      </c>
      <c r="DQ8" s="102">
        <f>IF(VOCATIONAL!G8="","",VOCATIONAL!G8)</f>
        <v>10</v>
      </c>
      <c r="DR8" s="102">
        <f t="shared" ref="DR8:DR51" si="79">IF(C8="TC","",IF(AND(DP8="",DQ8=""),"",ROUNDUP(SUM(DP8,DQ8),0)))</f>
        <v>25</v>
      </c>
      <c r="DS8" s="102" t="str">
        <f t="shared" ref="DS8:DS51" si="80">IF(DR8="","",IF(DR8&lt;33,"E",IF(AND(DR8&gt;=33,DR8&lt;41),"D",IF(AND(DR8&gt;=41,DR8&lt;51),"C2",IF(AND(DR8&gt;=51,DR8&lt;61),"C1",IF(AND(DR8&gt;=61,DR8&lt;71),"B2",IF(AND(DR8&gt;=71,DR8&lt;81),"B1",IF(AND(DR8&gt;=81,DR8&lt;91),"A2",IF(AND(DR8&gt;=91,DR8&lt;=100),"A1")))))))))</f>
        <v>E</v>
      </c>
      <c r="DT8" s="102" t="str">
        <f>IF(VOCATIONAL!K8="","",VOCATIONAL!K8)</f>
        <v/>
      </c>
      <c r="DU8" s="102" t="str">
        <f t="shared" ref="DU8:DU51" si="81">IF(DT8="","",IF(DS8="E",ROUNDUP(SUM(DT8+DQ8),0),""))</f>
        <v/>
      </c>
      <c r="DV8" s="102" t="str">
        <f t="shared" ref="DV8:DV51" si="82">IF(DU8="","",IF(DU8&lt;33,"E",IF(AND(DU8&gt;=33,DU8&lt;41),"D",IF(AND(DU8&gt;=41,DU8&lt;51),"C2",IF(AND(DU8&gt;=51,DU8&lt;61),"C1",IF(AND(DU8&gt;=61,DU8&lt;71),"B2",IF(AND(DU8&gt;=71,DU8&lt;81),"B1",IF(AND(DU8&gt;=81,DU8&lt;91),"A2",IF(AND(DU8&gt;=91,DU8&lt;=100),"A1")))))))))</f>
        <v/>
      </c>
      <c r="DW8" s="99"/>
      <c r="DX8" s="104">
        <f t="shared" ref="DX8:DX51" si="83">IF(C8="TC","",IF(AA8="","",AA8))</f>
        <v>63</v>
      </c>
      <c r="DY8" s="104">
        <f t="shared" ref="DY8:DY51" si="84">IF(C8="TC","",IF(AW8="","",AW8))</f>
        <v>70</v>
      </c>
      <c r="DZ8" s="104">
        <f t="shared" ref="DZ8:DZ51" si="85">IF(C8="TC","",IF(BR8="","",BR8))</f>
        <v>64</v>
      </c>
      <c r="EA8" s="104">
        <f t="shared" ref="EA8:EA51" si="86">IF(C8="TC","",IF(CM8="","",CM8))</f>
        <v>36</v>
      </c>
      <c r="EB8" s="104">
        <f t="shared" ref="EB8:EB51" si="87">IF(C8="TC","",IF(DH8="","",DH8))</f>
        <v>16</v>
      </c>
      <c r="EC8" s="104">
        <f t="shared" ref="EC8:EC51" si="88">IF(C8="TC","",IF(DR8="","",DR8))</f>
        <v>25</v>
      </c>
      <c r="ED8" s="104" t="str">
        <f t="shared" ref="ED8:ED51" si="89">IF(C8="TC","",IF(AE8="","",AE8))</f>
        <v/>
      </c>
      <c r="EE8" s="104" t="str">
        <f t="shared" ref="EE8:EE51" si="90">IF(C8="TC","",IF(BA8="","",BA8))</f>
        <v/>
      </c>
      <c r="EF8" s="104" t="str">
        <f t="shared" ref="EF8:EF51" si="91">IF(C8="TC","",IF(BV8="","",BV8))</f>
        <v/>
      </c>
      <c r="EG8" s="104" t="str">
        <f t="shared" ref="EG8:EG51" si="92">IF(C8="TC","",IF(CQ8="","",CQ8))</f>
        <v/>
      </c>
      <c r="EH8" s="104">
        <f t="shared" ref="EH8:EH51" si="93">IF(C8="TC","",IF(DL8="","",DL8))</f>
        <v>66</v>
      </c>
      <c r="EI8" s="104" t="str">
        <f t="shared" ref="EI8:EI51" si="94">IF(DU8="","",DU8)</f>
        <v/>
      </c>
      <c r="EJ8" s="105" t="str">
        <f t="shared" ref="EJ8:EJ51" si="95">IF(DX8&gt;=33,"",$EJ$5&amp;", ")</f>
        <v/>
      </c>
      <c r="EK8" s="105" t="str">
        <f t="shared" ref="EK8:EK51" si="96">IF(DY8&gt;=33,"",$AG8&amp;", ")</f>
        <v/>
      </c>
      <c r="EL8" s="105" t="str">
        <f t="shared" ref="EL8:EL51" si="97">IF(DZ8&gt;=33,"",$EL$5&amp;", ")</f>
        <v/>
      </c>
      <c r="EM8" s="105" t="str">
        <f t="shared" ref="EM8:EM51" si="98">IF(EA8&gt;=33,"",$EM$5&amp;", ")</f>
        <v/>
      </c>
      <c r="EN8" s="105" t="str">
        <f t="shared" ref="EN8:EN51" si="99">IF(EB8&gt;=33,"",$EN$5&amp;", ")</f>
        <v xml:space="preserve">SST, </v>
      </c>
      <c r="EO8" s="363" t="str">
        <f t="shared" ref="EO8:EO51" si="100">IF(OR(DO8="",EC8="",EC8&gt;=33),"",$DO8&amp;", ")</f>
        <v xml:space="preserve">IT, </v>
      </c>
      <c r="EP8" s="106" t="str">
        <f t="shared" ref="EP8:EP51" si="101">IF(ED8&gt;=33,"",$EP$5&amp;", ")</f>
        <v/>
      </c>
      <c r="EQ8" s="106" t="str">
        <f t="shared" ref="EQ8:EQ51" si="102">IF(EE8&gt;=33,"",$AG8&amp;", ")</f>
        <v/>
      </c>
      <c r="ER8" s="106" t="str">
        <f t="shared" ref="ER8:ER51" si="103">IF(EF8&gt;=33,"",$ER$5&amp;", ")</f>
        <v/>
      </c>
      <c r="ES8" s="106" t="str">
        <f t="shared" ref="ES8:ES51" si="104">IF(EG8&gt;=33,"",$ES$5&amp;", ")</f>
        <v/>
      </c>
      <c r="ET8" s="106" t="str">
        <f t="shared" ref="ET8:ET51" si="105">IF(EH8&gt;=33,"",$ET$5&amp;", ")</f>
        <v/>
      </c>
      <c r="EU8" s="106" t="str">
        <f t="shared" ref="EU8:EU51" si="106">IF(EI8&gt;=33,"",$DO8&amp;", ")</f>
        <v/>
      </c>
      <c r="EV8" s="92">
        <f t="shared" ref="EV8:EV51" si="107">IF(DX8&lt;33,"",DX8)</f>
        <v>63</v>
      </c>
      <c r="EW8" s="92">
        <f t="shared" ref="EW8:EW51" si="108">IF(DY8&lt;33,"",DY8)</f>
        <v>70</v>
      </c>
      <c r="EX8" s="92">
        <f t="shared" ref="EX8:EX51" si="109">IF(DZ8&lt;33,"",DZ8)</f>
        <v>64</v>
      </c>
      <c r="EY8" s="92">
        <f t="shared" ref="EY8:EY51" si="110">IF(EA8&lt;33,"",EA8)</f>
        <v>36</v>
      </c>
      <c r="EZ8" s="92" t="str">
        <f t="shared" ref="EZ8:EZ51" si="111">IF(EB8&lt;33,"",EB8)</f>
        <v/>
      </c>
      <c r="FA8" s="92" t="str">
        <f t="shared" ref="FA8:FA51" si="112">IF(EC8&lt;33,"",EC8)</f>
        <v/>
      </c>
      <c r="FB8" s="93">
        <f t="shared" ref="FB8:FB51" si="113">IF(AND(EV8="",ED8&gt;=33),ED8,EV8)</f>
        <v>63</v>
      </c>
      <c r="FC8" s="93">
        <f t="shared" ref="FC8:FC51" si="114">IF(AND(EW8="",EE8&gt;=33),EE8,EW8)</f>
        <v>70</v>
      </c>
      <c r="FD8" s="93">
        <f t="shared" ref="FD8:FD51" si="115">IF(AND(EX8="",EF8&gt;=33),EF8,EX8)</f>
        <v>64</v>
      </c>
      <c r="FE8" s="93">
        <f t="shared" ref="FE8:FE51" si="116">IF(AND(EY8="",EG8&gt;=33),EG8,EY8)</f>
        <v>36</v>
      </c>
      <c r="FF8" s="93">
        <f t="shared" ref="FF8:FF51" si="117">IF(AND(EZ8="",EH8&gt;=33),EH8,EZ8)</f>
        <v>66</v>
      </c>
      <c r="FG8" s="93" t="str">
        <f t="shared" ref="FG8:FG51" si="118">IF(AND(FA8="",EI8&gt;=33),EI8,FA8)</f>
        <v/>
      </c>
      <c r="FH8" s="107">
        <f t="shared" ref="FH8:FH51" si="119">IF(OR(C8="TC",C8=""),"",COUNTBLANK(EV8:EZ8))</f>
        <v>1</v>
      </c>
      <c r="FI8" s="107">
        <f t="shared" ref="FI8:FI51" si="120">IF(C8="TC","",IF(C8="","",(COUNTBLANK(FB8:FF8))))</f>
        <v>0</v>
      </c>
      <c r="FJ8" s="256" t="str">
        <f t="shared" ref="FJ8:FJ51" si="121">IF(C8="TC","",IF(FH8="","",IF(IF(OR(EC8="",EC8&lt;33),FH8=0,FH8&lt;=1),"PASS",IF(IF(EC8="",FH8&lt;=2,FH8&lt;=2),"COMPARTMENT","FAIL"))))</f>
        <v>COMPARTMENT</v>
      </c>
      <c r="FK8" s="256" t="str">
        <f t="shared" ref="FK8:FK51" si="122">IF(C8="TC","",IF(AND(ED8="",EE8="",EF8="",EG8="",EH8="", EI8=""),"",IF(AND(IF(OR(EC8="",,EC8&lt;33),FI8=0,FI8=1),FJ8="COMPARTMENT"),"PASSED AFTER COMPARTMENT","FAIL")))</f>
        <v>PASSED AFTER COMPARTMENT</v>
      </c>
      <c r="FL8" s="256" t="str">
        <f t="shared" ref="FL8:FL51" si="123">IF(OR(C8="TC",C8=""),"",IF(FJ8="PASS","",EJ8&amp;EK8&amp;EL8&amp;EM8&amp;EN8))</f>
        <v xml:space="preserve">SST, </v>
      </c>
      <c r="FM8" s="256" t="str">
        <f t="shared" ref="FM8:FM51" si="124">IF(C8="TC","",IF(OR(FK8="",FK8="PASSED AFTER COMPARTMENT"),"",EP8&amp;EQ8&amp;ER8&amp;ES8&amp;ET8))</f>
        <v/>
      </c>
      <c r="FN8" s="256" t="str">
        <f>IF(OR(C8="TC",C8=""),"",IF(OR(FJ8="PASS",FJ8="FAIL"),IF(EC8="",SUM(FB8:FF8),SUM(LARGE(FB8:FG8,{1,2,3,4,5}))),""))</f>
        <v/>
      </c>
      <c r="FO8" s="256">
        <f>IF(AND(FN8="",FK8="PASSED AFTER COMPARTMENT"),IF(EC8="",SUM(FB8:FF8),SUM(LARGE(FB8:FG8,{1,2,3,4,5}))),FN8)</f>
        <v>299</v>
      </c>
      <c r="FP8" s="256" t="str">
        <f t="shared" ref="FP8:FP51" si="125">IF(FN8="","",ROUND(FN8,0))</f>
        <v/>
      </c>
      <c r="FQ8" s="256">
        <f t="shared" ref="FQ8:FQ51" si="126">IF(FO8="","",ROUND(FO8,0))</f>
        <v>299</v>
      </c>
      <c r="FR8" s="256" t="str">
        <f t="shared" ref="FR8:FR51" si="127">IF(C8="TC","",IF(FN8="","",IF(FJ8="COMPARTMENT","",(TEXT((FP8*100/$FP$6),"0.00"))&amp;" %")))</f>
        <v/>
      </c>
      <c r="FS8" s="256" t="str">
        <f t="shared" ref="FS8:FS51" si="128">IF(C8="TC","",IF(FN8="","",IF(FJ8="COMPARTMENT","",(FP8*100/$FP$6))))</f>
        <v/>
      </c>
      <c r="FT8" s="108" t="str">
        <f t="shared" ref="FT8:FT51" si="129">IF(FS8="","",IF(FS8&lt;33,"E",IF(AND(FS8&gt;=33,FS8&lt;41),"D",IF(AND(FS8&gt;=41,FS8&lt;51),"C2",IF(AND(FS8&gt;=51,FS8&lt;61),"C1",IF(AND(FS8&gt;=61,FS8&lt;71),"B2",IF(AND(FS8&gt;=71,FS8&lt;81),"B1",IF(AND(FS8&gt;=81,FS8&lt;91),"A2",IF(AND(FS8&gt;=91,FS8&lt;=100),"A1")))))))))</f>
        <v/>
      </c>
      <c r="FU8" s="256" t="str">
        <f t="shared" ref="FU8:FU51" si="130">IF(FS8="","",SUMPRODUCT((FS8&lt;FS$7:FS$50)/COUNTIF(FS$7:FS$50,FS$7:FS$50)))</f>
        <v/>
      </c>
      <c r="FV8" s="109">
        <f>IF(ATTENDANCE!Q9="","",ATTENDANCE!Q9)</f>
        <v>190</v>
      </c>
      <c r="FW8" s="110" t="str">
        <f t="shared" ref="FW8:FW51" si="131">IF(FV8="","",ROUND((FV8*100/$FV$6),0)&amp;" %")</f>
        <v>95 %</v>
      </c>
      <c r="FX8" s="110" t="str">
        <f t="shared" ref="FX8:FX51" si="132">IF(C8="TC","",IF(FO8="","",IF(FM8="COMPARTMENT","",(TEXT((FQ8*100/$FQ$6),"0.00"))&amp;" %")))</f>
        <v>59.80 %</v>
      </c>
      <c r="FY8" s="365">
        <f t="shared" ref="FY8:FY51" si="133">IF(C8="TC","",IF(FO8="","",IF(FM8="COMPARTMENT","",(FQ8*100/$FQ$6))))</f>
        <v>59.8</v>
      </c>
      <c r="FZ8" s="108" t="str">
        <f t="shared" ref="FZ8:FZ51" si="134">IF(FY8="","",IF(FY8&lt;33,"E",IF(AND(FY8&gt;=33,FY8&lt;41),"D",IF(AND(FY8&gt;=41,FY8&lt;51),"C2",IF(AND(FY8&gt;=51,FY8&lt;61),"C1",IF(AND(FY8&gt;=61,FY8&lt;71),"B2",IF(AND(FY8&gt;=71,FY8&lt;81),"B1",IF(AND(FY8&gt;=81,FY8&lt;91),"A2",IF(AND(FY8&gt;=91,FY8&lt;=100),"A1")))))))))</f>
        <v>C1</v>
      </c>
      <c r="GA8" s="256">
        <f>IF(ATTENDANCE!Q9="","",ATTENDANCE!Q9)</f>
        <v>190</v>
      </c>
      <c r="GB8" s="108">
        <f>IF(ATTENDANCE!Q9="","",ATTENDANCE!$Q9)</f>
        <v>190</v>
      </c>
      <c r="GC8" s="108" t="s">
        <v>230</v>
      </c>
      <c r="GD8" s="60"/>
    </row>
    <row r="9" spans="1:186" ht="15" customHeight="1" x14ac:dyDescent="0.25">
      <c r="A9" s="60"/>
      <c r="B9" s="96">
        <f>IF(DATA!B7="","",DATA!B7)</f>
        <v>3</v>
      </c>
      <c r="C9" s="96" t="str">
        <f>IF(DATA!C7="","",DATA!C7)</f>
        <v>TC</v>
      </c>
      <c r="D9" s="96">
        <f>IF(DATA!D7="","",DATA!D7)</f>
        <v>1370</v>
      </c>
      <c r="E9" s="303" t="str">
        <f>IF(DATA!E7="","",DATA!E7)</f>
        <v>BHAVESH SINGH RAO</v>
      </c>
      <c r="F9" s="303" t="str">
        <f>IF(DATA!F7="","",DATA!F7)</f>
        <v>FATEH SINGH RAO</v>
      </c>
      <c r="G9" s="303" t="str">
        <f>IF(DATA!G7="","",DATA!G7)</f>
        <v>GANGA KUNWAR</v>
      </c>
      <c r="H9" s="98">
        <f>IF(DATA!H7="","",DATA!H7)</f>
        <v>40431</v>
      </c>
      <c r="I9" s="97" t="str">
        <f>IF(DATA!I7="","",DATA!I7)</f>
        <v>BOY</v>
      </c>
      <c r="J9" s="97" t="str">
        <f>IF(DATA!J7="","",DATA!J7)</f>
        <v>OBC</v>
      </c>
      <c r="K9" s="97" t="str">
        <f>IF(DATA!K7="","",DATA!K7)</f>
        <v/>
      </c>
      <c r="L9" s="99">
        <f>IF(ENGLISH!E9="","",ENGLISH!E9)</f>
        <v>7</v>
      </c>
      <c r="M9" s="100">
        <f t="shared" si="46"/>
        <v>3.5</v>
      </c>
      <c r="N9" s="99">
        <f>IF(ENGLISH!F9="","",ENGLISH!F9)</f>
        <v>31</v>
      </c>
      <c r="O9" s="100">
        <f t="shared" si="47"/>
        <v>2</v>
      </c>
      <c r="P9" s="99">
        <f>IF(ENGLISH!G9="","",ENGLISH!G9)</f>
        <v>5</v>
      </c>
      <c r="Q9" s="99">
        <f t="shared" si="48"/>
        <v>2.5</v>
      </c>
      <c r="R9" s="100">
        <f>IFERROR(LARGE((M9,O9,Q9),1),"")</f>
        <v>3.5</v>
      </c>
      <c r="S9" s="100">
        <f>IFERROR(LARGE((M9,O9,Q9),2),"")</f>
        <v>2.5</v>
      </c>
      <c r="T9" s="99">
        <f t="shared" si="49"/>
        <v>3</v>
      </c>
      <c r="U9" s="100">
        <f>IF(ENGLISH!H9="","",ENGLISH!H9)</f>
        <v>5</v>
      </c>
      <c r="V9" s="99">
        <f>IF(ENGLISH!I9="","",ENGLISH!I9)</f>
        <v>5</v>
      </c>
      <c r="W9" s="99">
        <f>IF(ENGLISH!J9="","",ENGLISH!J9)</f>
        <v>5</v>
      </c>
      <c r="X9" s="99">
        <f t="shared" si="50"/>
        <v>18</v>
      </c>
      <c r="Y9" s="100">
        <f>IF(ENGLISH!K9="","",ENGLISH!K9)</f>
        <v>52</v>
      </c>
      <c r="Z9" s="100">
        <f t="shared" si="51"/>
        <v>52</v>
      </c>
      <c r="AA9" s="101" t="str">
        <f t="shared" si="52"/>
        <v/>
      </c>
      <c r="AB9" s="99" t="str">
        <f t="shared" si="15"/>
        <v/>
      </c>
      <c r="AC9" s="99" t="str">
        <f>IF(ENGLISH!O9="","",ENGLISH!O9)</f>
        <v/>
      </c>
      <c r="AD9" s="99" t="str">
        <f t="shared" si="53"/>
        <v/>
      </c>
      <c r="AE9" s="99" t="str">
        <f t="shared" si="54"/>
        <v/>
      </c>
      <c r="AF9" s="99" t="str">
        <f t="shared" si="55"/>
        <v/>
      </c>
      <c r="AG9" s="102" t="str">
        <f>IF(C9="","",VLOOKUP(C9,'HINDI-SKT'!$D$7:$E$51,2,0))</f>
        <v>HINDI</v>
      </c>
      <c r="AH9" s="102">
        <f>IF('HINDI-SKT'!F9="","",'HINDI-SKT'!F9)</f>
        <v>8</v>
      </c>
      <c r="AI9" s="103">
        <f t="shared" si="16"/>
        <v>4</v>
      </c>
      <c r="AJ9" s="102">
        <f>IF('HINDI-SKT'!G9="","",'HINDI-SKT'!G9)</f>
        <v>46</v>
      </c>
      <c r="AK9" s="103">
        <f t="shared" si="17"/>
        <v>2.9</v>
      </c>
      <c r="AL9" s="102">
        <f>IF('HINDI-SKT'!H9="","",'HINDI-SKT'!H9)</f>
        <v>7</v>
      </c>
      <c r="AM9" s="102">
        <f t="shared" si="18"/>
        <v>3.5</v>
      </c>
      <c r="AN9" s="103">
        <f>IFERROR(LARGE((AI9,AK9,AM9),1),"")</f>
        <v>4</v>
      </c>
      <c r="AO9" s="103">
        <f>IFERROR(LARGE((AI9,AK9,AM9),2),"")</f>
        <v>3.5</v>
      </c>
      <c r="AP9" s="102">
        <f t="shared" si="19"/>
        <v>3.75</v>
      </c>
      <c r="AQ9" s="103">
        <f>IF('HINDI-SKT'!I9="","",'HINDI-SKT'!I9)</f>
        <v>5</v>
      </c>
      <c r="AR9" s="102">
        <f>IF('HINDI-SKT'!J9="","",'HINDI-SKT'!J9)</f>
        <v>5</v>
      </c>
      <c r="AS9" s="102">
        <f>IF('HINDI-SKT'!K9="","",'HINDI-SKT'!K9)</f>
        <v>5</v>
      </c>
      <c r="AT9" s="102" t="str">
        <f t="shared" si="56"/>
        <v/>
      </c>
      <c r="AU9" s="102">
        <f>IF('HINDI-SKT'!L9="","",'HINDI-SKT'!L9)</f>
        <v>50</v>
      </c>
      <c r="AV9" s="103">
        <f t="shared" si="57"/>
        <v>50</v>
      </c>
      <c r="AW9" s="102" t="str">
        <f t="shared" si="58"/>
        <v/>
      </c>
      <c r="AX9" s="102" t="str">
        <f t="shared" si="59"/>
        <v/>
      </c>
      <c r="AY9" s="102" t="str">
        <f>IF('HINDI-SKT'!P9="","",'HINDI-SKT'!P9)</f>
        <v/>
      </c>
      <c r="AZ9" s="102" t="str">
        <f t="shared" si="60"/>
        <v/>
      </c>
      <c r="BA9" s="102" t="str">
        <f t="shared" si="61"/>
        <v/>
      </c>
      <c r="BB9" s="102" t="str">
        <f t="shared" si="62"/>
        <v/>
      </c>
      <c r="BC9" s="99">
        <f>IF(MATHS!E9="","",MATHS!E9)</f>
        <v>6</v>
      </c>
      <c r="BD9" s="100">
        <f t="shared" si="22"/>
        <v>3</v>
      </c>
      <c r="BE9" s="99">
        <f>IF(MATHS!F9="","",MATHS!F9)</f>
        <v>36</v>
      </c>
      <c r="BF9" s="100">
        <f t="shared" si="23"/>
        <v>2.3000000000000003</v>
      </c>
      <c r="BG9" s="99">
        <f>IF(MATHS!G9="","",MATHS!G9)</f>
        <v>7</v>
      </c>
      <c r="BH9" s="99">
        <f t="shared" si="24"/>
        <v>3.5</v>
      </c>
      <c r="BI9" s="100">
        <f>IFERROR(LARGE((BD9,BF9,BH9),1),"")</f>
        <v>3.5</v>
      </c>
      <c r="BJ9" s="100">
        <f>IFERROR(LARGE((BD9,BF9,BH9),2),"")</f>
        <v>3</v>
      </c>
      <c r="BK9" s="99">
        <f t="shared" si="25"/>
        <v>3.25</v>
      </c>
      <c r="BL9" s="100">
        <f>IF(MATHS!H9="","",MATHS!H9)</f>
        <v>5</v>
      </c>
      <c r="BM9" s="99">
        <f>IF(MATHS!I9="","",MATHS!I9)</f>
        <v>5</v>
      </c>
      <c r="BN9" s="99">
        <f>IF(MATHS!J9="","",MATHS!J9)</f>
        <v>5</v>
      </c>
      <c r="BO9" s="99" t="str">
        <f t="shared" si="63"/>
        <v/>
      </c>
      <c r="BP9" s="99">
        <f>IF(MATHS!K9="","",MATHS!K9)</f>
        <v>2</v>
      </c>
      <c r="BQ9" s="100">
        <f t="shared" si="26"/>
        <v>2</v>
      </c>
      <c r="BR9" s="99" t="str">
        <f t="shared" si="64"/>
        <v/>
      </c>
      <c r="BS9" s="99" t="str">
        <f t="shared" si="27"/>
        <v/>
      </c>
      <c r="BT9" s="99" t="str">
        <f>IF(MATHS!O9="","",MATHS!O9)</f>
        <v/>
      </c>
      <c r="BU9" s="99" t="str">
        <f t="shared" si="65"/>
        <v/>
      </c>
      <c r="BV9" s="99" t="str">
        <f t="shared" si="66"/>
        <v/>
      </c>
      <c r="BW9" s="102" t="str">
        <f t="shared" si="67"/>
        <v/>
      </c>
      <c r="BX9" s="102">
        <f>IF(SCIENCE!E9="","",SCIENCE!E9)</f>
        <v>5</v>
      </c>
      <c r="BY9" s="103">
        <f t="shared" si="28"/>
        <v>2.5</v>
      </c>
      <c r="BZ9" s="102">
        <f>IF(SCIENCE!F9="","",SCIENCE!F9)</f>
        <v>31</v>
      </c>
      <c r="CA9" s="103">
        <f t="shared" si="29"/>
        <v>2</v>
      </c>
      <c r="CB9" s="102">
        <f>IF(SCIENCE!G9="","",SCIENCE!G9)</f>
        <v>8</v>
      </c>
      <c r="CC9" s="102">
        <f t="shared" si="30"/>
        <v>4</v>
      </c>
      <c r="CD9" s="103">
        <f>IFERROR(LARGE((BY9,CA9,CC9),1),"")</f>
        <v>4</v>
      </c>
      <c r="CE9" s="103">
        <f>IFERROR(LARGE((BY9,CA9,CC9),2),"")</f>
        <v>2.5</v>
      </c>
      <c r="CF9" s="102">
        <f t="shared" si="31"/>
        <v>3.25</v>
      </c>
      <c r="CG9" s="103">
        <f>IF(SCIENCE!H9="","",SCIENCE!H9)</f>
        <v>5</v>
      </c>
      <c r="CH9" s="103">
        <f>IF(SCIENCE!I9="","",SCIENCE!I9)</f>
        <v>5</v>
      </c>
      <c r="CI9" s="103">
        <f>IF(SCIENCE!J9="","",SCIENCE!J9)</f>
        <v>4</v>
      </c>
      <c r="CJ9" s="103" t="str">
        <f t="shared" si="68"/>
        <v/>
      </c>
      <c r="CK9" s="103">
        <f>IF(SCIENCE!K9="","",SCIENCE!K9)</f>
        <v>30</v>
      </c>
      <c r="CL9" s="103">
        <f t="shared" si="32"/>
        <v>30</v>
      </c>
      <c r="CM9" s="102" t="str">
        <f t="shared" si="69"/>
        <v/>
      </c>
      <c r="CN9" s="102" t="str">
        <f t="shared" si="33"/>
        <v/>
      </c>
      <c r="CO9" s="102" t="str">
        <f>IF(SCIENCE!O9="","",SCIENCE!O9)</f>
        <v/>
      </c>
      <c r="CP9" s="102" t="str">
        <f t="shared" si="70"/>
        <v/>
      </c>
      <c r="CQ9" s="102" t="str">
        <f t="shared" si="71"/>
        <v/>
      </c>
      <c r="CR9" s="102" t="str">
        <f t="shared" si="72"/>
        <v/>
      </c>
      <c r="CS9" s="99">
        <f>IF(SST!E9="","",SST!E9)</f>
        <v>6</v>
      </c>
      <c r="CT9" s="100">
        <f t="shared" si="34"/>
        <v>3</v>
      </c>
      <c r="CU9" s="99">
        <f>IF(SST!F9="","",SST!F9)</f>
        <v>66</v>
      </c>
      <c r="CV9" s="100">
        <f t="shared" si="35"/>
        <v>4.1999999999999993</v>
      </c>
      <c r="CW9" s="99">
        <f>IF(SST!G9="","",SST!G9)</f>
        <v>0</v>
      </c>
      <c r="CX9" s="99">
        <f t="shared" si="36"/>
        <v>0</v>
      </c>
      <c r="CY9" s="100">
        <f>IFERROR(LARGE((CT9,CV9,CX9),1),"")</f>
        <v>4.1999999999999993</v>
      </c>
      <c r="CZ9" s="100">
        <f>IFERROR(LARGE((CT9,CV9,CX9),2),"")</f>
        <v>3</v>
      </c>
      <c r="DA9" s="99">
        <f t="shared" si="37"/>
        <v>3.5999999999999996</v>
      </c>
      <c r="DB9" s="100">
        <f>IF(SST!H9="","",SST!H9)</f>
        <v>5</v>
      </c>
      <c r="DC9" s="100">
        <f>IF(SST!I9="","",SST!I9)</f>
        <v>5</v>
      </c>
      <c r="DD9" s="100">
        <f>IF(SST!J9="","",SST!J9)</f>
        <v>5</v>
      </c>
      <c r="DE9" s="100" t="str">
        <f t="shared" si="73"/>
        <v/>
      </c>
      <c r="DF9" s="100">
        <f>IF(SST!K9="","",SST!K9)</f>
        <v>22</v>
      </c>
      <c r="DG9" s="100">
        <f t="shared" si="74"/>
        <v>22</v>
      </c>
      <c r="DH9" s="99" t="str">
        <f t="shared" si="75"/>
        <v/>
      </c>
      <c r="DI9" s="99" t="str">
        <f t="shared" si="38"/>
        <v/>
      </c>
      <c r="DJ9" s="99" t="str">
        <f>IF(SST!O9="","",SST!O9)</f>
        <v/>
      </c>
      <c r="DK9" s="99" t="str">
        <f t="shared" si="76"/>
        <v/>
      </c>
      <c r="DL9" s="99" t="str">
        <f t="shared" si="77"/>
        <v/>
      </c>
      <c r="DM9" s="99" t="str">
        <f t="shared" si="78"/>
        <v/>
      </c>
      <c r="DN9" s="99"/>
      <c r="DO9" s="102" t="str">
        <f>IF(C9="","",IF(VLOOKUP(C9,VOCATIONAL!$D$7:$E$51,2,0)="","",VLOOKUP(C9,VOCATIONAL!$D$7:$E$51,2,0)))</f>
        <v/>
      </c>
      <c r="DP9" s="102" t="str">
        <f>IF(VOCATIONAL!F9="","",VOCATIONAL!F9)</f>
        <v/>
      </c>
      <c r="DQ9" s="102" t="str">
        <f>IF(VOCATIONAL!G9="","",VOCATIONAL!G9)</f>
        <v/>
      </c>
      <c r="DR9" s="102" t="str">
        <f t="shared" si="79"/>
        <v/>
      </c>
      <c r="DS9" s="102" t="str">
        <f t="shared" si="80"/>
        <v/>
      </c>
      <c r="DT9" s="102" t="str">
        <f>IF(VOCATIONAL!K9="","",VOCATIONAL!K9)</f>
        <v/>
      </c>
      <c r="DU9" s="102" t="str">
        <f t="shared" si="81"/>
        <v/>
      </c>
      <c r="DV9" s="102" t="str">
        <f t="shared" si="82"/>
        <v/>
      </c>
      <c r="DW9" s="99"/>
      <c r="DX9" s="104" t="str">
        <f t="shared" si="83"/>
        <v/>
      </c>
      <c r="DY9" s="104" t="str">
        <f t="shared" si="84"/>
        <v/>
      </c>
      <c r="DZ9" s="104" t="str">
        <f t="shared" si="85"/>
        <v/>
      </c>
      <c r="EA9" s="104" t="str">
        <f t="shared" si="86"/>
        <v/>
      </c>
      <c r="EB9" s="104" t="str">
        <f t="shared" si="87"/>
        <v/>
      </c>
      <c r="EC9" s="104" t="str">
        <f t="shared" si="88"/>
        <v/>
      </c>
      <c r="ED9" s="104" t="str">
        <f t="shared" si="89"/>
        <v/>
      </c>
      <c r="EE9" s="104" t="str">
        <f t="shared" si="90"/>
        <v/>
      </c>
      <c r="EF9" s="104" t="str">
        <f t="shared" si="91"/>
        <v/>
      </c>
      <c r="EG9" s="104" t="str">
        <f t="shared" si="92"/>
        <v/>
      </c>
      <c r="EH9" s="104" t="str">
        <f t="shared" si="93"/>
        <v/>
      </c>
      <c r="EI9" s="104" t="str">
        <f t="shared" si="94"/>
        <v/>
      </c>
      <c r="EJ9" s="105" t="str">
        <f t="shared" si="95"/>
        <v/>
      </c>
      <c r="EK9" s="105" t="str">
        <f t="shared" si="96"/>
        <v/>
      </c>
      <c r="EL9" s="105" t="str">
        <f t="shared" si="97"/>
        <v/>
      </c>
      <c r="EM9" s="105" t="str">
        <f t="shared" si="98"/>
        <v/>
      </c>
      <c r="EN9" s="105" t="str">
        <f t="shared" si="99"/>
        <v/>
      </c>
      <c r="EO9" s="363" t="str">
        <f t="shared" si="100"/>
        <v/>
      </c>
      <c r="EP9" s="106" t="str">
        <f t="shared" si="101"/>
        <v/>
      </c>
      <c r="EQ9" s="106" t="str">
        <f t="shared" si="102"/>
        <v/>
      </c>
      <c r="ER9" s="106" t="str">
        <f t="shared" si="103"/>
        <v/>
      </c>
      <c r="ES9" s="106" t="str">
        <f t="shared" si="104"/>
        <v/>
      </c>
      <c r="ET9" s="106" t="str">
        <f t="shared" si="105"/>
        <v/>
      </c>
      <c r="EU9" s="106" t="str">
        <f t="shared" si="106"/>
        <v/>
      </c>
      <c r="EV9" s="92" t="str">
        <f t="shared" si="107"/>
        <v/>
      </c>
      <c r="EW9" s="92" t="str">
        <f t="shared" si="108"/>
        <v/>
      </c>
      <c r="EX9" s="92" t="str">
        <f t="shared" si="109"/>
        <v/>
      </c>
      <c r="EY9" s="92" t="str">
        <f t="shared" si="110"/>
        <v/>
      </c>
      <c r="EZ9" s="92" t="str">
        <f t="shared" si="111"/>
        <v/>
      </c>
      <c r="FA9" s="92" t="str">
        <f t="shared" si="112"/>
        <v/>
      </c>
      <c r="FB9" s="93" t="str">
        <f t="shared" si="113"/>
        <v/>
      </c>
      <c r="FC9" s="93" t="str">
        <f t="shared" si="114"/>
        <v/>
      </c>
      <c r="FD9" s="93" t="str">
        <f t="shared" si="115"/>
        <v/>
      </c>
      <c r="FE9" s="93" t="str">
        <f t="shared" si="116"/>
        <v/>
      </c>
      <c r="FF9" s="93" t="str">
        <f t="shared" si="117"/>
        <v/>
      </c>
      <c r="FG9" s="93" t="str">
        <f t="shared" si="118"/>
        <v/>
      </c>
      <c r="FH9" s="107" t="str">
        <f t="shared" si="119"/>
        <v/>
      </c>
      <c r="FI9" s="107" t="str">
        <f t="shared" si="120"/>
        <v/>
      </c>
      <c r="FJ9" s="256" t="str">
        <f t="shared" si="121"/>
        <v/>
      </c>
      <c r="FK9" s="256" t="str">
        <f t="shared" si="122"/>
        <v/>
      </c>
      <c r="FL9" s="256" t="str">
        <f t="shared" si="123"/>
        <v/>
      </c>
      <c r="FM9" s="256" t="str">
        <f t="shared" si="124"/>
        <v/>
      </c>
      <c r="FN9" s="256" t="str">
        <f>IF(OR(C9="TC",C9=""),"",IF(OR(FJ9="PASS",FJ9="FAIL"),IF(EC9="",SUM(FB9:FF9),SUM(LARGE(FB9:FG9,{1,2,3,4,5}))),""))</f>
        <v/>
      </c>
      <c r="FO9" s="256" t="str">
        <f>IF(AND(FN9="",FK9="PASSED AFTER COMPARTMENT"),IF(EC9="",SUM(FB9:FF9),SUM(LARGE(FB9:FG9,{1,2,3,4,5}))),FN9)</f>
        <v/>
      </c>
      <c r="FP9" s="256" t="str">
        <f t="shared" si="125"/>
        <v/>
      </c>
      <c r="FQ9" s="256" t="str">
        <f t="shared" si="126"/>
        <v/>
      </c>
      <c r="FR9" s="256" t="str">
        <f t="shared" si="127"/>
        <v/>
      </c>
      <c r="FS9" s="256" t="str">
        <f t="shared" si="128"/>
        <v/>
      </c>
      <c r="FT9" s="108" t="str">
        <f t="shared" si="129"/>
        <v/>
      </c>
      <c r="FU9" s="256" t="str">
        <f t="shared" si="130"/>
        <v/>
      </c>
      <c r="FV9" s="109">
        <f>IF(ATTENDANCE!Q10="","",ATTENDANCE!Q10)</f>
        <v>164</v>
      </c>
      <c r="FW9" s="110" t="str">
        <f t="shared" si="131"/>
        <v>82 %</v>
      </c>
      <c r="FX9" s="110" t="str">
        <f t="shared" si="132"/>
        <v/>
      </c>
      <c r="FY9" s="365" t="str">
        <f t="shared" si="133"/>
        <v/>
      </c>
      <c r="FZ9" s="108" t="str">
        <f t="shared" si="134"/>
        <v/>
      </c>
      <c r="GA9" s="256">
        <f>IF(ATTENDANCE!Q10="","",ATTENDANCE!Q10)</f>
        <v>164</v>
      </c>
      <c r="GB9" s="108">
        <f>IF(ATTENDANCE!Q10="","",ATTENDANCE!$Q10)</f>
        <v>164</v>
      </c>
      <c r="GC9" s="108" t="s">
        <v>231</v>
      </c>
      <c r="GD9" s="60"/>
    </row>
    <row r="10" spans="1:186" ht="15" customHeight="1" x14ac:dyDescent="0.25">
      <c r="A10" s="60"/>
      <c r="B10" s="96">
        <f>IF(DATA!B8="","",DATA!B8)</f>
        <v>4</v>
      </c>
      <c r="C10" s="96" t="str">
        <f>IF(DATA!C8="","",DATA!C8)</f>
        <v/>
      </c>
      <c r="D10" s="96" t="str">
        <f>IF(DATA!D8="","",DATA!D8)</f>
        <v/>
      </c>
      <c r="E10" s="303" t="str">
        <f>IF(DATA!E8="","",DATA!E8)</f>
        <v/>
      </c>
      <c r="F10" s="303" t="str">
        <f>IF(DATA!F8="","",DATA!F8)</f>
        <v/>
      </c>
      <c r="G10" s="303" t="str">
        <f>IF(DATA!G8="","",DATA!G8)</f>
        <v/>
      </c>
      <c r="H10" s="98" t="str">
        <f>IF(DATA!H8="","",DATA!H8)</f>
        <v/>
      </c>
      <c r="I10" s="97" t="str">
        <f>IF(DATA!I8="","",DATA!I8)</f>
        <v/>
      </c>
      <c r="J10" s="97" t="str">
        <f>IF(DATA!J8="","",DATA!J8)</f>
        <v/>
      </c>
      <c r="K10" s="97" t="str">
        <f>IF(DATA!K8="","",DATA!K8)</f>
        <v/>
      </c>
      <c r="L10" s="99" t="str">
        <f>IF(ENGLISH!E10="","",ENGLISH!E10)</f>
        <v/>
      </c>
      <c r="M10" s="100" t="str">
        <f t="shared" si="46"/>
        <v/>
      </c>
      <c r="N10" s="99" t="str">
        <f>IF(ENGLISH!F10="","",ENGLISH!F10)</f>
        <v/>
      </c>
      <c r="O10" s="100" t="str">
        <f t="shared" si="47"/>
        <v/>
      </c>
      <c r="P10" s="99" t="str">
        <f>IF(ENGLISH!G10="","",ENGLISH!G10)</f>
        <v/>
      </c>
      <c r="Q10" s="99" t="str">
        <f t="shared" si="48"/>
        <v/>
      </c>
      <c r="R10" s="100" t="str">
        <f>IFERROR(LARGE((M10,O10,Q10),1),"")</f>
        <v/>
      </c>
      <c r="S10" s="100" t="str">
        <f>IFERROR(LARGE((M10,O10,Q10),2),"")</f>
        <v/>
      </c>
      <c r="T10" s="99" t="str">
        <f t="shared" si="49"/>
        <v/>
      </c>
      <c r="U10" s="100" t="str">
        <f>IF(ENGLISH!H10="","",ENGLISH!H10)</f>
        <v/>
      </c>
      <c r="V10" s="99" t="str">
        <f>IF(ENGLISH!I10="","",ENGLISH!I10)</f>
        <v/>
      </c>
      <c r="W10" s="99" t="str">
        <f>IF(ENGLISH!J10="","",ENGLISH!J10)</f>
        <v/>
      </c>
      <c r="X10" s="99" t="str">
        <f t="shared" si="50"/>
        <v/>
      </c>
      <c r="Y10" s="100" t="str">
        <f>IF(ENGLISH!K10="","",ENGLISH!K10)</f>
        <v/>
      </c>
      <c r="Z10" s="100" t="str">
        <f t="shared" si="51"/>
        <v/>
      </c>
      <c r="AA10" s="101" t="str">
        <f t="shared" si="52"/>
        <v/>
      </c>
      <c r="AB10" s="99" t="str">
        <f t="shared" si="15"/>
        <v/>
      </c>
      <c r="AC10" s="99" t="str">
        <f>IF(ENGLISH!O10="","",ENGLISH!O10)</f>
        <v/>
      </c>
      <c r="AD10" s="99" t="str">
        <f t="shared" si="53"/>
        <v/>
      </c>
      <c r="AE10" s="99" t="str">
        <f t="shared" si="54"/>
        <v/>
      </c>
      <c r="AF10" s="99" t="str">
        <f t="shared" si="55"/>
        <v/>
      </c>
      <c r="AG10" s="102" t="str">
        <f>IF(C10="","",VLOOKUP(C10,'HINDI-SKT'!$D$7:$E$51,2,0))</f>
        <v/>
      </c>
      <c r="AH10" s="102" t="str">
        <f>IF('HINDI-SKT'!F10="","",'HINDI-SKT'!F10)</f>
        <v/>
      </c>
      <c r="AI10" s="103" t="str">
        <f t="shared" si="16"/>
        <v/>
      </c>
      <c r="AJ10" s="102" t="str">
        <f>IF('HINDI-SKT'!G10="","",'HINDI-SKT'!G10)</f>
        <v/>
      </c>
      <c r="AK10" s="103" t="str">
        <f t="shared" si="17"/>
        <v/>
      </c>
      <c r="AL10" s="102" t="str">
        <f>IF('HINDI-SKT'!H10="","",'HINDI-SKT'!H10)</f>
        <v/>
      </c>
      <c r="AM10" s="102" t="str">
        <f t="shared" si="18"/>
        <v/>
      </c>
      <c r="AN10" s="103" t="str">
        <f>IFERROR(LARGE((AI10,AK10,AM10),1),"")</f>
        <v/>
      </c>
      <c r="AO10" s="103" t="str">
        <f>IFERROR(LARGE((AI10,AK10,AM10),2),"")</f>
        <v/>
      </c>
      <c r="AP10" s="102" t="str">
        <f t="shared" si="19"/>
        <v/>
      </c>
      <c r="AQ10" s="103" t="str">
        <f>IF('HINDI-SKT'!I10="","",'HINDI-SKT'!I10)</f>
        <v/>
      </c>
      <c r="AR10" s="102" t="str">
        <f>IF('HINDI-SKT'!J10="","",'HINDI-SKT'!J10)</f>
        <v/>
      </c>
      <c r="AS10" s="102" t="str">
        <f>IF('HINDI-SKT'!K10="","",'HINDI-SKT'!K10)</f>
        <v/>
      </c>
      <c r="AT10" s="102" t="str">
        <f t="shared" si="56"/>
        <v/>
      </c>
      <c r="AU10" s="102" t="str">
        <f>IF('HINDI-SKT'!L10="","",'HINDI-SKT'!L10)</f>
        <v/>
      </c>
      <c r="AV10" s="103" t="str">
        <f t="shared" si="57"/>
        <v/>
      </c>
      <c r="AW10" s="102" t="str">
        <f t="shared" si="58"/>
        <v/>
      </c>
      <c r="AX10" s="102" t="str">
        <f t="shared" si="59"/>
        <v/>
      </c>
      <c r="AY10" s="102" t="str">
        <f>IF('HINDI-SKT'!P10="","",'HINDI-SKT'!P10)</f>
        <v/>
      </c>
      <c r="AZ10" s="102" t="str">
        <f t="shared" si="60"/>
        <v/>
      </c>
      <c r="BA10" s="102" t="str">
        <f t="shared" si="61"/>
        <v/>
      </c>
      <c r="BB10" s="102" t="str">
        <f t="shared" si="62"/>
        <v/>
      </c>
      <c r="BC10" s="99" t="str">
        <f>IF(MATHS!E10="","",MATHS!E10)</f>
        <v/>
      </c>
      <c r="BD10" s="100" t="str">
        <f t="shared" si="22"/>
        <v/>
      </c>
      <c r="BE10" s="99" t="str">
        <f>IF(MATHS!F10="","",MATHS!F10)</f>
        <v/>
      </c>
      <c r="BF10" s="100" t="str">
        <f t="shared" si="23"/>
        <v/>
      </c>
      <c r="BG10" s="99" t="str">
        <f>IF(MATHS!G10="","",MATHS!G10)</f>
        <v/>
      </c>
      <c r="BH10" s="99" t="str">
        <f t="shared" si="24"/>
        <v/>
      </c>
      <c r="BI10" s="100" t="str">
        <f>IFERROR(LARGE((BD10,BF10,BH10),1),"")</f>
        <v/>
      </c>
      <c r="BJ10" s="100" t="str">
        <f>IFERROR(LARGE((BD10,BF10,BH10),2),"")</f>
        <v/>
      </c>
      <c r="BK10" s="99" t="str">
        <f t="shared" si="25"/>
        <v/>
      </c>
      <c r="BL10" s="100" t="str">
        <f>IF(MATHS!H10="","",MATHS!H10)</f>
        <v/>
      </c>
      <c r="BM10" s="99" t="str">
        <f>IF(MATHS!I10="","",MATHS!I10)</f>
        <v/>
      </c>
      <c r="BN10" s="99" t="str">
        <f>IF(MATHS!J10="","",MATHS!J10)</f>
        <v/>
      </c>
      <c r="BO10" s="99" t="str">
        <f t="shared" si="63"/>
        <v/>
      </c>
      <c r="BP10" s="99" t="str">
        <f>IF(MATHS!K10="","",MATHS!K10)</f>
        <v/>
      </c>
      <c r="BQ10" s="100" t="str">
        <f t="shared" si="26"/>
        <v/>
      </c>
      <c r="BR10" s="99" t="str">
        <f t="shared" si="64"/>
        <v/>
      </c>
      <c r="BS10" s="99" t="str">
        <f t="shared" si="27"/>
        <v/>
      </c>
      <c r="BT10" s="99" t="str">
        <f>IF(MATHS!O10="","",MATHS!O10)</f>
        <v/>
      </c>
      <c r="BU10" s="99" t="str">
        <f t="shared" si="65"/>
        <v/>
      </c>
      <c r="BV10" s="99" t="str">
        <f t="shared" si="66"/>
        <v/>
      </c>
      <c r="BW10" s="102" t="str">
        <f t="shared" si="67"/>
        <v/>
      </c>
      <c r="BX10" s="102" t="str">
        <f>IF(SCIENCE!E10="","",SCIENCE!E10)</f>
        <v/>
      </c>
      <c r="BY10" s="103" t="str">
        <f t="shared" si="28"/>
        <v/>
      </c>
      <c r="BZ10" s="102" t="str">
        <f>IF(SCIENCE!F10="","",SCIENCE!F10)</f>
        <v/>
      </c>
      <c r="CA10" s="103" t="str">
        <f t="shared" si="29"/>
        <v/>
      </c>
      <c r="CB10" s="102" t="str">
        <f>IF(SCIENCE!G10="","",SCIENCE!G10)</f>
        <v/>
      </c>
      <c r="CC10" s="102" t="str">
        <f t="shared" si="30"/>
        <v/>
      </c>
      <c r="CD10" s="103" t="str">
        <f>IFERROR(LARGE((BY10,CA10,CC10),1),"")</f>
        <v/>
      </c>
      <c r="CE10" s="103" t="str">
        <f>IFERROR(LARGE((BY10,CA10,CC10),2),"")</f>
        <v/>
      </c>
      <c r="CF10" s="102" t="str">
        <f t="shared" si="31"/>
        <v/>
      </c>
      <c r="CG10" s="103" t="str">
        <f>IF(SCIENCE!H10="","",SCIENCE!H10)</f>
        <v/>
      </c>
      <c r="CH10" s="103" t="str">
        <f>IF(SCIENCE!I10="","",SCIENCE!I10)</f>
        <v/>
      </c>
      <c r="CI10" s="103" t="str">
        <f>IF(SCIENCE!J10="","",SCIENCE!J10)</f>
        <v/>
      </c>
      <c r="CJ10" s="103" t="str">
        <f t="shared" si="68"/>
        <v/>
      </c>
      <c r="CK10" s="103" t="str">
        <f>IF(SCIENCE!K10="","",SCIENCE!K10)</f>
        <v/>
      </c>
      <c r="CL10" s="103" t="str">
        <f t="shared" si="32"/>
        <v/>
      </c>
      <c r="CM10" s="102" t="str">
        <f t="shared" si="69"/>
        <v/>
      </c>
      <c r="CN10" s="102" t="str">
        <f t="shared" si="33"/>
        <v/>
      </c>
      <c r="CO10" s="102" t="str">
        <f>IF(SCIENCE!O10="","",SCIENCE!O10)</f>
        <v/>
      </c>
      <c r="CP10" s="102" t="str">
        <f t="shared" si="70"/>
        <v/>
      </c>
      <c r="CQ10" s="102" t="str">
        <f t="shared" si="71"/>
        <v/>
      </c>
      <c r="CR10" s="102" t="str">
        <f t="shared" si="72"/>
        <v/>
      </c>
      <c r="CS10" s="99" t="str">
        <f>IF(SST!E10="","",SST!E10)</f>
        <v/>
      </c>
      <c r="CT10" s="100" t="str">
        <f t="shared" si="34"/>
        <v/>
      </c>
      <c r="CU10" s="99" t="str">
        <f>IF(SST!F10="","",SST!F10)</f>
        <v/>
      </c>
      <c r="CV10" s="100" t="str">
        <f t="shared" si="35"/>
        <v/>
      </c>
      <c r="CW10" s="99" t="str">
        <f>IF(SST!G10="","",SST!G10)</f>
        <v/>
      </c>
      <c r="CX10" s="99" t="str">
        <f t="shared" si="36"/>
        <v/>
      </c>
      <c r="CY10" s="100" t="str">
        <f>IFERROR(LARGE((CT10,CV10,CX10),1),"")</f>
        <v/>
      </c>
      <c r="CZ10" s="100" t="str">
        <f>IFERROR(LARGE((CT10,CV10,CX10),2),"")</f>
        <v/>
      </c>
      <c r="DA10" s="99" t="str">
        <f t="shared" si="37"/>
        <v/>
      </c>
      <c r="DB10" s="100" t="str">
        <f>IF(SST!H10="","",SST!H10)</f>
        <v/>
      </c>
      <c r="DC10" s="100" t="str">
        <f>IF(SST!I10="","",SST!I10)</f>
        <v/>
      </c>
      <c r="DD10" s="100" t="str">
        <f>IF(SST!J10="","",SST!J10)</f>
        <v/>
      </c>
      <c r="DE10" s="100" t="str">
        <f t="shared" si="73"/>
        <v/>
      </c>
      <c r="DF10" s="100" t="str">
        <f>IF(SST!K10="","",SST!K10)</f>
        <v/>
      </c>
      <c r="DG10" s="100" t="str">
        <f t="shared" si="74"/>
        <v/>
      </c>
      <c r="DH10" s="99" t="str">
        <f t="shared" si="75"/>
        <v/>
      </c>
      <c r="DI10" s="99" t="str">
        <f t="shared" si="38"/>
        <v/>
      </c>
      <c r="DJ10" s="99" t="str">
        <f>IF(SST!O10="","",SST!O10)</f>
        <v/>
      </c>
      <c r="DK10" s="99" t="str">
        <f t="shared" si="76"/>
        <v/>
      </c>
      <c r="DL10" s="99" t="str">
        <f t="shared" si="77"/>
        <v/>
      </c>
      <c r="DM10" s="99" t="str">
        <f t="shared" si="78"/>
        <v/>
      </c>
      <c r="DN10" s="99"/>
      <c r="DO10" s="102" t="str">
        <f>IF(C10="","",IF(VLOOKUP(C10,VOCATIONAL!$D$7:$E$51,2,0)="","",VLOOKUP(C10,VOCATIONAL!$D$7:$E$51,2,0)))</f>
        <v/>
      </c>
      <c r="DP10" s="102" t="str">
        <f>IF(VOCATIONAL!F10="","",VOCATIONAL!F10)</f>
        <v/>
      </c>
      <c r="DQ10" s="102" t="str">
        <f>IF(VOCATIONAL!G10="","",VOCATIONAL!G10)</f>
        <v/>
      </c>
      <c r="DR10" s="102" t="str">
        <f t="shared" si="79"/>
        <v/>
      </c>
      <c r="DS10" s="102" t="str">
        <f t="shared" si="80"/>
        <v/>
      </c>
      <c r="DT10" s="102" t="str">
        <f>IF(VOCATIONAL!K10="","",VOCATIONAL!K10)</f>
        <v/>
      </c>
      <c r="DU10" s="102" t="str">
        <f t="shared" si="81"/>
        <v/>
      </c>
      <c r="DV10" s="102" t="str">
        <f t="shared" si="82"/>
        <v/>
      </c>
      <c r="DW10" s="99"/>
      <c r="DX10" s="104" t="str">
        <f t="shared" si="83"/>
        <v/>
      </c>
      <c r="DY10" s="104" t="str">
        <f t="shared" si="84"/>
        <v/>
      </c>
      <c r="DZ10" s="104" t="str">
        <f t="shared" si="85"/>
        <v/>
      </c>
      <c r="EA10" s="104" t="str">
        <f t="shared" si="86"/>
        <v/>
      </c>
      <c r="EB10" s="104" t="str">
        <f t="shared" si="87"/>
        <v/>
      </c>
      <c r="EC10" s="104" t="str">
        <f t="shared" si="88"/>
        <v/>
      </c>
      <c r="ED10" s="104" t="str">
        <f t="shared" si="89"/>
        <v/>
      </c>
      <c r="EE10" s="104" t="str">
        <f t="shared" si="90"/>
        <v/>
      </c>
      <c r="EF10" s="104" t="str">
        <f t="shared" si="91"/>
        <v/>
      </c>
      <c r="EG10" s="104" t="str">
        <f t="shared" si="92"/>
        <v/>
      </c>
      <c r="EH10" s="104" t="str">
        <f t="shared" si="93"/>
        <v/>
      </c>
      <c r="EI10" s="104" t="str">
        <f t="shared" si="94"/>
        <v/>
      </c>
      <c r="EJ10" s="105" t="str">
        <f t="shared" si="95"/>
        <v/>
      </c>
      <c r="EK10" s="105" t="str">
        <f t="shared" si="96"/>
        <v/>
      </c>
      <c r="EL10" s="105" t="str">
        <f t="shared" si="97"/>
        <v/>
      </c>
      <c r="EM10" s="105" t="str">
        <f t="shared" si="98"/>
        <v/>
      </c>
      <c r="EN10" s="105" t="str">
        <f t="shared" si="99"/>
        <v/>
      </c>
      <c r="EO10" s="363" t="str">
        <f t="shared" si="100"/>
        <v/>
      </c>
      <c r="EP10" s="106" t="str">
        <f t="shared" si="101"/>
        <v/>
      </c>
      <c r="EQ10" s="106" t="str">
        <f t="shared" si="102"/>
        <v/>
      </c>
      <c r="ER10" s="106" t="str">
        <f t="shared" si="103"/>
        <v/>
      </c>
      <c r="ES10" s="106" t="str">
        <f t="shared" si="104"/>
        <v/>
      </c>
      <c r="ET10" s="106" t="str">
        <f t="shared" si="105"/>
        <v/>
      </c>
      <c r="EU10" s="106" t="str">
        <f t="shared" si="106"/>
        <v/>
      </c>
      <c r="EV10" s="92" t="str">
        <f t="shared" si="107"/>
        <v/>
      </c>
      <c r="EW10" s="92" t="str">
        <f t="shared" si="108"/>
        <v/>
      </c>
      <c r="EX10" s="92" t="str">
        <f t="shared" si="109"/>
        <v/>
      </c>
      <c r="EY10" s="92" t="str">
        <f t="shared" si="110"/>
        <v/>
      </c>
      <c r="EZ10" s="92" t="str">
        <f t="shared" si="111"/>
        <v/>
      </c>
      <c r="FA10" s="92" t="str">
        <f t="shared" si="112"/>
        <v/>
      </c>
      <c r="FB10" s="93" t="str">
        <f t="shared" si="113"/>
        <v/>
      </c>
      <c r="FC10" s="93" t="str">
        <f t="shared" si="114"/>
        <v/>
      </c>
      <c r="FD10" s="93" t="str">
        <f t="shared" si="115"/>
        <v/>
      </c>
      <c r="FE10" s="93" t="str">
        <f t="shared" si="116"/>
        <v/>
      </c>
      <c r="FF10" s="93" t="str">
        <f t="shared" si="117"/>
        <v/>
      </c>
      <c r="FG10" s="93" t="str">
        <f t="shared" si="118"/>
        <v/>
      </c>
      <c r="FH10" s="107" t="str">
        <f t="shared" si="119"/>
        <v/>
      </c>
      <c r="FI10" s="107" t="str">
        <f t="shared" si="120"/>
        <v/>
      </c>
      <c r="FJ10" s="256" t="str">
        <f t="shared" si="121"/>
        <v/>
      </c>
      <c r="FK10" s="256" t="str">
        <f t="shared" si="122"/>
        <v/>
      </c>
      <c r="FL10" s="256" t="str">
        <f t="shared" si="123"/>
        <v/>
      </c>
      <c r="FM10" s="256" t="str">
        <f t="shared" si="124"/>
        <v/>
      </c>
      <c r="FN10" s="256" t="str">
        <f>IF(OR(C10="TC",C10=""),"",IF(OR(FJ10="PASS",FJ10="FAIL"),IF(EC10="",SUM(FB10:FF10),SUM(LARGE(FB10:FG10,{1,2,3,4,5}))),""))</f>
        <v/>
      </c>
      <c r="FO10" s="256" t="str">
        <f>IF(AND(FN10="",FK10="PASSED AFTER COMPARTMENT"),IF(EC10="",SUM(FB10:FF10),SUM(LARGE(FB10:FG10,{1,2,3,4,5}))),FN10)</f>
        <v/>
      </c>
      <c r="FP10" s="256" t="str">
        <f t="shared" si="125"/>
        <v/>
      </c>
      <c r="FQ10" s="256" t="str">
        <f t="shared" si="126"/>
        <v/>
      </c>
      <c r="FR10" s="256" t="str">
        <f t="shared" si="127"/>
        <v/>
      </c>
      <c r="FS10" s="256" t="str">
        <f t="shared" si="128"/>
        <v/>
      </c>
      <c r="FT10" s="108" t="str">
        <f t="shared" si="129"/>
        <v/>
      </c>
      <c r="FU10" s="256" t="str">
        <f t="shared" si="130"/>
        <v/>
      </c>
      <c r="FV10" s="109" t="str">
        <f>IF(ATTENDANCE!Q11="","",ATTENDANCE!Q11)</f>
        <v/>
      </c>
      <c r="FW10" s="110" t="str">
        <f t="shared" si="131"/>
        <v/>
      </c>
      <c r="FX10" s="110" t="str">
        <f t="shared" si="132"/>
        <v/>
      </c>
      <c r="FY10" s="365" t="str">
        <f t="shared" si="133"/>
        <v/>
      </c>
      <c r="FZ10" s="108" t="str">
        <f t="shared" si="134"/>
        <v/>
      </c>
      <c r="GA10" s="256" t="str">
        <f>IF(ATTENDANCE!Q11="","",ATTENDANCE!Q11)</f>
        <v/>
      </c>
      <c r="GB10" s="108" t="str">
        <f>IF(ATTENDANCE!Q11="","",ATTENDANCE!$Q11)</f>
        <v/>
      </c>
      <c r="GC10" s="108" t="s">
        <v>229</v>
      </c>
      <c r="GD10" s="60"/>
    </row>
    <row r="11" spans="1:186" ht="15" customHeight="1" x14ac:dyDescent="0.25">
      <c r="A11" s="60"/>
      <c r="B11" s="96">
        <f>IF(DATA!B9="","",DATA!B9)</f>
        <v>5</v>
      </c>
      <c r="C11" s="96" t="str">
        <f>IF(DATA!C9="","",DATA!C9)</f>
        <v/>
      </c>
      <c r="D11" s="96" t="str">
        <f>IF(DATA!D9="","",DATA!D9)</f>
        <v/>
      </c>
      <c r="E11" s="303" t="str">
        <f>IF(DATA!E9="","",DATA!E9)</f>
        <v/>
      </c>
      <c r="F11" s="303" t="str">
        <f>IF(DATA!F9="","",DATA!F9)</f>
        <v/>
      </c>
      <c r="G11" s="303" t="str">
        <f>IF(DATA!G9="","",DATA!G9)</f>
        <v/>
      </c>
      <c r="H11" s="98" t="str">
        <f>IF(DATA!H9="","",DATA!H9)</f>
        <v/>
      </c>
      <c r="I11" s="97" t="str">
        <f>IF(DATA!I9="","",DATA!I9)</f>
        <v/>
      </c>
      <c r="J11" s="97" t="str">
        <f>IF(DATA!J9="","",DATA!J9)</f>
        <v/>
      </c>
      <c r="K11" s="97" t="str">
        <f>IF(DATA!K9="","",DATA!K9)</f>
        <v/>
      </c>
      <c r="L11" s="99" t="str">
        <f>IF(ENGLISH!E11="","",ENGLISH!E11)</f>
        <v/>
      </c>
      <c r="M11" s="100" t="str">
        <f t="shared" si="46"/>
        <v/>
      </c>
      <c r="N11" s="99" t="str">
        <f>IF(ENGLISH!F11="","",ENGLISH!F11)</f>
        <v/>
      </c>
      <c r="O11" s="100" t="str">
        <f t="shared" si="47"/>
        <v/>
      </c>
      <c r="P11" s="99" t="str">
        <f>IF(ENGLISH!G11="","",ENGLISH!G11)</f>
        <v/>
      </c>
      <c r="Q11" s="99" t="str">
        <f t="shared" si="48"/>
        <v/>
      </c>
      <c r="R11" s="100" t="str">
        <f>IFERROR(LARGE((M11,O11,Q11),1),"")</f>
        <v/>
      </c>
      <c r="S11" s="100" t="str">
        <f>IFERROR(LARGE((M11,O11,Q11),2),"")</f>
        <v/>
      </c>
      <c r="T11" s="99" t="str">
        <f t="shared" si="49"/>
        <v/>
      </c>
      <c r="U11" s="100" t="str">
        <f>IF(ENGLISH!H11="","",ENGLISH!H11)</f>
        <v/>
      </c>
      <c r="V11" s="99" t="str">
        <f>IF(ENGLISH!I11="","",ENGLISH!I11)</f>
        <v/>
      </c>
      <c r="W11" s="99" t="str">
        <f>IF(ENGLISH!J11="","",ENGLISH!J11)</f>
        <v/>
      </c>
      <c r="X11" s="99" t="str">
        <f t="shared" si="50"/>
        <v/>
      </c>
      <c r="Y11" s="100" t="str">
        <f>IF(ENGLISH!K11="","",ENGLISH!K11)</f>
        <v/>
      </c>
      <c r="Z11" s="100" t="str">
        <f t="shared" si="51"/>
        <v/>
      </c>
      <c r="AA11" s="101" t="str">
        <f t="shared" si="52"/>
        <v/>
      </c>
      <c r="AB11" s="99" t="str">
        <f t="shared" si="15"/>
        <v/>
      </c>
      <c r="AC11" s="99" t="str">
        <f>IF(ENGLISH!O11="","",ENGLISH!O11)</f>
        <v/>
      </c>
      <c r="AD11" s="99" t="str">
        <f t="shared" si="53"/>
        <v/>
      </c>
      <c r="AE11" s="99" t="str">
        <f t="shared" si="54"/>
        <v/>
      </c>
      <c r="AF11" s="99" t="str">
        <f t="shared" si="55"/>
        <v/>
      </c>
      <c r="AG11" s="102" t="str">
        <f>IF(C11="","",VLOOKUP(C11,'HINDI-SKT'!$D$7:$E$51,2,0))</f>
        <v/>
      </c>
      <c r="AH11" s="102" t="str">
        <f>IF('HINDI-SKT'!F11="","",'HINDI-SKT'!F11)</f>
        <v/>
      </c>
      <c r="AI11" s="103" t="str">
        <f t="shared" si="16"/>
        <v/>
      </c>
      <c r="AJ11" s="102" t="str">
        <f>IF('HINDI-SKT'!G11="","",'HINDI-SKT'!G11)</f>
        <v/>
      </c>
      <c r="AK11" s="103" t="str">
        <f t="shared" si="17"/>
        <v/>
      </c>
      <c r="AL11" s="102" t="str">
        <f>IF('HINDI-SKT'!H11="","",'HINDI-SKT'!H11)</f>
        <v/>
      </c>
      <c r="AM11" s="102" t="str">
        <f t="shared" si="18"/>
        <v/>
      </c>
      <c r="AN11" s="103" t="str">
        <f>IFERROR(LARGE((AI11,AK11,AM11),1),"")</f>
        <v/>
      </c>
      <c r="AO11" s="103" t="str">
        <f>IFERROR(LARGE((AI11,AK11,AM11),2),"")</f>
        <v/>
      </c>
      <c r="AP11" s="102" t="str">
        <f t="shared" si="19"/>
        <v/>
      </c>
      <c r="AQ11" s="103" t="str">
        <f>IF('HINDI-SKT'!I11="","",'HINDI-SKT'!I11)</f>
        <v/>
      </c>
      <c r="AR11" s="102" t="str">
        <f>IF('HINDI-SKT'!J11="","",'HINDI-SKT'!J11)</f>
        <v/>
      </c>
      <c r="AS11" s="102" t="str">
        <f>IF('HINDI-SKT'!K11="","",'HINDI-SKT'!K11)</f>
        <v/>
      </c>
      <c r="AT11" s="102" t="str">
        <f t="shared" si="56"/>
        <v/>
      </c>
      <c r="AU11" s="102" t="str">
        <f>IF('HINDI-SKT'!L11="","",'HINDI-SKT'!L11)</f>
        <v/>
      </c>
      <c r="AV11" s="103" t="str">
        <f t="shared" si="57"/>
        <v/>
      </c>
      <c r="AW11" s="102" t="str">
        <f t="shared" si="58"/>
        <v/>
      </c>
      <c r="AX11" s="102" t="str">
        <f t="shared" si="59"/>
        <v/>
      </c>
      <c r="AY11" s="102" t="str">
        <f>IF('HINDI-SKT'!P11="","",'HINDI-SKT'!P11)</f>
        <v/>
      </c>
      <c r="AZ11" s="102" t="str">
        <f t="shared" si="60"/>
        <v/>
      </c>
      <c r="BA11" s="102" t="str">
        <f t="shared" si="61"/>
        <v/>
      </c>
      <c r="BB11" s="102" t="str">
        <f t="shared" si="62"/>
        <v/>
      </c>
      <c r="BC11" s="99" t="str">
        <f>IF(MATHS!E11="","",MATHS!E11)</f>
        <v/>
      </c>
      <c r="BD11" s="100" t="str">
        <f t="shared" si="22"/>
        <v/>
      </c>
      <c r="BE11" s="99" t="str">
        <f>IF(MATHS!F11="","",MATHS!F11)</f>
        <v/>
      </c>
      <c r="BF11" s="100" t="str">
        <f t="shared" si="23"/>
        <v/>
      </c>
      <c r="BG11" s="99" t="str">
        <f>IF(MATHS!G11="","",MATHS!G11)</f>
        <v/>
      </c>
      <c r="BH11" s="99" t="str">
        <f t="shared" si="24"/>
        <v/>
      </c>
      <c r="BI11" s="100" t="str">
        <f>IFERROR(LARGE((BD11,BF11,BH11),1),"")</f>
        <v/>
      </c>
      <c r="BJ11" s="100" t="str">
        <f>IFERROR(LARGE((BD11,BF11,BH11),2),"")</f>
        <v/>
      </c>
      <c r="BK11" s="99" t="str">
        <f t="shared" si="25"/>
        <v/>
      </c>
      <c r="BL11" s="100" t="str">
        <f>IF(MATHS!H11="","",MATHS!H11)</f>
        <v/>
      </c>
      <c r="BM11" s="99" t="str">
        <f>IF(MATHS!I11="","",MATHS!I11)</f>
        <v/>
      </c>
      <c r="BN11" s="99" t="str">
        <f>IF(MATHS!J11="","",MATHS!J11)</f>
        <v/>
      </c>
      <c r="BO11" s="99" t="str">
        <f t="shared" si="63"/>
        <v/>
      </c>
      <c r="BP11" s="99" t="str">
        <f>IF(MATHS!K11="","",MATHS!K11)</f>
        <v/>
      </c>
      <c r="BQ11" s="100" t="str">
        <f t="shared" si="26"/>
        <v/>
      </c>
      <c r="BR11" s="99" t="str">
        <f t="shared" si="64"/>
        <v/>
      </c>
      <c r="BS11" s="99" t="str">
        <f t="shared" si="27"/>
        <v/>
      </c>
      <c r="BT11" s="99" t="str">
        <f>IF(MATHS!O11="","",MATHS!O11)</f>
        <v/>
      </c>
      <c r="BU11" s="99" t="str">
        <f t="shared" si="65"/>
        <v/>
      </c>
      <c r="BV11" s="99" t="str">
        <f t="shared" si="66"/>
        <v/>
      </c>
      <c r="BW11" s="102" t="str">
        <f t="shared" si="67"/>
        <v/>
      </c>
      <c r="BX11" s="102" t="str">
        <f>IF(SCIENCE!E11="","",SCIENCE!E11)</f>
        <v/>
      </c>
      <c r="BY11" s="103" t="str">
        <f t="shared" si="28"/>
        <v/>
      </c>
      <c r="BZ11" s="102" t="str">
        <f>IF(SCIENCE!F11="","",SCIENCE!F11)</f>
        <v/>
      </c>
      <c r="CA11" s="103" t="str">
        <f t="shared" si="29"/>
        <v/>
      </c>
      <c r="CB11" s="102" t="str">
        <f>IF(SCIENCE!G11="","",SCIENCE!G11)</f>
        <v/>
      </c>
      <c r="CC11" s="102" t="str">
        <f t="shared" si="30"/>
        <v/>
      </c>
      <c r="CD11" s="103" t="str">
        <f>IFERROR(LARGE((BY11,CA11,CC11),1),"")</f>
        <v/>
      </c>
      <c r="CE11" s="103" t="str">
        <f>IFERROR(LARGE((BY11,CA11,CC11),2),"")</f>
        <v/>
      </c>
      <c r="CF11" s="102" t="str">
        <f t="shared" si="31"/>
        <v/>
      </c>
      <c r="CG11" s="103" t="str">
        <f>IF(SCIENCE!H11="","",SCIENCE!H11)</f>
        <v/>
      </c>
      <c r="CH11" s="103" t="str">
        <f>IF(SCIENCE!I11="","",SCIENCE!I11)</f>
        <v/>
      </c>
      <c r="CI11" s="103" t="str">
        <f>IF(SCIENCE!J11="","",SCIENCE!J11)</f>
        <v/>
      </c>
      <c r="CJ11" s="103" t="str">
        <f t="shared" si="68"/>
        <v/>
      </c>
      <c r="CK11" s="103" t="str">
        <f>IF(SCIENCE!K11="","",SCIENCE!K11)</f>
        <v/>
      </c>
      <c r="CL11" s="103" t="str">
        <f t="shared" si="32"/>
        <v/>
      </c>
      <c r="CM11" s="102" t="str">
        <f t="shared" si="69"/>
        <v/>
      </c>
      <c r="CN11" s="102" t="str">
        <f t="shared" si="33"/>
        <v/>
      </c>
      <c r="CO11" s="102" t="str">
        <f>IF(SCIENCE!O11="","",SCIENCE!O11)</f>
        <v/>
      </c>
      <c r="CP11" s="102" t="str">
        <f t="shared" si="70"/>
        <v/>
      </c>
      <c r="CQ11" s="102" t="str">
        <f t="shared" si="71"/>
        <v/>
      </c>
      <c r="CR11" s="102" t="str">
        <f t="shared" si="72"/>
        <v/>
      </c>
      <c r="CS11" s="99" t="str">
        <f>IF(SST!E11="","",SST!E11)</f>
        <v/>
      </c>
      <c r="CT11" s="100" t="str">
        <f t="shared" si="34"/>
        <v/>
      </c>
      <c r="CU11" s="99" t="str">
        <f>IF(SST!F11="","",SST!F11)</f>
        <v/>
      </c>
      <c r="CV11" s="100" t="str">
        <f t="shared" si="35"/>
        <v/>
      </c>
      <c r="CW11" s="99" t="str">
        <f>IF(SST!G11="","",SST!G11)</f>
        <v/>
      </c>
      <c r="CX11" s="99" t="str">
        <f t="shared" si="36"/>
        <v/>
      </c>
      <c r="CY11" s="100" t="str">
        <f>IFERROR(LARGE((CT11,CV11,CX11),1),"")</f>
        <v/>
      </c>
      <c r="CZ11" s="100" t="str">
        <f>IFERROR(LARGE((CT11,CV11,CX11),2),"")</f>
        <v/>
      </c>
      <c r="DA11" s="99" t="str">
        <f t="shared" si="37"/>
        <v/>
      </c>
      <c r="DB11" s="100" t="str">
        <f>IF(SST!H11="","",SST!H11)</f>
        <v/>
      </c>
      <c r="DC11" s="100" t="str">
        <f>IF(SST!I11="","",SST!I11)</f>
        <v/>
      </c>
      <c r="DD11" s="100" t="str">
        <f>IF(SST!J11="","",SST!J11)</f>
        <v/>
      </c>
      <c r="DE11" s="100" t="str">
        <f t="shared" si="73"/>
        <v/>
      </c>
      <c r="DF11" s="100" t="str">
        <f>IF(SST!K11="","",SST!K11)</f>
        <v/>
      </c>
      <c r="DG11" s="100" t="str">
        <f t="shared" si="74"/>
        <v/>
      </c>
      <c r="DH11" s="99" t="str">
        <f t="shared" si="75"/>
        <v/>
      </c>
      <c r="DI11" s="99" t="str">
        <f t="shared" si="38"/>
        <v/>
      </c>
      <c r="DJ11" s="99" t="str">
        <f>IF(SST!O11="","",SST!O11)</f>
        <v/>
      </c>
      <c r="DK11" s="99" t="str">
        <f t="shared" si="76"/>
        <v/>
      </c>
      <c r="DL11" s="99" t="str">
        <f t="shared" si="77"/>
        <v/>
      </c>
      <c r="DM11" s="99" t="str">
        <f t="shared" si="78"/>
        <v/>
      </c>
      <c r="DN11" s="99"/>
      <c r="DO11" s="102" t="str">
        <f>IF(C11="","",IF(VLOOKUP(C11,VOCATIONAL!$D$7:$E$51,2,0)="","",VLOOKUP(C11,VOCATIONAL!$D$7:$E$51,2,0)))</f>
        <v/>
      </c>
      <c r="DP11" s="102" t="str">
        <f>IF(VOCATIONAL!F11="","",VOCATIONAL!F11)</f>
        <v/>
      </c>
      <c r="DQ11" s="102" t="str">
        <f>IF(VOCATIONAL!G11="","",VOCATIONAL!G11)</f>
        <v/>
      </c>
      <c r="DR11" s="102" t="str">
        <f t="shared" si="79"/>
        <v/>
      </c>
      <c r="DS11" s="102" t="str">
        <f t="shared" si="80"/>
        <v/>
      </c>
      <c r="DT11" s="102" t="str">
        <f>IF(VOCATIONAL!K11="","",VOCATIONAL!K11)</f>
        <v/>
      </c>
      <c r="DU11" s="102" t="str">
        <f t="shared" si="81"/>
        <v/>
      </c>
      <c r="DV11" s="102" t="str">
        <f t="shared" si="82"/>
        <v/>
      </c>
      <c r="DW11" s="99"/>
      <c r="DX11" s="104" t="str">
        <f t="shared" si="83"/>
        <v/>
      </c>
      <c r="DY11" s="104" t="str">
        <f t="shared" si="84"/>
        <v/>
      </c>
      <c r="DZ11" s="104" t="str">
        <f t="shared" si="85"/>
        <v/>
      </c>
      <c r="EA11" s="104" t="str">
        <f t="shared" si="86"/>
        <v/>
      </c>
      <c r="EB11" s="104" t="str">
        <f t="shared" si="87"/>
        <v/>
      </c>
      <c r="EC11" s="104" t="str">
        <f t="shared" si="88"/>
        <v/>
      </c>
      <c r="ED11" s="104" t="str">
        <f t="shared" si="89"/>
        <v/>
      </c>
      <c r="EE11" s="104" t="str">
        <f t="shared" si="90"/>
        <v/>
      </c>
      <c r="EF11" s="104" t="str">
        <f t="shared" si="91"/>
        <v/>
      </c>
      <c r="EG11" s="104" t="str">
        <f t="shared" si="92"/>
        <v/>
      </c>
      <c r="EH11" s="104" t="str">
        <f t="shared" si="93"/>
        <v/>
      </c>
      <c r="EI11" s="104" t="str">
        <f t="shared" si="94"/>
        <v/>
      </c>
      <c r="EJ11" s="105" t="str">
        <f t="shared" si="95"/>
        <v/>
      </c>
      <c r="EK11" s="105" t="str">
        <f t="shared" si="96"/>
        <v/>
      </c>
      <c r="EL11" s="105" t="str">
        <f t="shared" si="97"/>
        <v/>
      </c>
      <c r="EM11" s="105" t="str">
        <f t="shared" si="98"/>
        <v/>
      </c>
      <c r="EN11" s="105" t="str">
        <f t="shared" si="99"/>
        <v/>
      </c>
      <c r="EO11" s="363" t="str">
        <f t="shared" si="100"/>
        <v/>
      </c>
      <c r="EP11" s="106" t="str">
        <f t="shared" si="101"/>
        <v/>
      </c>
      <c r="EQ11" s="106" t="str">
        <f t="shared" si="102"/>
        <v/>
      </c>
      <c r="ER11" s="106" t="str">
        <f t="shared" si="103"/>
        <v/>
      </c>
      <c r="ES11" s="106" t="str">
        <f t="shared" si="104"/>
        <v/>
      </c>
      <c r="ET11" s="106" t="str">
        <f t="shared" si="105"/>
        <v/>
      </c>
      <c r="EU11" s="106" t="str">
        <f t="shared" si="106"/>
        <v/>
      </c>
      <c r="EV11" s="92" t="str">
        <f t="shared" si="107"/>
        <v/>
      </c>
      <c r="EW11" s="92" t="str">
        <f t="shared" si="108"/>
        <v/>
      </c>
      <c r="EX11" s="92" t="str">
        <f t="shared" si="109"/>
        <v/>
      </c>
      <c r="EY11" s="92" t="str">
        <f t="shared" si="110"/>
        <v/>
      </c>
      <c r="EZ11" s="92" t="str">
        <f t="shared" si="111"/>
        <v/>
      </c>
      <c r="FA11" s="92" t="str">
        <f t="shared" si="112"/>
        <v/>
      </c>
      <c r="FB11" s="93" t="str">
        <f t="shared" si="113"/>
        <v/>
      </c>
      <c r="FC11" s="93" t="str">
        <f t="shared" si="114"/>
        <v/>
      </c>
      <c r="FD11" s="93" t="str">
        <f t="shared" si="115"/>
        <v/>
      </c>
      <c r="FE11" s="93" t="str">
        <f t="shared" si="116"/>
        <v/>
      </c>
      <c r="FF11" s="93" t="str">
        <f t="shared" si="117"/>
        <v/>
      </c>
      <c r="FG11" s="93" t="str">
        <f t="shared" si="118"/>
        <v/>
      </c>
      <c r="FH11" s="107" t="str">
        <f t="shared" si="119"/>
        <v/>
      </c>
      <c r="FI11" s="107" t="str">
        <f t="shared" si="120"/>
        <v/>
      </c>
      <c r="FJ11" s="256" t="str">
        <f t="shared" si="121"/>
        <v/>
      </c>
      <c r="FK11" s="256" t="str">
        <f t="shared" si="122"/>
        <v/>
      </c>
      <c r="FL11" s="256" t="str">
        <f t="shared" si="123"/>
        <v/>
      </c>
      <c r="FM11" s="256" t="str">
        <f t="shared" si="124"/>
        <v/>
      </c>
      <c r="FN11" s="256" t="str">
        <f>IF(OR(C11="TC",C11=""),"",IF(OR(FJ11="PASS",FJ11="FAIL"),IF(EC11="",SUM(FB11:FF11),SUM(LARGE(FB11:FG11,{1,2,3,4,5}))),""))</f>
        <v/>
      </c>
      <c r="FO11" s="256" t="str">
        <f>IF(AND(FN11="",FK11="PASSED AFTER COMPARTMENT"),IF(EC11="",SUM(FB11:FF11),SUM(LARGE(FB11:FG11,{1,2,3,4,5}))),FN11)</f>
        <v/>
      </c>
      <c r="FP11" s="256" t="str">
        <f t="shared" si="125"/>
        <v/>
      </c>
      <c r="FQ11" s="256" t="str">
        <f t="shared" si="126"/>
        <v/>
      </c>
      <c r="FR11" s="256" t="str">
        <f t="shared" si="127"/>
        <v/>
      </c>
      <c r="FS11" s="256" t="str">
        <f t="shared" si="128"/>
        <v/>
      </c>
      <c r="FT11" s="108" t="str">
        <f t="shared" si="129"/>
        <v/>
      </c>
      <c r="FU11" s="256" t="str">
        <f t="shared" si="130"/>
        <v/>
      </c>
      <c r="FV11" s="109" t="str">
        <f>IF(ATTENDANCE!Q12="","",ATTENDANCE!Q12)</f>
        <v/>
      </c>
      <c r="FW11" s="110" t="str">
        <f t="shared" si="131"/>
        <v/>
      </c>
      <c r="FX11" s="110" t="str">
        <f t="shared" si="132"/>
        <v/>
      </c>
      <c r="FY11" s="365" t="str">
        <f t="shared" si="133"/>
        <v/>
      </c>
      <c r="FZ11" s="108" t="str">
        <f t="shared" si="134"/>
        <v/>
      </c>
      <c r="GA11" s="256" t="str">
        <f>IF(ATTENDANCE!Q12="","",ATTENDANCE!Q12)</f>
        <v/>
      </c>
      <c r="GB11" s="108" t="str">
        <f>IF(ATTENDANCE!Q12="","",ATTENDANCE!$Q12)</f>
        <v/>
      </c>
      <c r="GC11" s="108" t="s">
        <v>230</v>
      </c>
      <c r="GD11" s="60"/>
    </row>
    <row r="12" spans="1:186" ht="15" customHeight="1" x14ac:dyDescent="0.25">
      <c r="A12" s="60"/>
      <c r="B12" s="96">
        <f>IF(DATA!B10="","",DATA!B10)</f>
        <v>6</v>
      </c>
      <c r="C12" s="96" t="str">
        <f>IF(DATA!C10="","",DATA!C10)</f>
        <v/>
      </c>
      <c r="D12" s="96" t="str">
        <f>IF(DATA!D10="","",DATA!D10)</f>
        <v/>
      </c>
      <c r="E12" s="303" t="str">
        <f>IF(DATA!E10="","",DATA!E10)</f>
        <v/>
      </c>
      <c r="F12" s="303" t="str">
        <f>IF(DATA!F10="","",DATA!F10)</f>
        <v/>
      </c>
      <c r="G12" s="303" t="str">
        <f>IF(DATA!G10="","",DATA!G10)</f>
        <v/>
      </c>
      <c r="H12" s="98" t="str">
        <f>IF(DATA!H10="","",DATA!H10)</f>
        <v/>
      </c>
      <c r="I12" s="97" t="str">
        <f>IF(DATA!I10="","",DATA!I10)</f>
        <v/>
      </c>
      <c r="J12" s="97" t="str">
        <f>IF(DATA!J10="","",DATA!J10)</f>
        <v/>
      </c>
      <c r="K12" s="97" t="str">
        <f>IF(DATA!K10="","",DATA!K10)</f>
        <v/>
      </c>
      <c r="L12" s="99" t="str">
        <f>IF(ENGLISH!E12="","",ENGLISH!E12)</f>
        <v/>
      </c>
      <c r="M12" s="100" t="str">
        <f t="shared" si="46"/>
        <v/>
      </c>
      <c r="N12" s="99" t="str">
        <f>IF(ENGLISH!F12="","",ENGLISH!F12)</f>
        <v/>
      </c>
      <c r="O12" s="100" t="str">
        <f t="shared" si="47"/>
        <v/>
      </c>
      <c r="P12" s="99" t="str">
        <f>IF(ENGLISH!G12="","",ENGLISH!G12)</f>
        <v/>
      </c>
      <c r="Q12" s="99" t="str">
        <f t="shared" si="48"/>
        <v/>
      </c>
      <c r="R12" s="100" t="str">
        <f>IFERROR(LARGE((M12,O12,Q12),1),"")</f>
        <v/>
      </c>
      <c r="S12" s="100" t="str">
        <f>IFERROR(LARGE((M12,O12,Q12),2),"")</f>
        <v/>
      </c>
      <c r="T12" s="99" t="str">
        <f t="shared" si="49"/>
        <v/>
      </c>
      <c r="U12" s="100" t="str">
        <f>IF(ENGLISH!H12="","",ENGLISH!H12)</f>
        <v/>
      </c>
      <c r="V12" s="99" t="str">
        <f>IF(ENGLISH!I12="","",ENGLISH!I12)</f>
        <v/>
      </c>
      <c r="W12" s="99" t="str">
        <f>IF(ENGLISH!J12="","",ENGLISH!J12)</f>
        <v/>
      </c>
      <c r="X12" s="99" t="str">
        <f t="shared" si="50"/>
        <v/>
      </c>
      <c r="Y12" s="100" t="str">
        <f>IF(ENGLISH!K12="","",ENGLISH!K12)</f>
        <v/>
      </c>
      <c r="Z12" s="100" t="str">
        <f t="shared" si="51"/>
        <v/>
      </c>
      <c r="AA12" s="101" t="str">
        <f t="shared" si="52"/>
        <v/>
      </c>
      <c r="AB12" s="99" t="str">
        <f t="shared" si="15"/>
        <v/>
      </c>
      <c r="AC12" s="99" t="str">
        <f>IF(ENGLISH!O12="","",ENGLISH!O12)</f>
        <v/>
      </c>
      <c r="AD12" s="99" t="str">
        <f t="shared" si="53"/>
        <v/>
      </c>
      <c r="AE12" s="99" t="str">
        <f t="shared" si="54"/>
        <v/>
      </c>
      <c r="AF12" s="99" t="str">
        <f t="shared" si="55"/>
        <v/>
      </c>
      <c r="AG12" s="102" t="str">
        <f>IF(C12="","",VLOOKUP(C12,'HINDI-SKT'!$D$7:$E$51,2,0))</f>
        <v/>
      </c>
      <c r="AH12" s="102" t="str">
        <f>IF('HINDI-SKT'!F12="","",'HINDI-SKT'!F12)</f>
        <v/>
      </c>
      <c r="AI12" s="103" t="str">
        <f t="shared" si="16"/>
        <v/>
      </c>
      <c r="AJ12" s="102" t="str">
        <f>IF('HINDI-SKT'!G12="","",'HINDI-SKT'!G12)</f>
        <v/>
      </c>
      <c r="AK12" s="103" t="str">
        <f t="shared" si="17"/>
        <v/>
      </c>
      <c r="AL12" s="102" t="str">
        <f>IF('HINDI-SKT'!H12="","",'HINDI-SKT'!H12)</f>
        <v/>
      </c>
      <c r="AM12" s="102" t="str">
        <f t="shared" si="18"/>
        <v/>
      </c>
      <c r="AN12" s="103" t="str">
        <f>IFERROR(LARGE((AI12,AK12,AM12),1),"")</f>
        <v/>
      </c>
      <c r="AO12" s="103" t="str">
        <f>IFERROR(LARGE((AI12,AK12,AM12),2),"")</f>
        <v/>
      </c>
      <c r="AP12" s="102" t="str">
        <f t="shared" si="19"/>
        <v/>
      </c>
      <c r="AQ12" s="103" t="str">
        <f>IF('HINDI-SKT'!I12="","",'HINDI-SKT'!I12)</f>
        <v/>
      </c>
      <c r="AR12" s="102" t="str">
        <f>IF('HINDI-SKT'!J12="","",'HINDI-SKT'!J12)</f>
        <v/>
      </c>
      <c r="AS12" s="102" t="str">
        <f>IF('HINDI-SKT'!K12="","",'HINDI-SKT'!K12)</f>
        <v/>
      </c>
      <c r="AT12" s="102" t="str">
        <f t="shared" si="56"/>
        <v/>
      </c>
      <c r="AU12" s="102" t="str">
        <f>IF('HINDI-SKT'!L12="","",'HINDI-SKT'!L12)</f>
        <v/>
      </c>
      <c r="AV12" s="103" t="str">
        <f t="shared" si="57"/>
        <v/>
      </c>
      <c r="AW12" s="102" t="str">
        <f t="shared" si="58"/>
        <v/>
      </c>
      <c r="AX12" s="102" t="str">
        <f t="shared" si="59"/>
        <v/>
      </c>
      <c r="AY12" s="102" t="str">
        <f>IF('HINDI-SKT'!P12="","",'HINDI-SKT'!P12)</f>
        <v/>
      </c>
      <c r="AZ12" s="102" t="str">
        <f t="shared" si="60"/>
        <v/>
      </c>
      <c r="BA12" s="102" t="str">
        <f t="shared" si="61"/>
        <v/>
      </c>
      <c r="BB12" s="102" t="str">
        <f t="shared" si="62"/>
        <v/>
      </c>
      <c r="BC12" s="99" t="str">
        <f>IF(MATHS!E12="","",MATHS!E12)</f>
        <v/>
      </c>
      <c r="BD12" s="100" t="str">
        <f t="shared" si="22"/>
        <v/>
      </c>
      <c r="BE12" s="99" t="str">
        <f>IF(MATHS!F12="","",MATHS!F12)</f>
        <v/>
      </c>
      <c r="BF12" s="100" t="str">
        <f t="shared" si="23"/>
        <v/>
      </c>
      <c r="BG12" s="99" t="str">
        <f>IF(MATHS!G12="","",MATHS!G12)</f>
        <v/>
      </c>
      <c r="BH12" s="99" t="str">
        <f t="shared" si="24"/>
        <v/>
      </c>
      <c r="BI12" s="100" t="str">
        <f>IFERROR(LARGE((BD12,BF12,BH12),1),"")</f>
        <v/>
      </c>
      <c r="BJ12" s="100" t="str">
        <f>IFERROR(LARGE((BD12,BF12,BH12),2),"")</f>
        <v/>
      </c>
      <c r="BK12" s="99" t="str">
        <f t="shared" si="25"/>
        <v/>
      </c>
      <c r="BL12" s="100" t="str">
        <f>IF(MATHS!H12="","",MATHS!H12)</f>
        <v/>
      </c>
      <c r="BM12" s="99" t="str">
        <f>IF(MATHS!I12="","",MATHS!I12)</f>
        <v/>
      </c>
      <c r="BN12" s="99" t="str">
        <f>IF(MATHS!J12="","",MATHS!J12)</f>
        <v/>
      </c>
      <c r="BO12" s="99" t="str">
        <f t="shared" si="63"/>
        <v/>
      </c>
      <c r="BP12" s="99" t="str">
        <f>IF(MATHS!K12="","",MATHS!K12)</f>
        <v/>
      </c>
      <c r="BQ12" s="100" t="str">
        <f t="shared" si="26"/>
        <v/>
      </c>
      <c r="BR12" s="99" t="str">
        <f t="shared" si="64"/>
        <v/>
      </c>
      <c r="BS12" s="99" t="str">
        <f t="shared" si="27"/>
        <v/>
      </c>
      <c r="BT12" s="99" t="str">
        <f>IF(MATHS!O12="","",MATHS!O12)</f>
        <v/>
      </c>
      <c r="BU12" s="99" t="str">
        <f t="shared" si="65"/>
        <v/>
      </c>
      <c r="BV12" s="99" t="str">
        <f t="shared" si="66"/>
        <v/>
      </c>
      <c r="BW12" s="102" t="str">
        <f t="shared" si="67"/>
        <v/>
      </c>
      <c r="BX12" s="102" t="str">
        <f>IF(SCIENCE!E12="","",SCIENCE!E12)</f>
        <v/>
      </c>
      <c r="BY12" s="103" t="str">
        <f t="shared" si="28"/>
        <v/>
      </c>
      <c r="BZ12" s="102" t="str">
        <f>IF(SCIENCE!F12="","",SCIENCE!F12)</f>
        <v/>
      </c>
      <c r="CA12" s="103" t="str">
        <f t="shared" si="29"/>
        <v/>
      </c>
      <c r="CB12" s="102" t="str">
        <f>IF(SCIENCE!G12="","",SCIENCE!G12)</f>
        <v/>
      </c>
      <c r="CC12" s="102" t="str">
        <f t="shared" si="30"/>
        <v/>
      </c>
      <c r="CD12" s="103" t="str">
        <f>IFERROR(LARGE((BY12,CA12,CC12),1),"")</f>
        <v/>
      </c>
      <c r="CE12" s="103" t="str">
        <f>IFERROR(LARGE((BY12,CA12,CC12),2),"")</f>
        <v/>
      </c>
      <c r="CF12" s="102" t="str">
        <f t="shared" si="31"/>
        <v/>
      </c>
      <c r="CG12" s="103" t="str">
        <f>IF(SCIENCE!H12="","",SCIENCE!H12)</f>
        <v/>
      </c>
      <c r="CH12" s="103" t="str">
        <f>IF(SCIENCE!I12="","",SCIENCE!I12)</f>
        <v/>
      </c>
      <c r="CI12" s="103" t="str">
        <f>IF(SCIENCE!J12="","",SCIENCE!J12)</f>
        <v/>
      </c>
      <c r="CJ12" s="103" t="str">
        <f t="shared" si="68"/>
        <v/>
      </c>
      <c r="CK12" s="103" t="str">
        <f>IF(SCIENCE!K12="","",SCIENCE!K12)</f>
        <v/>
      </c>
      <c r="CL12" s="103" t="str">
        <f t="shared" si="32"/>
        <v/>
      </c>
      <c r="CM12" s="102" t="str">
        <f t="shared" si="69"/>
        <v/>
      </c>
      <c r="CN12" s="102" t="str">
        <f t="shared" si="33"/>
        <v/>
      </c>
      <c r="CO12" s="102" t="str">
        <f>IF(SCIENCE!O12="","",SCIENCE!O12)</f>
        <v/>
      </c>
      <c r="CP12" s="102" t="str">
        <f t="shared" si="70"/>
        <v/>
      </c>
      <c r="CQ12" s="102" t="str">
        <f t="shared" si="71"/>
        <v/>
      </c>
      <c r="CR12" s="102" t="str">
        <f t="shared" si="72"/>
        <v/>
      </c>
      <c r="CS12" s="99" t="str">
        <f>IF(SST!E12="","",SST!E12)</f>
        <v/>
      </c>
      <c r="CT12" s="100" t="str">
        <f t="shared" si="34"/>
        <v/>
      </c>
      <c r="CU12" s="99" t="str">
        <f>IF(SST!F12="","",SST!F12)</f>
        <v/>
      </c>
      <c r="CV12" s="100" t="str">
        <f t="shared" si="35"/>
        <v/>
      </c>
      <c r="CW12" s="99" t="str">
        <f>IF(SST!G12="","",SST!G12)</f>
        <v/>
      </c>
      <c r="CX12" s="99" t="str">
        <f t="shared" si="36"/>
        <v/>
      </c>
      <c r="CY12" s="100" t="str">
        <f>IFERROR(LARGE((CT12,CV12,CX12),1),"")</f>
        <v/>
      </c>
      <c r="CZ12" s="100" t="str">
        <f>IFERROR(LARGE((CT12,CV12,CX12),2),"")</f>
        <v/>
      </c>
      <c r="DA12" s="99" t="str">
        <f t="shared" si="37"/>
        <v/>
      </c>
      <c r="DB12" s="100" t="str">
        <f>IF(SST!H12="","",SST!H12)</f>
        <v/>
      </c>
      <c r="DC12" s="100" t="str">
        <f>IF(SST!I12="","",SST!I12)</f>
        <v/>
      </c>
      <c r="DD12" s="100" t="str">
        <f>IF(SST!J12="","",SST!J12)</f>
        <v/>
      </c>
      <c r="DE12" s="100" t="str">
        <f t="shared" si="73"/>
        <v/>
      </c>
      <c r="DF12" s="100" t="str">
        <f>IF(SST!K12="","",SST!K12)</f>
        <v/>
      </c>
      <c r="DG12" s="100" t="str">
        <f t="shared" si="74"/>
        <v/>
      </c>
      <c r="DH12" s="99" t="str">
        <f t="shared" si="75"/>
        <v/>
      </c>
      <c r="DI12" s="99" t="str">
        <f t="shared" si="38"/>
        <v/>
      </c>
      <c r="DJ12" s="99" t="str">
        <f>IF(SST!O12="","",SST!O12)</f>
        <v/>
      </c>
      <c r="DK12" s="99" t="str">
        <f t="shared" si="76"/>
        <v/>
      </c>
      <c r="DL12" s="99" t="str">
        <f t="shared" si="77"/>
        <v/>
      </c>
      <c r="DM12" s="99" t="str">
        <f t="shared" si="78"/>
        <v/>
      </c>
      <c r="DN12" s="99"/>
      <c r="DO12" s="102" t="str">
        <f>IF(C12="","",IF(VLOOKUP(C12,VOCATIONAL!$D$7:$E$51,2,0)="","",VLOOKUP(C12,VOCATIONAL!$D$7:$E$51,2,0)))</f>
        <v/>
      </c>
      <c r="DP12" s="102" t="str">
        <f>IF(VOCATIONAL!F12="","",VOCATIONAL!F12)</f>
        <v/>
      </c>
      <c r="DQ12" s="102" t="str">
        <f>IF(VOCATIONAL!G12="","",VOCATIONAL!G12)</f>
        <v/>
      </c>
      <c r="DR12" s="102" t="str">
        <f t="shared" si="79"/>
        <v/>
      </c>
      <c r="DS12" s="102" t="str">
        <f t="shared" si="80"/>
        <v/>
      </c>
      <c r="DT12" s="102" t="str">
        <f>IF(VOCATIONAL!K12="","",VOCATIONAL!K12)</f>
        <v/>
      </c>
      <c r="DU12" s="102" t="str">
        <f t="shared" si="81"/>
        <v/>
      </c>
      <c r="DV12" s="102" t="str">
        <f t="shared" si="82"/>
        <v/>
      </c>
      <c r="DW12" s="99"/>
      <c r="DX12" s="104" t="str">
        <f t="shared" si="83"/>
        <v/>
      </c>
      <c r="DY12" s="104" t="str">
        <f t="shared" si="84"/>
        <v/>
      </c>
      <c r="DZ12" s="104" t="str">
        <f t="shared" si="85"/>
        <v/>
      </c>
      <c r="EA12" s="104" t="str">
        <f t="shared" si="86"/>
        <v/>
      </c>
      <c r="EB12" s="104" t="str">
        <f t="shared" si="87"/>
        <v/>
      </c>
      <c r="EC12" s="104" t="str">
        <f t="shared" si="88"/>
        <v/>
      </c>
      <c r="ED12" s="104" t="str">
        <f t="shared" si="89"/>
        <v/>
      </c>
      <c r="EE12" s="104" t="str">
        <f t="shared" si="90"/>
        <v/>
      </c>
      <c r="EF12" s="104" t="str">
        <f t="shared" si="91"/>
        <v/>
      </c>
      <c r="EG12" s="104" t="str">
        <f t="shared" si="92"/>
        <v/>
      </c>
      <c r="EH12" s="104" t="str">
        <f t="shared" si="93"/>
        <v/>
      </c>
      <c r="EI12" s="104" t="str">
        <f t="shared" si="94"/>
        <v/>
      </c>
      <c r="EJ12" s="105" t="str">
        <f t="shared" si="95"/>
        <v/>
      </c>
      <c r="EK12" s="105" t="str">
        <f t="shared" si="96"/>
        <v/>
      </c>
      <c r="EL12" s="105" t="str">
        <f t="shared" si="97"/>
        <v/>
      </c>
      <c r="EM12" s="105" t="str">
        <f t="shared" si="98"/>
        <v/>
      </c>
      <c r="EN12" s="105" t="str">
        <f t="shared" si="99"/>
        <v/>
      </c>
      <c r="EO12" s="363" t="str">
        <f t="shared" si="100"/>
        <v/>
      </c>
      <c r="EP12" s="106" t="str">
        <f t="shared" si="101"/>
        <v/>
      </c>
      <c r="EQ12" s="106" t="str">
        <f t="shared" si="102"/>
        <v/>
      </c>
      <c r="ER12" s="106" t="str">
        <f t="shared" si="103"/>
        <v/>
      </c>
      <c r="ES12" s="106" t="str">
        <f t="shared" si="104"/>
        <v/>
      </c>
      <c r="ET12" s="106" t="str">
        <f t="shared" si="105"/>
        <v/>
      </c>
      <c r="EU12" s="106" t="str">
        <f t="shared" si="106"/>
        <v/>
      </c>
      <c r="EV12" s="92" t="str">
        <f t="shared" si="107"/>
        <v/>
      </c>
      <c r="EW12" s="92" t="str">
        <f t="shared" si="108"/>
        <v/>
      </c>
      <c r="EX12" s="92" t="str">
        <f t="shared" si="109"/>
        <v/>
      </c>
      <c r="EY12" s="92" t="str">
        <f t="shared" si="110"/>
        <v/>
      </c>
      <c r="EZ12" s="92" t="str">
        <f t="shared" si="111"/>
        <v/>
      </c>
      <c r="FA12" s="92" t="str">
        <f t="shared" si="112"/>
        <v/>
      </c>
      <c r="FB12" s="93" t="str">
        <f t="shared" si="113"/>
        <v/>
      </c>
      <c r="FC12" s="93" t="str">
        <f t="shared" si="114"/>
        <v/>
      </c>
      <c r="FD12" s="93" t="str">
        <f t="shared" si="115"/>
        <v/>
      </c>
      <c r="FE12" s="93" t="str">
        <f t="shared" si="116"/>
        <v/>
      </c>
      <c r="FF12" s="93" t="str">
        <f t="shared" si="117"/>
        <v/>
      </c>
      <c r="FG12" s="93" t="str">
        <f t="shared" si="118"/>
        <v/>
      </c>
      <c r="FH12" s="107" t="str">
        <f t="shared" si="119"/>
        <v/>
      </c>
      <c r="FI12" s="107" t="str">
        <f t="shared" si="120"/>
        <v/>
      </c>
      <c r="FJ12" s="256" t="str">
        <f t="shared" si="121"/>
        <v/>
      </c>
      <c r="FK12" s="256" t="str">
        <f t="shared" si="122"/>
        <v/>
      </c>
      <c r="FL12" s="256" t="str">
        <f t="shared" si="123"/>
        <v/>
      </c>
      <c r="FM12" s="256" t="str">
        <f t="shared" si="124"/>
        <v/>
      </c>
      <c r="FN12" s="256" t="str">
        <f>IF(OR(C12="TC",C12=""),"",IF(OR(FJ12="PASS",FJ12="FAIL"),IF(EC12="",SUM(FB12:FF12),SUM(LARGE(FB12:FG12,{1,2,3,4,5}))),""))</f>
        <v/>
      </c>
      <c r="FO12" s="256" t="str">
        <f>IF(AND(FN12="",FK12="PASSED AFTER COMPARTMENT"),IF(EC12="",SUM(FB12:FF12),SUM(LARGE(FB12:FG12,{1,2,3,4,5}))),FN12)</f>
        <v/>
      </c>
      <c r="FP12" s="256" t="str">
        <f t="shared" si="125"/>
        <v/>
      </c>
      <c r="FQ12" s="256" t="str">
        <f t="shared" si="126"/>
        <v/>
      </c>
      <c r="FR12" s="256" t="str">
        <f t="shared" si="127"/>
        <v/>
      </c>
      <c r="FS12" s="256" t="str">
        <f t="shared" si="128"/>
        <v/>
      </c>
      <c r="FT12" s="108" t="str">
        <f t="shared" si="129"/>
        <v/>
      </c>
      <c r="FU12" s="256" t="str">
        <f t="shared" si="130"/>
        <v/>
      </c>
      <c r="FV12" s="109" t="str">
        <f>IF(ATTENDANCE!Q13="","",ATTENDANCE!Q13)</f>
        <v/>
      </c>
      <c r="FW12" s="110" t="str">
        <f t="shared" si="131"/>
        <v/>
      </c>
      <c r="FX12" s="110" t="str">
        <f t="shared" si="132"/>
        <v/>
      </c>
      <c r="FY12" s="365" t="str">
        <f t="shared" si="133"/>
        <v/>
      </c>
      <c r="FZ12" s="108" t="str">
        <f t="shared" si="134"/>
        <v/>
      </c>
      <c r="GA12" s="256" t="str">
        <f>IF(ATTENDANCE!Q13="","",ATTENDANCE!Q13)</f>
        <v/>
      </c>
      <c r="GB12" s="108" t="str">
        <f>IF(ATTENDANCE!Q13="","",ATTENDANCE!$Q13)</f>
        <v/>
      </c>
      <c r="GC12" s="108" t="s">
        <v>229</v>
      </c>
      <c r="GD12" s="60"/>
    </row>
    <row r="13" spans="1:186" ht="15" customHeight="1" x14ac:dyDescent="0.25">
      <c r="A13" s="60"/>
      <c r="B13" s="96">
        <f>IF(DATA!B11="","",DATA!B11)</f>
        <v>7</v>
      </c>
      <c r="C13" s="96" t="str">
        <f>IF(DATA!C11="","",DATA!C11)</f>
        <v/>
      </c>
      <c r="D13" s="96" t="str">
        <f>IF(DATA!D11="","",DATA!D11)</f>
        <v/>
      </c>
      <c r="E13" s="303" t="str">
        <f>IF(DATA!E11="","",DATA!E11)</f>
        <v/>
      </c>
      <c r="F13" s="303" t="str">
        <f>IF(DATA!F11="","",DATA!F11)</f>
        <v/>
      </c>
      <c r="G13" s="303" t="str">
        <f>IF(DATA!G11="","",DATA!G11)</f>
        <v/>
      </c>
      <c r="H13" s="98" t="str">
        <f>IF(DATA!H11="","",DATA!H11)</f>
        <v/>
      </c>
      <c r="I13" s="97" t="str">
        <f>IF(DATA!I11="","",DATA!I11)</f>
        <v/>
      </c>
      <c r="J13" s="97" t="str">
        <f>IF(DATA!J11="","",DATA!J11)</f>
        <v/>
      </c>
      <c r="K13" s="97" t="str">
        <f>IF(DATA!K11="","",DATA!K11)</f>
        <v/>
      </c>
      <c r="L13" s="99" t="str">
        <f>IF(ENGLISH!E13="","",ENGLISH!E13)</f>
        <v/>
      </c>
      <c r="M13" s="100" t="str">
        <f t="shared" si="46"/>
        <v/>
      </c>
      <c r="N13" s="99" t="str">
        <f>IF(ENGLISH!F13="","",ENGLISH!F13)</f>
        <v/>
      </c>
      <c r="O13" s="100" t="str">
        <f t="shared" si="47"/>
        <v/>
      </c>
      <c r="P13" s="99" t="str">
        <f>IF(ENGLISH!G13="","",ENGLISH!G13)</f>
        <v/>
      </c>
      <c r="Q13" s="99" t="str">
        <f t="shared" si="48"/>
        <v/>
      </c>
      <c r="R13" s="100" t="str">
        <f>IFERROR(LARGE((M13,O13,Q13),1),"")</f>
        <v/>
      </c>
      <c r="S13" s="100" t="str">
        <f>IFERROR(LARGE((M13,O13,Q13),2),"")</f>
        <v/>
      </c>
      <c r="T13" s="99" t="str">
        <f t="shared" si="49"/>
        <v/>
      </c>
      <c r="U13" s="100" t="str">
        <f>IF(ENGLISH!H13="","",ENGLISH!H13)</f>
        <v/>
      </c>
      <c r="V13" s="99" t="str">
        <f>IF(ENGLISH!I13="","",ENGLISH!I13)</f>
        <v/>
      </c>
      <c r="W13" s="99" t="str">
        <f>IF(ENGLISH!J13="","",ENGLISH!J13)</f>
        <v/>
      </c>
      <c r="X13" s="99" t="str">
        <f t="shared" si="50"/>
        <v/>
      </c>
      <c r="Y13" s="100" t="str">
        <f>IF(ENGLISH!K13="","",ENGLISH!K13)</f>
        <v/>
      </c>
      <c r="Z13" s="100" t="str">
        <f t="shared" si="51"/>
        <v/>
      </c>
      <c r="AA13" s="101" t="str">
        <f t="shared" si="52"/>
        <v/>
      </c>
      <c r="AB13" s="99" t="str">
        <f t="shared" si="15"/>
        <v/>
      </c>
      <c r="AC13" s="99" t="str">
        <f>IF(ENGLISH!O13="","",ENGLISH!O13)</f>
        <v/>
      </c>
      <c r="AD13" s="99" t="str">
        <f t="shared" si="53"/>
        <v/>
      </c>
      <c r="AE13" s="99" t="str">
        <f t="shared" si="54"/>
        <v/>
      </c>
      <c r="AF13" s="99" t="str">
        <f>IF(AE13="","",IF(AE13&lt;33,"E",IF(AND(AE13&gt;=33,AE13&lt;41),"D",IF(AND(AE13&gt;=41,AE13&lt;51),"C2",IF(AND(AE13&gt;=51,AE13&lt;61),"C1",IF(AND(AE13&gt;=61,AE13&lt;71),"B2",IF(AND(AE13&gt;=71,AE13&lt;81),"B1",IF(AND(AE13&gt;=81,AE13&lt;91),"A2",IF(AND(AE13&gt;=91,AE13&lt;=100),"A1")))))))))</f>
        <v/>
      </c>
      <c r="AG13" s="102" t="str">
        <f>IF(C13="","",VLOOKUP(C13,'HINDI-SKT'!$D$7:$E$51,2,0))</f>
        <v/>
      </c>
      <c r="AH13" s="102" t="str">
        <f>IF('HINDI-SKT'!F13="","",'HINDI-SKT'!F13)</f>
        <v/>
      </c>
      <c r="AI13" s="103" t="str">
        <f t="shared" si="16"/>
        <v/>
      </c>
      <c r="AJ13" s="102" t="str">
        <f>IF('HINDI-SKT'!G13="","",'HINDI-SKT'!G13)</f>
        <v/>
      </c>
      <c r="AK13" s="103" t="str">
        <f t="shared" si="17"/>
        <v/>
      </c>
      <c r="AL13" s="102" t="str">
        <f>IF('HINDI-SKT'!H13="","",'HINDI-SKT'!H13)</f>
        <v/>
      </c>
      <c r="AM13" s="102" t="str">
        <f t="shared" si="18"/>
        <v/>
      </c>
      <c r="AN13" s="103" t="str">
        <f>IFERROR(LARGE((AI13,AK13,AM13),1),"")</f>
        <v/>
      </c>
      <c r="AO13" s="103" t="str">
        <f>IFERROR(LARGE((AI13,AK13,AM13),2),"")</f>
        <v/>
      </c>
      <c r="AP13" s="102" t="str">
        <f t="shared" si="19"/>
        <v/>
      </c>
      <c r="AQ13" s="103" t="str">
        <f>IF('HINDI-SKT'!I13="","",'HINDI-SKT'!I13)</f>
        <v/>
      </c>
      <c r="AR13" s="102" t="str">
        <f>IF('HINDI-SKT'!J13="","",'HINDI-SKT'!J13)</f>
        <v/>
      </c>
      <c r="AS13" s="102" t="str">
        <f>IF('HINDI-SKT'!K13="","",'HINDI-SKT'!K13)</f>
        <v/>
      </c>
      <c r="AT13" s="102" t="str">
        <f t="shared" si="56"/>
        <v/>
      </c>
      <c r="AU13" s="102" t="str">
        <f>IF('HINDI-SKT'!L13="","",'HINDI-SKT'!L13)</f>
        <v/>
      </c>
      <c r="AV13" s="103" t="str">
        <f t="shared" si="57"/>
        <v/>
      </c>
      <c r="AW13" s="102" t="str">
        <f t="shared" si="58"/>
        <v/>
      </c>
      <c r="AX13" s="102" t="str">
        <f t="shared" si="59"/>
        <v/>
      </c>
      <c r="AY13" s="102" t="str">
        <f>IF('HINDI-SKT'!P13="","",'HINDI-SKT'!P13)</f>
        <v/>
      </c>
      <c r="AZ13" s="102" t="str">
        <f t="shared" si="60"/>
        <v/>
      </c>
      <c r="BA13" s="102" t="str">
        <f t="shared" si="61"/>
        <v/>
      </c>
      <c r="BB13" s="102" t="str">
        <f t="shared" si="62"/>
        <v/>
      </c>
      <c r="BC13" s="99" t="str">
        <f>IF(MATHS!E13="","",MATHS!E13)</f>
        <v/>
      </c>
      <c r="BD13" s="100" t="str">
        <f t="shared" si="22"/>
        <v/>
      </c>
      <c r="BE13" s="99" t="str">
        <f>IF(MATHS!F13="","",MATHS!F13)</f>
        <v/>
      </c>
      <c r="BF13" s="100" t="str">
        <f t="shared" si="23"/>
        <v/>
      </c>
      <c r="BG13" s="99" t="str">
        <f>IF(MATHS!G13="","",MATHS!G13)</f>
        <v/>
      </c>
      <c r="BH13" s="99" t="str">
        <f t="shared" si="24"/>
        <v/>
      </c>
      <c r="BI13" s="100" t="str">
        <f>IFERROR(LARGE((BD13,BF13,BH13),1),"")</f>
        <v/>
      </c>
      <c r="BJ13" s="100" t="str">
        <f>IFERROR(LARGE((BD13,BF13,BH13),2),"")</f>
        <v/>
      </c>
      <c r="BK13" s="99" t="str">
        <f t="shared" si="25"/>
        <v/>
      </c>
      <c r="BL13" s="100" t="str">
        <f>IF(MATHS!H13="","",MATHS!H13)</f>
        <v/>
      </c>
      <c r="BM13" s="99" t="str">
        <f>IF(MATHS!I13="","",MATHS!I13)</f>
        <v/>
      </c>
      <c r="BN13" s="99" t="str">
        <f>IF(MATHS!J13="","",MATHS!J13)</f>
        <v/>
      </c>
      <c r="BO13" s="99" t="str">
        <f t="shared" si="63"/>
        <v/>
      </c>
      <c r="BP13" s="99" t="str">
        <f>IF(MATHS!K13="","",MATHS!K13)</f>
        <v/>
      </c>
      <c r="BQ13" s="100" t="str">
        <f t="shared" si="26"/>
        <v/>
      </c>
      <c r="BR13" s="99" t="str">
        <f t="shared" si="64"/>
        <v/>
      </c>
      <c r="BS13" s="99" t="str">
        <f t="shared" si="27"/>
        <v/>
      </c>
      <c r="BT13" s="99" t="str">
        <f>IF(MATHS!O13="","",MATHS!O13)</f>
        <v/>
      </c>
      <c r="BU13" s="99" t="str">
        <f t="shared" si="65"/>
        <v/>
      </c>
      <c r="BV13" s="99" t="str">
        <f t="shared" si="66"/>
        <v/>
      </c>
      <c r="BW13" s="102" t="str">
        <f t="shared" si="67"/>
        <v/>
      </c>
      <c r="BX13" s="102" t="str">
        <f>IF(SCIENCE!E13="","",SCIENCE!E13)</f>
        <v/>
      </c>
      <c r="BY13" s="103" t="str">
        <f t="shared" si="28"/>
        <v/>
      </c>
      <c r="BZ13" s="102" t="str">
        <f>IF(SCIENCE!F13="","",SCIENCE!F13)</f>
        <v/>
      </c>
      <c r="CA13" s="103" t="str">
        <f t="shared" si="29"/>
        <v/>
      </c>
      <c r="CB13" s="102" t="str">
        <f>IF(SCIENCE!G13="","",SCIENCE!G13)</f>
        <v/>
      </c>
      <c r="CC13" s="102" t="str">
        <f t="shared" si="30"/>
        <v/>
      </c>
      <c r="CD13" s="103" t="str">
        <f>IFERROR(LARGE((BY13,CA13,CC13),1),"")</f>
        <v/>
      </c>
      <c r="CE13" s="103" t="str">
        <f>IFERROR(LARGE((BY13,CA13,CC13),2),"")</f>
        <v/>
      </c>
      <c r="CF13" s="102" t="str">
        <f t="shared" si="31"/>
        <v/>
      </c>
      <c r="CG13" s="103" t="str">
        <f>IF(SCIENCE!H13="","",SCIENCE!H13)</f>
        <v/>
      </c>
      <c r="CH13" s="103" t="str">
        <f>IF(SCIENCE!I13="","",SCIENCE!I13)</f>
        <v/>
      </c>
      <c r="CI13" s="103" t="str">
        <f>IF(SCIENCE!J13="","",SCIENCE!J13)</f>
        <v/>
      </c>
      <c r="CJ13" s="103" t="str">
        <f t="shared" si="68"/>
        <v/>
      </c>
      <c r="CK13" s="103" t="str">
        <f>IF(SCIENCE!K13="","",SCIENCE!K13)</f>
        <v/>
      </c>
      <c r="CL13" s="103" t="str">
        <f t="shared" si="32"/>
        <v/>
      </c>
      <c r="CM13" s="102" t="str">
        <f t="shared" si="69"/>
        <v/>
      </c>
      <c r="CN13" s="102" t="str">
        <f t="shared" si="33"/>
        <v/>
      </c>
      <c r="CO13" s="102" t="str">
        <f>IF(SCIENCE!O13="","",SCIENCE!O13)</f>
        <v/>
      </c>
      <c r="CP13" s="102" t="str">
        <f t="shared" si="70"/>
        <v/>
      </c>
      <c r="CQ13" s="102" t="str">
        <f t="shared" si="71"/>
        <v/>
      </c>
      <c r="CR13" s="102" t="str">
        <f t="shared" si="72"/>
        <v/>
      </c>
      <c r="CS13" s="99" t="str">
        <f>IF(SST!E13="","",SST!E13)</f>
        <v/>
      </c>
      <c r="CT13" s="100" t="str">
        <f t="shared" si="34"/>
        <v/>
      </c>
      <c r="CU13" s="99" t="str">
        <f>IF(SST!F13="","",SST!F13)</f>
        <v/>
      </c>
      <c r="CV13" s="100" t="str">
        <f t="shared" si="35"/>
        <v/>
      </c>
      <c r="CW13" s="99" t="str">
        <f>IF(SST!G13="","",SST!G13)</f>
        <v/>
      </c>
      <c r="CX13" s="99" t="str">
        <f t="shared" si="36"/>
        <v/>
      </c>
      <c r="CY13" s="100" t="str">
        <f>IFERROR(LARGE((CT13,CV13,CX13),1),"")</f>
        <v/>
      </c>
      <c r="CZ13" s="100" t="str">
        <f>IFERROR(LARGE((CT13,CV13,CX13),2),"")</f>
        <v/>
      </c>
      <c r="DA13" s="99" t="str">
        <f t="shared" si="37"/>
        <v/>
      </c>
      <c r="DB13" s="100" t="str">
        <f>IF(SST!H13="","",SST!H13)</f>
        <v/>
      </c>
      <c r="DC13" s="100" t="str">
        <f>IF(SST!I13="","",SST!I13)</f>
        <v/>
      </c>
      <c r="DD13" s="100" t="str">
        <f>IF(SST!J13="","",SST!J13)</f>
        <v/>
      </c>
      <c r="DE13" s="100" t="str">
        <f t="shared" si="73"/>
        <v/>
      </c>
      <c r="DF13" s="100" t="str">
        <f>IF(SST!K13="","",SST!K13)</f>
        <v/>
      </c>
      <c r="DG13" s="100" t="str">
        <f t="shared" si="74"/>
        <v/>
      </c>
      <c r="DH13" s="99" t="str">
        <f t="shared" si="75"/>
        <v/>
      </c>
      <c r="DI13" s="99" t="str">
        <f t="shared" si="38"/>
        <v/>
      </c>
      <c r="DJ13" s="99" t="str">
        <f>IF(SST!O13="","",SST!O13)</f>
        <v/>
      </c>
      <c r="DK13" s="99" t="str">
        <f t="shared" si="76"/>
        <v/>
      </c>
      <c r="DL13" s="99" t="str">
        <f t="shared" si="77"/>
        <v/>
      </c>
      <c r="DM13" s="99" t="str">
        <f t="shared" si="78"/>
        <v/>
      </c>
      <c r="DN13" s="99"/>
      <c r="DO13" s="102" t="str">
        <f>IF(C13="","",IF(VLOOKUP(C13,VOCATIONAL!$D$7:$E$51,2,0)="","",VLOOKUP(C13,VOCATIONAL!$D$7:$E$51,2,0)))</f>
        <v/>
      </c>
      <c r="DP13" s="102" t="str">
        <f>IF(VOCATIONAL!F13="","",VOCATIONAL!F13)</f>
        <v/>
      </c>
      <c r="DQ13" s="102" t="str">
        <f>IF(VOCATIONAL!G13="","",VOCATIONAL!G13)</f>
        <v/>
      </c>
      <c r="DR13" s="102" t="str">
        <f t="shared" si="79"/>
        <v/>
      </c>
      <c r="DS13" s="102" t="str">
        <f t="shared" si="80"/>
        <v/>
      </c>
      <c r="DT13" s="102" t="str">
        <f>IF(VOCATIONAL!K13="","",VOCATIONAL!K13)</f>
        <v/>
      </c>
      <c r="DU13" s="102" t="str">
        <f t="shared" si="81"/>
        <v/>
      </c>
      <c r="DV13" s="102" t="str">
        <f t="shared" si="82"/>
        <v/>
      </c>
      <c r="DW13" s="99"/>
      <c r="DX13" s="104" t="str">
        <f t="shared" si="83"/>
        <v/>
      </c>
      <c r="DY13" s="104" t="str">
        <f t="shared" si="84"/>
        <v/>
      </c>
      <c r="DZ13" s="104" t="str">
        <f t="shared" si="85"/>
        <v/>
      </c>
      <c r="EA13" s="104" t="str">
        <f t="shared" si="86"/>
        <v/>
      </c>
      <c r="EB13" s="104" t="str">
        <f t="shared" si="87"/>
        <v/>
      </c>
      <c r="EC13" s="104" t="str">
        <f t="shared" si="88"/>
        <v/>
      </c>
      <c r="ED13" s="104" t="str">
        <f t="shared" si="89"/>
        <v/>
      </c>
      <c r="EE13" s="104" t="str">
        <f t="shared" si="90"/>
        <v/>
      </c>
      <c r="EF13" s="104" t="str">
        <f t="shared" si="91"/>
        <v/>
      </c>
      <c r="EG13" s="104" t="str">
        <f t="shared" si="92"/>
        <v/>
      </c>
      <c r="EH13" s="104" t="str">
        <f t="shared" si="93"/>
        <v/>
      </c>
      <c r="EI13" s="104" t="str">
        <f t="shared" si="94"/>
        <v/>
      </c>
      <c r="EJ13" s="105" t="str">
        <f t="shared" si="95"/>
        <v/>
      </c>
      <c r="EK13" s="105" t="str">
        <f t="shared" si="96"/>
        <v/>
      </c>
      <c r="EL13" s="105" t="str">
        <f t="shared" si="97"/>
        <v/>
      </c>
      <c r="EM13" s="105" t="str">
        <f t="shared" si="98"/>
        <v/>
      </c>
      <c r="EN13" s="105" t="str">
        <f t="shared" si="99"/>
        <v/>
      </c>
      <c r="EO13" s="363" t="str">
        <f t="shared" si="100"/>
        <v/>
      </c>
      <c r="EP13" s="106" t="str">
        <f t="shared" si="101"/>
        <v/>
      </c>
      <c r="EQ13" s="106" t="str">
        <f t="shared" si="102"/>
        <v/>
      </c>
      <c r="ER13" s="106" t="str">
        <f t="shared" si="103"/>
        <v/>
      </c>
      <c r="ES13" s="106" t="str">
        <f t="shared" si="104"/>
        <v/>
      </c>
      <c r="ET13" s="106" t="str">
        <f t="shared" si="105"/>
        <v/>
      </c>
      <c r="EU13" s="106" t="str">
        <f t="shared" si="106"/>
        <v/>
      </c>
      <c r="EV13" s="92" t="str">
        <f t="shared" si="107"/>
        <v/>
      </c>
      <c r="EW13" s="92" t="str">
        <f t="shared" si="108"/>
        <v/>
      </c>
      <c r="EX13" s="92" t="str">
        <f t="shared" si="109"/>
        <v/>
      </c>
      <c r="EY13" s="92" t="str">
        <f t="shared" si="110"/>
        <v/>
      </c>
      <c r="EZ13" s="92" t="str">
        <f t="shared" si="111"/>
        <v/>
      </c>
      <c r="FA13" s="92" t="str">
        <f t="shared" si="112"/>
        <v/>
      </c>
      <c r="FB13" s="93" t="str">
        <f t="shared" si="113"/>
        <v/>
      </c>
      <c r="FC13" s="93" t="str">
        <f t="shared" si="114"/>
        <v/>
      </c>
      <c r="FD13" s="93" t="str">
        <f t="shared" si="115"/>
        <v/>
      </c>
      <c r="FE13" s="93" t="str">
        <f t="shared" si="116"/>
        <v/>
      </c>
      <c r="FF13" s="93" t="str">
        <f t="shared" si="117"/>
        <v/>
      </c>
      <c r="FG13" s="93" t="str">
        <f t="shared" si="118"/>
        <v/>
      </c>
      <c r="FH13" s="107" t="str">
        <f t="shared" si="119"/>
        <v/>
      </c>
      <c r="FI13" s="107" t="str">
        <f t="shared" si="120"/>
        <v/>
      </c>
      <c r="FJ13" s="256" t="str">
        <f t="shared" si="121"/>
        <v/>
      </c>
      <c r="FK13" s="256" t="str">
        <f t="shared" si="122"/>
        <v/>
      </c>
      <c r="FL13" s="256" t="str">
        <f t="shared" si="123"/>
        <v/>
      </c>
      <c r="FM13" s="256" t="str">
        <f t="shared" si="124"/>
        <v/>
      </c>
      <c r="FN13" s="256" t="str">
        <f>IF(OR(C13="TC",C13=""),"",IF(OR(FJ13="PASS",FJ13="FAIL"),IF(EC13="",SUM(FB13:FF13),SUM(LARGE(FB13:FG13,{1,2,3,4,5}))),""))</f>
        <v/>
      </c>
      <c r="FO13" s="256" t="str">
        <f>IF(AND(FN13="",FK13="PASSED AFTER COMPARTMENT"),IF(EC13="",SUM(FB13:FF13),SUM(LARGE(FB13:FG13,{1,2,3,4,5}))),FN13)</f>
        <v/>
      </c>
      <c r="FP13" s="256" t="str">
        <f t="shared" si="125"/>
        <v/>
      </c>
      <c r="FQ13" s="256" t="str">
        <f t="shared" si="126"/>
        <v/>
      </c>
      <c r="FR13" s="256" t="str">
        <f t="shared" si="127"/>
        <v/>
      </c>
      <c r="FS13" s="256" t="str">
        <f t="shared" si="128"/>
        <v/>
      </c>
      <c r="FT13" s="108" t="str">
        <f t="shared" si="129"/>
        <v/>
      </c>
      <c r="FU13" s="256" t="str">
        <f t="shared" si="130"/>
        <v/>
      </c>
      <c r="FV13" s="109" t="str">
        <f>IF(ATTENDANCE!Q14="","",ATTENDANCE!Q14)</f>
        <v/>
      </c>
      <c r="FW13" s="110" t="str">
        <f t="shared" si="131"/>
        <v/>
      </c>
      <c r="FX13" s="110" t="str">
        <f t="shared" si="132"/>
        <v/>
      </c>
      <c r="FY13" s="365" t="str">
        <f t="shared" si="133"/>
        <v/>
      </c>
      <c r="FZ13" s="108" t="str">
        <f t="shared" si="134"/>
        <v/>
      </c>
      <c r="GA13" s="256" t="str">
        <f>IF(ATTENDANCE!Q14="","",ATTENDANCE!Q14)</f>
        <v/>
      </c>
      <c r="GB13" s="108" t="str">
        <f>IF(ATTENDANCE!Q14="","",ATTENDANCE!$Q14)</f>
        <v/>
      </c>
      <c r="GC13" s="108" t="s">
        <v>232</v>
      </c>
      <c r="GD13" s="60"/>
    </row>
    <row r="14" spans="1:186" ht="15" customHeight="1" x14ac:dyDescent="0.25">
      <c r="A14" s="60"/>
      <c r="B14" s="96">
        <f>IF(DATA!B12="","",DATA!B12)</f>
        <v>8</v>
      </c>
      <c r="C14" s="96" t="str">
        <f>IF(DATA!C12="","",DATA!C12)</f>
        <v/>
      </c>
      <c r="D14" s="96" t="str">
        <f>IF(DATA!D12="","",DATA!D12)</f>
        <v/>
      </c>
      <c r="E14" s="303" t="str">
        <f>IF(DATA!E12="","",DATA!E12)</f>
        <v/>
      </c>
      <c r="F14" s="303" t="str">
        <f>IF(DATA!F12="","",DATA!F12)</f>
        <v/>
      </c>
      <c r="G14" s="303" t="str">
        <f>IF(DATA!G12="","",DATA!G12)</f>
        <v/>
      </c>
      <c r="H14" s="98" t="str">
        <f>IF(DATA!H12="","",DATA!H12)</f>
        <v/>
      </c>
      <c r="I14" s="97" t="str">
        <f>IF(DATA!I12="","",DATA!I12)</f>
        <v/>
      </c>
      <c r="J14" s="97" t="str">
        <f>IF(DATA!J12="","",DATA!J12)</f>
        <v/>
      </c>
      <c r="K14" s="97" t="str">
        <f>IF(DATA!K12="","",DATA!K12)</f>
        <v/>
      </c>
      <c r="L14" s="99" t="str">
        <f>IF(ENGLISH!E14="","",ENGLISH!E14)</f>
        <v/>
      </c>
      <c r="M14" s="100" t="str">
        <f t="shared" si="46"/>
        <v/>
      </c>
      <c r="N14" s="99" t="str">
        <f>IF(ENGLISH!F14="","",ENGLISH!F14)</f>
        <v/>
      </c>
      <c r="O14" s="100" t="str">
        <f t="shared" si="47"/>
        <v/>
      </c>
      <c r="P14" s="99" t="str">
        <f>IF(ENGLISH!G14="","",ENGLISH!G14)</f>
        <v/>
      </c>
      <c r="Q14" s="99" t="str">
        <f t="shared" si="48"/>
        <v/>
      </c>
      <c r="R14" s="100" t="str">
        <f>IFERROR(LARGE((M14,O14,Q14),1),"")</f>
        <v/>
      </c>
      <c r="S14" s="100" t="str">
        <f>IFERROR(LARGE((M14,O14,Q14),2),"")</f>
        <v/>
      </c>
      <c r="T14" s="99" t="str">
        <f t="shared" si="49"/>
        <v/>
      </c>
      <c r="U14" s="100" t="str">
        <f>IF(ENGLISH!H14="","",ENGLISH!H14)</f>
        <v/>
      </c>
      <c r="V14" s="99" t="str">
        <f>IF(ENGLISH!I14="","",ENGLISH!I14)</f>
        <v/>
      </c>
      <c r="W14" s="99" t="str">
        <f>IF(ENGLISH!J14="","",ENGLISH!J14)</f>
        <v/>
      </c>
      <c r="X14" s="99" t="str">
        <f t="shared" si="50"/>
        <v/>
      </c>
      <c r="Y14" s="100" t="str">
        <f>IF(ENGLISH!K14="","",ENGLISH!K14)</f>
        <v/>
      </c>
      <c r="Z14" s="100" t="str">
        <f t="shared" si="51"/>
        <v/>
      </c>
      <c r="AA14" s="101" t="str">
        <f t="shared" si="52"/>
        <v/>
      </c>
      <c r="AB14" s="99" t="str">
        <f t="shared" si="15"/>
        <v/>
      </c>
      <c r="AC14" s="99" t="str">
        <f>IF(ENGLISH!O14="","",ENGLISH!O14)</f>
        <v/>
      </c>
      <c r="AD14" s="99" t="str">
        <f t="shared" si="53"/>
        <v/>
      </c>
      <c r="AE14" s="99" t="str">
        <f t="shared" si="54"/>
        <v/>
      </c>
      <c r="AF14" s="99" t="str">
        <f t="shared" si="55"/>
        <v/>
      </c>
      <c r="AG14" s="102" t="str">
        <f>IF(C14="","",VLOOKUP(C14,'HINDI-SKT'!$D$7:$E$51,2,0))</f>
        <v/>
      </c>
      <c r="AH14" s="102" t="str">
        <f>IF('HINDI-SKT'!F14="","",'HINDI-SKT'!F14)</f>
        <v/>
      </c>
      <c r="AI14" s="103" t="str">
        <f t="shared" si="16"/>
        <v/>
      </c>
      <c r="AJ14" s="102" t="str">
        <f>IF('HINDI-SKT'!G14="","",'HINDI-SKT'!G14)</f>
        <v/>
      </c>
      <c r="AK14" s="103" t="str">
        <f t="shared" si="17"/>
        <v/>
      </c>
      <c r="AL14" s="102" t="str">
        <f>IF('HINDI-SKT'!H14="","",'HINDI-SKT'!H14)</f>
        <v/>
      </c>
      <c r="AM14" s="102" t="str">
        <f t="shared" si="18"/>
        <v/>
      </c>
      <c r="AN14" s="103" t="str">
        <f>IFERROR(LARGE((AI14,AK14,AM14),1),"")</f>
        <v/>
      </c>
      <c r="AO14" s="103" t="str">
        <f>IFERROR(LARGE((AI14,AK14,AM14),2),"")</f>
        <v/>
      </c>
      <c r="AP14" s="102" t="str">
        <f t="shared" si="19"/>
        <v/>
      </c>
      <c r="AQ14" s="103" t="str">
        <f>IF('HINDI-SKT'!I14="","",'HINDI-SKT'!I14)</f>
        <v/>
      </c>
      <c r="AR14" s="102" t="str">
        <f>IF('HINDI-SKT'!J14="","",'HINDI-SKT'!J14)</f>
        <v/>
      </c>
      <c r="AS14" s="102" t="str">
        <f>IF('HINDI-SKT'!K14="","",'HINDI-SKT'!K14)</f>
        <v/>
      </c>
      <c r="AT14" s="102" t="str">
        <f t="shared" si="56"/>
        <v/>
      </c>
      <c r="AU14" s="102" t="str">
        <f>IF('HINDI-SKT'!L14="","",'HINDI-SKT'!L14)</f>
        <v/>
      </c>
      <c r="AV14" s="103" t="str">
        <f t="shared" si="57"/>
        <v/>
      </c>
      <c r="AW14" s="102" t="str">
        <f t="shared" si="58"/>
        <v/>
      </c>
      <c r="AX14" s="102" t="str">
        <f t="shared" si="59"/>
        <v/>
      </c>
      <c r="AY14" s="102" t="str">
        <f>IF('HINDI-SKT'!P14="","",'HINDI-SKT'!P14)</f>
        <v/>
      </c>
      <c r="AZ14" s="102" t="str">
        <f t="shared" si="60"/>
        <v/>
      </c>
      <c r="BA14" s="102" t="str">
        <f t="shared" si="61"/>
        <v/>
      </c>
      <c r="BB14" s="102" t="str">
        <f t="shared" si="62"/>
        <v/>
      </c>
      <c r="BC14" s="99" t="str">
        <f>IF(MATHS!E14="","",MATHS!E14)</f>
        <v/>
      </c>
      <c r="BD14" s="100" t="str">
        <f t="shared" si="22"/>
        <v/>
      </c>
      <c r="BE14" s="99" t="str">
        <f>IF(MATHS!F14="","",MATHS!F14)</f>
        <v/>
      </c>
      <c r="BF14" s="100" t="str">
        <f t="shared" si="23"/>
        <v/>
      </c>
      <c r="BG14" s="99" t="str">
        <f>IF(MATHS!G14="","",MATHS!G14)</f>
        <v/>
      </c>
      <c r="BH14" s="99" t="str">
        <f t="shared" si="24"/>
        <v/>
      </c>
      <c r="BI14" s="100" t="str">
        <f>IFERROR(LARGE((BD14,BF14,BH14),1),"")</f>
        <v/>
      </c>
      <c r="BJ14" s="100" t="str">
        <f>IFERROR(LARGE((BD14,BF14,BH14),2),"")</f>
        <v/>
      </c>
      <c r="BK14" s="99" t="str">
        <f t="shared" si="25"/>
        <v/>
      </c>
      <c r="BL14" s="100" t="str">
        <f>IF(MATHS!H14="","",MATHS!H14)</f>
        <v/>
      </c>
      <c r="BM14" s="99" t="str">
        <f>IF(MATHS!I14="","",MATHS!I14)</f>
        <v/>
      </c>
      <c r="BN14" s="99" t="str">
        <f>IF(MATHS!J14="","",MATHS!J14)</f>
        <v/>
      </c>
      <c r="BO14" s="99" t="str">
        <f t="shared" si="63"/>
        <v/>
      </c>
      <c r="BP14" s="99" t="str">
        <f>IF(MATHS!K14="","",MATHS!K14)</f>
        <v/>
      </c>
      <c r="BQ14" s="100" t="str">
        <f t="shared" si="26"/>
        <v/>
      </c>
      <c r="BR14" s="99" t="str">
        <f t="shared" si="64"/>
        <v/>
      </c>
      <c r="BS14" s="99" t="str">
        <f t="shared" si="27"/>
        <v/>
      </c>
      <c r="BT14" s="99" t="str">
        <f>IF(MATHS!O14="","",MATHS!O14)</f>
        <v/>
      </c>
      <c r="BU14" s="99" t="str">
        <f t="shared" si="65"/>
        <v/>
      </c>
      <c r="BV14" s="99" t="str">
        <f t="shared" si="66"/>
        <v/>
      </c>
      <c r="BW14" s="102" t="str">
        <f t="shared" si="67"/>
        <v/>
      </c>
      <c r="BX14" s="102" t="str">
        <f>IF(SCIENCE!E14="","",SCIENCE!E14)</f>
        <v/>
      </c>
      <c r="BY14" s="103" t="str">
        <f t="shared" si="28"/>
        <v/>
      </c>
      <c r="BZ14" s="102" t="str">
        <f>IF(SCIENCE!F14="","",SCIENCE!F14)</f>
        <v/>
      </c>
      <c r="CA14" s="103" t="str">
        <f t="shared" si="29"/>
        <v/>
      </c>
      <c r="CB14" s="102" t="str">
        <f>IF(SCIENCE!G14="","",SCIENCE!G14)</f>
        <v/>
      </c>
      <c r="CC14" s="102" t="str">
        <f t="shared" si="30"/>
        <v/>
      </c>
      <c r="CD14" s="103" t="str">
        <f>IFERROR(LARGE((BY14,CA14,CC14),1),"")</f>
        <v/>
      </c>
      <c r="CE14" s="103" t="str">
        <f>IFERROR(LARGE((BY14,CA14,CC14),2),"")</f>
        <v/>
      </c>
      <c r="CF14" s="102" t="str">
        <f t="shared" si="31"/>
        <v/>
      </c>
      <c r="CG14" s="103" t="str">
        <f>IF(SCIENCE!H14="","",SCIENCE!H14)</f>
        <v/>
      </c>
      <c r="CH14" s="103" t="str">
        <f>IF(SCIENCE!I14="","",SCIENCE!I14)</f>
        <v/>
      </c>
      <c r="CI14" s="103" t="str">
        <f>IF(SCIENCE!J14="","",SCIENCE!J14)</f>
        <v/>
      </c>
      <c r="CJ14" s="103" t="str">
        <f t="shared" si="68"/>
        <v/>
      </c>
      <c r="CK14" s="103" t="str">
        <f>IF(SCIENCE!K14="","",SCIENCE!K14)</f>
        <v/>
      </c>
      <c r="CL14" s="103" t="str">
        <f t="shared" si="32"/>
        <v/>
      </c>
      <c r="CM14" s="102" t="str">
        <f t="shared" si="69"/>
        <v/>
      </c>
      <c r="CN14" s="102" t="str">
        <f t="shared" si="33"/>
        <v/>
      </c>
      <c r="CO14" s="102" t="str">
        <f>IF(SCIENCE!O14="","",SCIENCE!O14)</f>
        <v/>
      </c>
      <c r="CP14" s="102" t="str">
        <f t="shared" si="70"/>
        <v/>
      </c>
      <c r="CQ14" s="102" t="str">
        <f t="shared" si="71"/>
        <v/>
      </c>
      <c r="CR14" s="102" t="str">
        <f t="shared" si="72"/>
        <v/>
      </c>
      <c r="CS14" s="99" t="str">
        <f>IF(SST!E14="","",SST!E14)</f>
        <v/>
      </c>
      <c r="CT14" s="100" t="str">
        <f t="shared" si="34"/>
        <v/>
      </c>
      <c r="CU14" s="99" t="str">
        <f>IF(SST!F14="","",SST!F14)</f>
        <v/>
      </c>
      <c r="CV14" s="100" t="str">
        <f t="shared" si="35"/>
        <v/>
      </c>
      <c r="CW14" s="99" t="str">
        <f>IF(SST!G14="","",SST!G14)</f>
        <v/>
      </c>
      <c r="CX14" s="99" t="str">
        <f t="shared" si="36"/>
        <v/>
      </c>
      <c r="CY14" s="100" t="str">
        <f>IFERROR(LARGE((CT14,CV14,CX14),1),"")</f>
        <v/>
      </c>
      <c r="CZ14" s="100" t="str">
        <f>IFERROR(LARGE((CT14,CV14,CX14),2),"")</f>
        <v/>
      </c>
      <c r="DA14" s="99" t="str">
        <f t="shared" si="37"/>
        <v/>
      </c>
      <c r="DB14" s="100" t="str">
        <f>IF(SST!H14="","",SST!H14)</f>
        <v/>
      </c>
      <c r="DC14" s="100" t="str">
        <f>IF(SST!I14="","",SST!I14)</f>
        <v/>
      </c>
      <c r="DD14" s="100" t="str">
        <f>IF(SST!J14="","",SST!J14)</f>
        <v/>
      </c>
      <c r="DE14" s="100" t="str">
        <f t="shared" si="73"/>
        <v/>
      </c>
      <c r="DF14" s="100" t="str">
        <f>IF(SST!K14="","",SST!K14)</f>
        <v/>
      </c>
      <c r="DG14" s="100" t="str">
        <f t="shared" si="74"/>
        <v/>
      </c>
      <c r="DH14" s="99" t="str">
        <f t="shared" si="75"/>
        <v/>
      </c>
      <c r="DI14" s="99" t="str">
        <f t="shared" si="38"/>
        <v/>
      </c>
      <c r="DJ14" s="99" t="str">
        <f>IF(SST!O14="","",SST!O14)</f>
        <v/>
      </c>
      <c r="DK14" s="99" t="str">
        <f t="shared" si="76"/>
        <v/>
      </c>
      <c r="DL14" s="99" t="str">
        <f t="shared" si="77"/>
        <v/>
      </c>
      <c r="DM14" s="99" t="str">
        <f t="shared" si="78"/>
        <v/>
      </c>
      <c r="DN14" s="99"/>
      <c r="DO14" s="102" t="str">
        <f>IF(C14="","",IF(VLOOKUP(C14,VOCATIONAL!$D$7:$E$51,2,0)="","",VLOOKUP(C14,VOCATIONAL!$D$7:$E$51,2,0)))</f>
        <v/>
      </c>
      <c r="DP14" s="102" t="str">
        <f>IF(VOCATIONAL!F14="","",VOCATIONAL!F14)</f>
        <v/>
      </c>
      <c r="DQ14" s="102" t="str">
        <f>IF(VOCATIONAL!G14="","",VOCATIONAL!G14)</f>
        <v/>
      </c>
      <c r="DR14" s="102" t="str">
        <f t="shared" si="79"/>
        <v/>
      </c>
      <c r="DS14" s="102" t="str">
        <f t="shared" si="80"/>
        <v/>
      </c>
      <c r="DT14" s="102" t="str">
        <f>IF(VOCATIONAL!K14="","",VOCATIONAL!K14)</f>
        <v/>
      </c>
      <c r="DU14" s="102" t="str">
        <f t="shared" si="81"/>
        <v/>
      </c>
      <c r="DV14" s="102" t="str">
        <f t="shared" si="82"/>
        <v/>
      </c>
      <c r="DW14" s="99"/>
      <c r="DX14" s="104" t="str">
        <f t="shared" si="83"/>
        <v/>
      </c>
      <c r="DY14" s="104" t="str">
        <f t="shared" si="84"/>
        <v/>
      </c>
      <c r="DZ14" s="104" t="str">
        <f t="shared" si="85"/>
        <v/>
      </c>
      <c r="EA14" s="104" t="str">
        <f t="shared" si="86"/>
        <v/>
      </c>
      <c r="EB14" s="104" t="str">
        <f t="shared" si="87"/>
        <v/>
      </c>
      <c r="EC14" s="104" t="str">
        <f t="shared" si="88"/>
        <v/>
      </c>
      <c r="ED14" s="104" t="str">
        <f t="shared" si="89"/>
        <v/>
      </c>
      <c r="EE14" s="104" t="str">
        <f t="shared" si="90"/>
        <v/>
      </c>
      <c r="EF14" s="104" t="str">
        <f t="shared" si="91"/>
        <v/>
      </c>
      <c r="EG14" s="104" t="str">
        <f t="shared" si="92"/>
        <v/>
      </c>
      <c r="EH14" s="104" t="str">
        <f t="shared" si="93"/>
        <v/>
      </c>
      <c r="EI14" s="104" t="str">
        <f t="shared" si="94"/>
        <v/>
      </c>
      <c r="EJ14" s="105" t="str">
        <f t="shared" si="95"/>
        <v/>
      </c>
      <c r="EK14" s="105" t="str">
        <f t="shared" si="96"/>
        <v/>
      </c>
      <c r="EL14" s="105" t="str">
        <f t="shared" si="97"/>
        <v/>
      </c>
      <c r="EM14" s="105" t="str">
        <f t="shared" si="98"/>
        <v/>
      </c>
      <c r="EN14" s="105" t="str">
        <f t="shared" si="99"/>
        <v/>
      </c>
      <c r="EO14" s="363" t="str">
        <f t="shared" si="100"/>
        <v/>
      </c>
      <c r="EP14" s="106" t="str">
        <f t="shared" si="101"/>
        <v/>
      </c>
      <c r="EQ14" s="106" t="str">
        <f t="shared" si="102"/>
        <v/>
      </c>
      <c r="ER14" s="106" t="str">
        <f t="shared" si="103"/>
        <v/>
      </c>
      <c r="ES14" s="106" t="str">
        <f t="shared" si="104"/>
        <v/>
      </c>
      <c r="ET14" s="106" t="str">
        <f t="shared" si="105"/>
        <v/>
      </c>
      <c r="EU14" s="106" t="str">
        <f t="shared" si="106"/>
        <v/>
      </c>
      <c r="EV14" s="92" t="str">
        <f t="shared" si="107"/>
        <v/>
      </c>
      <c r="EW14" s="92" t="str">
        <f t="shared" si="108"/>
        <v/>
      </c>
      <c r="EX14" s="92" t="str">
        <f t="shared" si="109"/>
        <v/>
      </c>
      <c r="EY14" s="92" t="str">
        <f t="shared" si="110"/>
        <v/>
      </c>
      <c r="EZ14" s="92" t="str">
        <f t="shared" si="111"/>
        <v/>
      </c>
      <c r="FA14" s="92" t="str">
        <f t="shared" si="112"/>
        <v/>
      </c>
      <c r="FB14" s="93" t="str">
        <f t="shared" si="113"/>
        <v/>
      </c>
      <c r="FC14" s="93" t="str">
        <f t="shared" si="114"/>
        <v/>
      </c>
      <c r="FD14" s="93" t="str">
        <f t="shared" si="115"/>
        <v/>
      </c>
      <c r="FE14" s="93" t="str">
        <f t="shared" si="116"/>
        <v/>
      </c>
      <c r="FF14" s="93" t="str">
        <f t="shared" si="117"/>
        <v/>
      </c>
      <c r="FG14" s="93" t="str">
        <f t="shared" si="118"/>
        <v/>
      </c>
      <c r="FH14" s="107" t="str">
        <f t="shared" si="119"/>
        <v/>
      </c>
      <c r="FI14" s="107" t="str">
        <f t="shared" si="120"/>
        <v/>
      </c>
      <c r="FJ14" s="256" t="str">
        <f t="shared" si="121"/>
        <v/>
      </c>
      <c r="FK14" s="256" t="str">
        <f t="shared" si="122"/>
        <v/>
      </c>
      <c r="FL14" s="256" t="str">
        <f t="shared" si="123"/>
        <v/>
      </c>
      <c r="FM14" s="256" t="str">
        <f t="shared" si="124"/>
        <v/>
      </c>
      <c r="FN14" s="256" t="str">
        <f>IF(OR(C14="TC",C14=""),"",IF(OR(FJ14="PASS",FJ14="FAIL"),IF(EC14="",SUM(FB14:FF14),SUM(LARGE(FB14:FG14,{1,2,3,4,5}))),""))</f>
        <v/>
      </c>
      <c r="FO14" s="256" t="str">
        <f>IF(AND(FN14="",FK14="PASSED AFTER COMPARTMENT"),IF(EC14="",SUM(FB14:FF14),SUM(LARGE(FB14:FG14,{1,2,3,4,5}))),FN14)</f>
        <v/>
      </c>
      <c r="FP14" s="256" t="str">
        <f t="shared" si="125"/>
        <v/>
      </c>
      <c r="FQ14" s="256" t="str">
        <f t="shared" si="126"/>
        <v/>
      </c>
      <c r="FR14" s="256" t="str">
        <f t="shared" si="127"/>
        <v/>
      </c>
      <c r="FS14" s="256" t="str">
        <f t="shared" si="128"/>
        <v/>
      </c>
      <c r="FT14" s="108" t="str">
        <f t="shared" si="129"/>
        <v/>
      </c>
      <c r="FU14" s="256" t="str">
        <f t="shared" si="130"/>
        <v/>
      </c>
      <c r="FV14" s="109" t="str">
        <f>IF(ATTENDANCE!Q15="","",ATTENDANCE!Q15)</f>
        <v/>
      </c>
      <c r="FW14" s="110" t="str">
        <f t="shared" si="131"/>
        <v/>
      </c>
      <c r="FX14" s="110" t="str">
        <f t="shared" si="132"/>
        <v/>
      </c>
      <c r="FY14" s="365" t="str">
        <f t="shared" si="133"/>
        <v/>
      </c>
      <c r="FZ14" s="108" t="str">
        <f t="shared" si="134"/>
        <v/>
      </c>
      <c r="GA14" s="256" t="str">
        <f>IF(ATTENDANCE!Q15="","",ATTENDANCE!Q15)</f>
        <v/>
      </c>
      <c r="GB14" s="108" t="str">
        <f>IF(ATTENDANCE!Q15="","",ATTENDANCE!$Q15)</f>
        <v/>
      </c>
      <c r="GC14" s="108" t="s">
        <v>230</v>
      </c>
      <c r="GD14" s="60"/>
    </row>
    <row r="15" spans="1:186" ht="15" customHeight="1" x14ac:dyDescent="0.25">
      <c r="A15" s="60"/>
      <c r="B15" s="96">
        <f>IF(DATA!B13="","",DATA!B13)</f>
        <v>9</v>
      </c>
      <c r="C15" s="96" t="str">
        <f>IF(DATA!C13="","",DATA!C13)</f>
        <v/>
      </c>
      <c r="D15" s="96" t="str">
        <f>IF(DATA!D13="","",DATA!D13)</f>
        <v/>
      </c>
      <c r="E15" s="303" t="str">
        <f>IF(DATA!E13="","",DATA!E13)</f>
        <v/>
      </c>
      <c r="F15" s="303" t="str">
        <f>IF(DATA!F13="","",DATA!F13)</f>
        <v/>
      </c>
      <c r="G15" s="303" t="str">
        <f>IF(DATA!G13="","",DATA!G13)</f>
        <v/>
      </c>
      <c r="H15" s="98" t="str">
        <f>IF(DATA!H13="","",DATA!H13)</f>
        <v/>
      </c>
      <c r="I15" s="97" t="str">
        <f>IF(DATA!I13="","",DATA!I13)</f>
        <v/>
      </c>
      <c r="J15" s="97" t="str">
        <f>IF(DATA!J13="","",DATA!J13)</f>
        <v/>
      </c>
      <c r="K15" s="97" t="str">
        <f>IF(DATA!K13="","",DATA!K13)</f>
        <v/>
      </c>
      <c r="L15" s="99" t="str">
        <f>IF(ENGLISH!E15="","",ENGLISH!E15)</f>
        <v/>
      </c>
      <c r="M15" s="100" t="str">
        <f t="shared" si="46"/>
        <v/>
      </c>
      <c r="N15" s="99" t="str">
        <f>IF(ENGLISH!F15="","",ENGLISH!F15)</f>
        <v/>
      </c>
      <c r="O15" s="100" t="str">
        <f t="shared" si="47"/>
        <v/>
      </c>
      <c r="P15" s="99" t="str">
        <f>IF(ENGLISH!G15="","",ENGLISH!G15)</f>
        <v/>
      </c>
      <c r="Q15" s="99" t="str">
        <f t="shared" si="48"/>
        <v/>
      </c>
      <c r="R15" s="100" t="str">
        <f>IFERROR(LARGE((M15,O15,Q15),1),"")</f>
        <v/>
      </c>
      <c r="S15" s="100" t="str">
        <f>IFERROR(LARGE((M15,O15,Q15),2),"")</f>
        <v/>
      </c>
      <c r="T15" s="99" t="str">
        <f t="shared" si="49"/>
        <v/>
      </c>
      <c r="U15" s="100" t="str">
        <f>IF(ENGLISH!H15="","",ENGLISH!H15)</f>
        <v/>
      </c>
      <c r="V15" s="99" t="str">
        <f>IF(ENGLISH!I15="","",ENGLISH!I15)</f>
        <v/>
      </c>
      <c r="W15" s="99" t="str">
        <f>IF(ENGLISH!J15="","",ENGLISH!J15)</f>
        <v/>
      </c>
      <c r="X15" s="99" t="str">
        <f t="shared" si="50"/>
        <v/>
      </c>
      <c r="Y15" s="100" t="str">
        <f>IF(ENGLISH!K15="","",ENGLISH!K15)</f>
        <v/>
      </c>
      <c r="Z15" s="100" t="str">
        <f t="shared" si="51"/>
        <v/>
      </c>
      <c r="AA15" s="101" t="str">
        <f t="shared" si="52"/>
        <v/>
      </c>
      <c r="AB15" s="99" t="str">
        <f t="shared" si="15"/>
        <v/>
      </c>
      <c r="AC15" s="99" t="str">
        <f>IF(ENGLISH!O15="","",ENGLISH!O15)</f>
        <v/>
      </c>
      <c r="AD15" s="99" t="str">
        <f t="shared" si="53"/>
        <v/>
      </c>
      <c r="AE15" s="99" t="str">
        <f t="shared" si="54"/>
        <v/>
      </c>
      <c r="AF15" s="99" t="str">
        <f t="shared" si="55"/>
        <v/>
      </c>
      <c r="AG15" s="102" t="str">
        <f>IF(C15="","",VLOOKUP(C15,'HINDI-SKT'!$D$7:$E$51,2,0))</f>
        <v/>
      </c>
      <c r="AH15" s="102" t="str">
        <f>IF('HINDI-SKT'!F15="","",'HINDI-SKT'!F15)</f>
        <v/>
      </c>
      <c r="AI15" s="103" t="str">
        <f t="shared" si="16"/>
        <v/>
      </c>
      <c r="AJ15" s="102" t="str">
        <f>IF('HINDI-SKT'!G15="","",'HINDI-SKT'!G15)</f>
        <v/>
      </c>
      <c r="AK15" s="103" t="str">
        <f t="shared" si="17"/>
        <v/>
      </c>
      <c r="AL15" s="102" t="str">
        <f>IF('HINDI-SKT'!H15="","",'HINDI-SKT'!H15)</f>
        <v/>
      </c>
      <c r="AM15" s="102" t="str">
        <f t="shared" si="18"/>
        <v/>
      </c>
      <c r="AN15" s="103" t="str">
        <f>IFERROR(LARGE((AI15,AK15,AM15),1),"")</f>
        <v/>
      </c>
      <c r="AO15" s="103" t="str">
        <f>IFERROR(LARGE((AI15,AK15,AM15),2),"")</f>
        <v/>
      </c>
      <c r="AP15" s="102" t="str">
        <f t="shared" si="19"/>
        <v/>
      </c>
      <c r="AQ15" s="103" t="str">
        <f>IF('HINDI-SKT'!I15="","",'HINDI-SKT'!I15)</f>
        <v/>
      </c>
      <c r="AR15" s="102" t="str">
        <f>IF('HINDI-SKT'!J15="","",'HINDI-SKT'!J15)</f>
        <v/>
      </c>
      <c r="AS15" s="102" t="str">
        <f>IF('HINDI-SKT'!K15="","",'HINDI-SKT'!K15)</f>
        <v/>
      </c>
      <c r="AT15" s="102" t="str">
        <f t="shared" si="56"/>
        <v/>
      </c>
      <c r="AU15" s="102" t="str">
        <f>IF('HINDI-SKT'!L15="","",'HINDI-SKT'!L15)</f>
        <v/>
      </c>
      <c r="AV15" s="103" t="str">
        <f t="shared" si="57"/>
        <v/>
      </c>
      <c r="AW15" s="102" t="str">
        <f t="shared" si="58"/>
        <v/>
      </c>
      <c r="AX15" s="102" t="str">
        <f t="shared" si="59"/>
        <v/>
      </c>
      <c r="AY15" s="102" t="str">
        <f>IF('HINDI-SKT'!P15="","",'HINDI-SKT'!P15)</f>
        <v/>
      </c>
      <c r="AZ15" s="102" t="str">
        <f t="shared" si="60"/>
        <v/>
      </c>
      <c r="BA15" s="102" t="str">
        <f t="shared" si="61"/>
        <v/>
      </c>
      <c r="BB15" s="102" t="str">
        <f t="shared" si="62"/>
        <v/>
      </c>
      <c r="BC15" s="99" t="str">
        <f>IF(MATHS!E15="","",MATHS!E15)</f>
        <v/>
      </c>
      <c r="BD15" s="100" t="str">
        <f t="shared" si="22"/>
        <v/>
      </c>
      <c r="BE15" s="99" t="str">
        <f>IF(MATHS!F15="","",MATHS!F15)</f>
        <v/>
      </c>
      <c r="BF15" s="100" t="str">
        <f t="shared" si="23"/>
        <v/>
      </c>
      <c r="BG15" s="99" t="str">
        <f>IF(MATHS!G15="","",MATHS!G15)</f>
        <v/>
      </c>
      <c r="BH15" s="99" t="str">
        <f t="shared" si="24"/>
        <v/>
      </c>
      <c r="BI15" s="100" t="str">
        <f>IFERROR(LARGE((BD15,BF15,BH15),1),"")</f>
        <v/>
      </c>
      <c r="BJ15" s="100" t="str">
        <f>IFERROR(LARGE((BD15,BF15,BH15),2),"")</f>
        <v/>
      </c>
      <c r="BK15" s="99" t="str">
        <f t="shared" si="25"/>
        <v/>
      </c>
      <c r="BL15" s="100" t="str">
        <f>IF(MATHS!H15="","",MATHS!H15)</f>
        <v/>
      </c>
      <c r="BM15" s="99" t="str">
        <f>IF(MATHS!I15="","",MATHS!I15)</f>
        <v/>
      </c>
      <c r="BN15" s="99" t="str">
        <f>IF(MATHS!J15="","",MATHS!J15)</f>
        <v/>
      </c>
      <c r="BO15" s="99" t="str">
        <f t="shared" si="63"/>
        <v/>
      </c>
      <c r="BP15" s="99" t="str">
        <f>IF(MATHS!K15="","",MATHS!K15)</f>
        <v/>
      </c>
      <c r="BQ15" s="100" t="str">
        <f t="shared" si="26"/>
        <v/>
      </c>
      <c r="BR15" s="99" t="str">
        <f t="shared" si="64"/>
        <v/>
      </c>
      <c r="BS15" s="99" t="str">
        <f t="shared" si="27"/>
        <v/>
      </c>
      <c r="BT15" s="99" t="str">
        <f>IF(MATHS!O15="","",MATHS!O15)</f>
        <v/>
      </c>
      <c r="BU15" s="99" t="str">
        <f t="shared" si="65"/>
        <v/>
      </c>
      <c r="BV15" s="99" t="str">
        <f t="shared" si="66"/>
        <v/>
      </c>
      <c r="BW15" s="102" t="str">
        <f t="shared" si="67"/>
        <v/>
      </c>
      <c r="BX15" s="102" t="str">
        <f>IF(SCIENCE!E15="","",SCIENCE!E15)</f>
        <v/>
      </c>
      <c r="BY15" s="103" t="str">
        <f t="shared" si="28"/>
        <v/>
      </c>
      <c r="BZ15" s="102" t="str">
        <f>IF(SCIENCE!F15="","",SCIENCE!F15)</f>
        <v/>
      </c>
      <c r="CA15" s="103" t="str">
        <f t="shared" si="29"/>
        <v/>
      </c>
      <c r="CB15" s="102" t="str">
        <f>IF(SCIENCE!G15="","",SCIENCE!G15)</f>
        <v/>
      </c>
      <c r="CC15" s="102" t="str">
        <f t="shared" si="30"/>
        <v/>
      </c>
      <c r="CD15" s="103" t="str">
        <f>IFERROR(LARGE((BY15,CA15,CC15),1),"")</f>
        <v/>
      </c>
      <c r="CE15" s="103" t="str">
        <f>IFERROR(LARGE((BY15,CA15,CC15),2),"")</f>
        <v/>
      </c>
      <c r="CF15" s="102" t="str">
        <f t="shared" si="31"/>
        <v/>
      </c>
      <c r="CG15" s="103" t="str">
        <f>IF(SCIENCE!H15="","",SCIENCE!H15)</f>
        <v/>
      </c>
      <c r="CH15" s="103" t="str">
        <f>IF(SCIENCE!I15="","",SCIENCE!I15)</f>
        <v/>
      </c>
      <c r="CI15" s="103" t="str">
        <f>IF(SCIENCE!J15="","",SCIENCE!J15)</f>
        <v/>
      </c>
      <c r="CJ15" s="103" t="str">
        <f t="shared" si="68"/>
        <v/>
      </c>
      <c r="CK15" s="103" t="str">
        <f>IF(SCIENCE!K15="","",SCIENCE!K15)</f>
        <v/>
      </c>
      <c r="CL15" s="103" t="str">
        <f t="shared" si="32"/>
        <v/>
      </c>
      <c r="CM15" s="102" t="str">
        <f t="shared" si="69"/>
        <v/>
      </c>
      <c r="CN15" s="102" t="str">
        <f t="shared" si="33"/>
        <v/>
      </c>
      <c r="CO15" s="102" t="str">
        <f>IF(SCIENCE!O15="","",SCIENCE!O15)</f>
        <v/>
      </c>
      <c r="CP15" s="102" t="str">
        <f t="shared" si="70"/>
        <v/>
      </c>
      <c r="CQ15" s="102" t="str">
        <f t="shared" si="71"/>
        <v/>
      </c>
      <c r="CR15" s="102" t="str">
        <f t="shared" si="72"/>
        <v/>
      </c>
      <c r="CS15" s="99" t="str">
        <f>IF(SST!E15="","",SST!E15)</f>
        <v/>
      </c>
      <c r="CT15" s="100" t="str">
        <f t="shared" si="34"/>
        <v/>
      </c>
      <c r="CU15" s="99" t="str">
        <f>IF(SST!F15="","",SST!F15)</f>
        <v/>
      </c>
      <c r="CV15" s="100" t="str">
        <f t="shared" si="35"/>
        <v/>
      </c>
      <c r="CW15" s="99" t="str">
        <f>IF(SST!G15="","",SST!G15)</f>
        <v/>
      </c>
      <c r="CX15" s="99" t="str">
        <f t="shared" si="36"/>
        <v/>
      </c>
      <c r="CY15" s="100" t="str">
        <f>IFERROR(LARGE((CT15,CV15,CX15),1),"")</f>
        <v/>
      </c>
      <c r="CZ15" s="100" t="str">
        <f>IFERROR(LARGE((CT15,CV15,CX15),2),"")</f>
        <v/>
      </c>
      <c r="DA15" s="99" t="str">
        <f t="shared" si="37"/>
        <v/>
      </c>
      <c r="DB15" s="100" t="str">
        <f>IF(SST!H15="","",SST!H15)</f>
        <v/>
      </c>
      <c r="DC15" s="100" t="str">
        <f>IF(SST!I15="","",SST!I15)</f>
        <v/>
      </c>
      <c r="DD15" s="100" t="str">
        <f>IF(SST!J15="","",SST!J15)</f>
        <v/>
      </c>
      <c r="DE15" s="100" t="str">
        <f t="shared" si="73"/>
        <v/>
      </c>
      <c r="DF15" s="100" t="str">
        <f>IF(SST!K15="","",SST!K15)</f>
        <v/>
      </c>
      <c r="DG15" s="100" t="str">
        <f t="shared" si="74"/>
        <v/>
      </c>
      <c r="DH15" s="99" t="str">
        <f t="shared" si="75"/>
        <v/>
      </c>
      <c r="DI15" s="99" t="str">
        <f t="shared" si="38"/>
        <v/>
      </c>
      <c r="DJ15" s="99" t="str">
        <f>IF(SST!O15="","",SST!O15)</f>
        <v/>
      </c>
      <c r="DK15" s="99" t="str">
        <f t="shared" si="76"/>
        <v/>
      </c>
      <c r="DL15" s="99" t="str">
        <f t="shared" si="77"/>
        <v/>
      </c>
      <c r="DM15" s="99" t="str">
        <f t="shared" si="78"/>
        <v/>
      </c>
      <c r="DN15" s="99"/>
      <c r="DO15" s="102" t="str">
        <f>IF(C15="","",IF(VLOOKUP(C15,VOCATIONAL!$D$7:$E$51,2,0)="","",VLOOKUP(C15,VOCATIONAL!$D$7:$E$51,2,0)))</f>
        <v/>
      </c>
      <c r="DP15" s="102" t="str">
        <f>IF(VOCATIONAL!F15="","",VOCATIONAL!F15)</f>
        <v/>
      </c>
      <c r="DQ15" s="102" t="str">
        <f>IF(VOCATIONAL!G15="","",VOCATIONAL!G15)</f>
        <v/>
      </c>
      <c r="DR15" s="102" t="str">
        <f t="shared" si="79"/>
        <v/>
      </c>
      <c r="DS15" s="102" t="str">
        <f t="shared" si="80"/>
        <v/>
      </c>
      <c r="DT15" s="102" t="str">
        <f>IF(VOCATIONAL!K15="","",VOCATIONAL!K15)</f>
        <v/>
      </c>
      <c r="DU15" s="102" t="str">
        <f t="shared" si="81"/>
        <v/>
      </c>
      <c r="DV15" s="102" t="str">
        <f t="shared" si="82"/>
        <v/>
      </c>
      <c r="DW15" s="99"/>
      <c r="DX15" s="104" t="str">
        <f t="shared" si="83"/>
        <v/>
      </c>
      <c r="DY15" s="104" t="str">
        <f t="shared" si="84"/>
        <v/>
      </c>
      <c r="DZ15" s="104" t="str">
        <f t="shared" si="85"/>
        <v/>
      </c>
      <c r="EA15" s="104" t="str">
        <f t="shared" si="86"/>
        <v/>
      </c>
      <c r="EB15" s="104" t="str">
        <f t="shared" si="87"/>
        <v/>
      </c>
      <c r="EC15" s="104" t="str">
        <f t="shared" si="88"/>
        <v/>
      </c>
      <c r="ED15" s="104" t="str">
        <f t="shared" si="89"/>
        <v/>
      </c>
      <c r="EE15" s="104" t="str">
        <f t="shared" si="90"/>
        <v/>
      </c>
      <c r="EF15" s="104" t="str">
        <f t="shared" si="91"/>
        <v/>
      </c>
      <c r="EG15" s="104" t="str">
        <f t="shared" si="92"/>
        <v/>
      </c>
      <c r="EH15" s="104" t="str">
        <f t="shared" si="93"/>
        <v/>
      </c>
      <c r="EI15" s="104" t="str">
        <f t="shared" si="94"/>
        <v/>
      </c>
      <c r="EJ15" s="105" t="str">
        <f t="shared" si="95"/>
        <v/>
      </c>
      <c r="EK15" s="105" t="str">
        <f t="shared" si="96"/>
        <v/>
      </c>
      <c r="EL15" s="105" t="str">
        <f t="shared" si="97"/>
        <v/>
      </c>
      <c r="EM15" s="105" t="str">
        <f t="shared" si="98"/>
        <v/>
      </c>
      <c r="EN15" s="105" t="str">
        <f t="shared" si="99"/>
        <v/>
      </c>
      <c r="EO15" s="363" t="str">
        <f t="shared" si="100"/>
        <v/>
      </c>
      <c r="EP15" s="106" t="str">
        <f t="shared" si="101"/>
        <v/>
      </c>
      <c r="EQ15" s="106" t="str">
        <f t="shared" si="102"/>
        <v/>
      </c>
      <c r="ER15" s="106" t="str">
        <f t="shared" si="103"/>
        <v/>
      </c>
      <c r="ES15" s="106" t="str">
        <f t="shared" si="104"/>
        <v/>
      </c>
      <c r="ET15" s="106" t="str">
        <f t="shared" si="105"/>
        <v/>
      </c>
      <c r="EU15" s="106" t="str">
        <f t="shared" si="106"/>
        <v/>
      </c>
      <c r="EV15" s="92" t="str">
        <f t="shared" si="107"/>
        <v/>
      </c>
      <c r="EW15" s="92" t="str">
        <f t="shared" si="108"/>
        <v/>
      </c>
      <c r="EX15" s="92" t="str">
        <f t="shared" si="109"/>
        <v/>
      </c>
      <c r="EY15" s="92" t="str">
        <f t="shared" si="110"/>
        <v/>
      </c>
      <c r="EZ15" s="92" t="str">
        <f t="shared" si="111"/>
        <v/>
      </c>
      <c r="FA15" s="92" t="str">
        <f t="shared" si="112"/>
        <v/>
      </c>
      <c r="FB15" s="93" t="str">
        <f t="shared" si="113"/>
        <v/>
      </c>
      <c r="FC15" s="93" t="str">
        <f t="shared" si="114"/>
        <v/>
      </c>
      <c r="FD15" s="93" t="str">
        <f t="shared" si="115"/>
        <v/>
      </c>
      <c r="FE15" s="93" t="str">
        <f t="shared" si="116"/>
        <v/>
      </c>
      <c r="FF15" s="93" t="str">
        <f t="shared" si="117"/>
        <v/>
      </c>
      <c r="FG15" s="93" t="str">
        <f t="shared" si="118"/>
        <v/>
      </c>
      <c r="FH15" s="107" t="str">
        <f t="shared" si="119"/>
        <v/>
      </c>
      <c r="FI15" s="107" t="str">
        <f t="shared" si="120"/>
        <v/>
      </c>
      <c r="FJ15" s="256" t="str">
        <f t="shared" si="121"/>
        <v/>
      </c>
      <c r="FK15" s="256" t="str">
        <f t="shared" si="122"/>
        <v/>
      </c>
      <c r="FL15" s="256" t="str">
        <f t="shared" si="123"/>
        <v/>
      </c>
      <c r="FM15" s="256" t="str">
        <f t="shared" si="124"/>
        <v/>
      </c>
      <c r="FN15" s="256" t="str">
        <f>IF(OR(C15="TC",C15=""),"",IF(OR(FJ15="PASS",FJ15="FAIL"),IF(EC15="",SUM(FB15:FF15),SUM(LARGE(FB15:FG15,{1,2,3,4,5}))),""))</f>
        <v/>
      </c>
      <c r="FO15" s="256" t="str">
        <f>IF(AND(FN15="",FK15="PASSED AFTER COMPARTMENT"),IF(EC15="",SUM(FB15:FF15),SUM(LARGE(FB15:FG15,{1,2,3,4,5}))),FN15)</f>
        <v/>
      </c>
      <c r="FP15" s="256" t="str">
        <f t="shared" si="125"/>
        <v/>
      </c>
      <c r="FQ15" s="256" t="str">
        <f t="shared" si="126"/>
        <v/>
      </c>
      <c r="FR15" s="256" t="str">
        <f t="shared" si="127"/>
        <v/>
      </c>
      <c r="FS15" s="256" t="str">
        <f t="shared" si="128"/>
        <v/>
      </c>
      <c r="FT15" s="108" t="str">
        <f t="shared" si="129"/>
        <v/>
      </c>
      <c r="FU15" s="256" t="str">
        <f t="shared" si="130"/>
        <v/>
      </c>
      <c r="FV15" s="109" t="str">
        <f>IF(ATTENDANCE!Q16="","",ATTENDANCE!Q16)</f>
        <v/>
      </c>
      <c r="FW15" s="110" t="str">
        <f t="shared" si="131"/>
        <v/>
      </c>
      <c r="FX15" s="110" t="str">
        <f t="shared" si="132"/>
        <v/>
      </c>
      <c r="FY15" s="365" t="str">
        <f t="shared" si="133"/>
        <v/>
      </c>
      <c r="FZ15" s="108" t="str">
        <f t="shared" si="134"/>
        <v/>
      </c>
      <c r="GA15" s="256" t="str">
        <f>IF(ATTENDANCE!Q16="","",ATTENDANCE!Q16)</f>
        <v/>
      </c>
      <c r="GB15" s="108" t="str">
        <f>IF(ATTENDANCE!Q16="","",ATTENDANCE!$Q16)</f>
        <v/>
      </c>
      <c r="GC15" s="108" t="s">
        <v>232</v>
      </c>
      <c r="GD15" s="60"/>
    </row>
    <row r="16" spans="1:186" ht="15" customHeight="1" x14ac:dyDescent="0.25">
      <c r="A16" s="60"/>
      <c r="B16" s="96">
        <f>IF(DATA!B14="","",DATA!B14)</f>
        <v>10</v>
      </c>
      <c r="C16" s="96" t="str">
        <f>IF(DATA!C14="","",DATA!C14)</f>
        <v/>
      </c>
      <c r="D16" s="96" t="str">
        <f>IF(DATA!D14="","",DATA!D14)</f>
        <v/>
      </c>
      <c r="E16" s="303" t="str">
        <f>IF(DATA!E14="","",DATA!E14)</f>
        <v/>
      </c>
      <c r="F16" s="303" t="str">
        <f>IF(DATA!F14="","",DATA!F14)</f>
        <v/>
      </c>
      <c r="G16" s="303" t="str">
        <f>IF(DATA!G14="","",DATA!G14)</f>
        <v/>
      </c>
      <c r="H16" s="98" t="str">
        <f>IF(DATA!H14="","",DATA!H14)</f>
        <v/>
      </c>
      <c r="I16" s="97" t="str">
        <f>IF(DATA!I14="","",DATA!I14)</f>
        <v/>
      </c>
      <c r="J16" s="97" t="str">
        <f>IF(DATA!J14="","",DATA!J14)</f>
        <v/>
      </c>
      <c r="K16" s="97" t="str">
        <f>IF(DATA!K14="","",DATA!K14)</f>
        <v/>
      </c>
      <c r="L16" s="99" t="str">
        <f>IF(ENGLISH!E16="","",ENGLISH!E16)</f>
        <v/>
      </c>
      <c r="M16" s="100" t="str">
        <f t="shared" si="46"/>
        <v/>
      </c>
      <c r="N16" s="99" t="str">
        <f>IF(ENGLISH!F16="","",ENGLISH!F16)</f>
        <v/>
      </c>
      <c r="O16" s="100" t="str">
        <f t="shared" si="47"/>
        <v/>
      </c>
      <c r="P16" s="99" t="str">
        <f>IF(ENGLISH!G16="","",ENGLISH!G16)</f>
        <v/>
      </c>
      <c r="Q16" s="99" t="str">
        <f t="shared" si="48"/>
        <v/>
      </c>
      <c r="R16" s="100" t="str">
        <f>IFERROR(LARGE((M16,O16,Q16),1),"")</f>
        <v/>
      </c>
      <c r="S16" s="100" t="str">
        <f>IFERROR(LARGE((M16,O16,Q16),2),"")</f>
        <v/>
      </c>
      <c r="T16" s="99" t="str">
        <f t="shared" si="49"/>
        <v/>
      </c>
      <c r="U16" s="100" t="str">
        <f>IF(ENGLISH!H16="","",ENGLISH!H16)</f>
        <v/>
      </c>
      <c r="V16" s="99" t="str">
        <f>IF(ENGLISH!I16="","",ENGLISH!I16)</f>
        <v/>
      </c>
      <c r="W16" s="99" t="str">
        <f>IF(ENGLISH!J16="","",ENGLISH!J16)</f>
        <v/>
      </c>
      <c r="X16" s="99" t="str">
        <f t="shared" si="50"/>
        <v/>
      </c>
      <c r="Y16" s="100" t="str">
        <f>IF(ENGLISH!K16="","",ENGLISH!K16)</f>
        <v/>
      </c>
      <c r="Z16" s="100" t="str">
        <f t="shared" si="51"/>
        <v/>
      </c>
      <c r="AA16" s="101" t="str">
        <f t="shared" si="52"/>
        <v/>
      </c>
      <c r="AB16" s="99" t="str">
        <f t="shared" si="15"/>
        <v/>
      </c>
      <c r="AC16" s="99" t="str">
        <f>IF(ENGLISH!O16="","",ENGLISH!O16)</f>
        <v/>
      </c>
      <c r="AD16" s="99" t="str">
        <f t="shared" si="53"/>
        <v/>
      </c>
      <c r="AE16" s="99" t="str">
        <f t="shared" si="54"/>
        <v/>
      </c>
      <c r="AF16" s="99" t="str">
        <f t="shared" si="55"/>
        <v/>
      </c>
      <c r="AG16" s="102" t="str">
        <f>IF(C16="","",VLOOKUP(C16,'HINDI-SKT'!$D$7:$E$51,2,0))</f>
        <v/>
      </c>
      <c r="AH16" s="102" t="str">
        <f>IF('HINDI-SKT'!F16="","",'HINDI-SKT'!F16)</f>
        <v/>
      </c>
      <c r="AI16" s="103" t="str">
        <f t="shared" si="16"/>
        <v/>
      </c>
      <c r="AJ16" s="102" t="str">
        <f>IF('HINDI-SKT'!G16="","",'HINDI-SKT'!G16)</f>
        <v/>
      </c>
      <c r="AK16" s="103" t="str">
        <f t="shared" si="17"/>
        <v/>
      </c>
      <c r="AL16" s="102" t="str">
        <f>IF('HINDI-SKT'!H16="","",'HINDI-SKT'!H16)</f>
        <v/>
      </c>
      <c r="AM16" s="102" t="str">
        <f t="shared" si="18"/>
        <v/>
      </c>
      <c r="AN16" s="103" t="str">
        <f>IFERROR(LARGE((AI16,AK16,AM16),1),"")</f>
        <v/>
      </c>
      <c r="AO16" s="103" t="str">
        <f>IFERROR(LARGE((AI16,AK16,AM16),2),"")</f>
        <v/>
      </c>
      <c r="AP16" s="102" t="str">
        <f t="shared" si="19"/>
        <v/>
      </c>
      <c r="AQ16" s="103" t="str">
        <f>IF('HINDI-SKT'!I16="","",'HINDI-SKT'!I16)</f>
        <v/>
      </c>
      <c r="AR16" s="102" t="str">
        <f>IF('HINDI-SKT'!J16="","",'HINDI-SKT'!J16)</f>
        <v/>
      </c>
      <c r="AS16" s="102" t="str">
        <f>IF('HINDI-SKT'!K16="","",'HINDI-SKT'!K16)</f>
        <v/>
      </c>
      <c r="AT16" s="102" t="str">
        <f t="shared" si="56"/>
        <v/>
      </c>
      <c r="AU16" s="102" t="str">
        <f>IF('HINDI-SKT'!L16="","",'HINDI-SKT'!L16)</f>
        <v/>
      </c>
      <c r="AV16" s="103" t="str">
        <f t="shared" si="57"/>
        <v/>
      </c>
      <c r="AW16" s="102" t="str">
        <f t="shared" si="58"/>
        <v/>
      </c>
      <c r="AX16" s="102" t="str">
        <f t="shared" si="59"/>
        <v/>
      </c>
      <c r="AY16" s="102" t="str">
        <f>IF('HINDI-SKT'!P16="","",'HINDI-SKT'!P16)</f>
        <v/>
      </c>
      <c r="AZ16" s="102" t="str">
        <f t="shared" si="60"/>
        <v/>
      </c>
      <c r="BA16" s="102" t="str">
        <f t="shared" si="61"/>
        <v/>
      </c>
      <c r="BB16" s="102" t="str">
        <f t="shared" si="62"/>
        <v/>
      </c>
      <c r="BC16" s="99" t="str">
        <f>IF(MATHS!E16="","",MATHS!E16)</f>
        <v/>
      </c>
      <c r="BD16" s="100" t="str">
        <f t="shared" si="22"/>
        <v/>
      </c>
      <c r="BE16" s="99" t="str">
        <f>IF(MATHS!F16="","",MATHS!F16)</f>
        <v/>
      </c>
      <c r="BF16" s="100" t="str">
        <f t="shared" si="23"/>
        <v/>
      </c>
      <c r="BG16" s="99" t="str">
        <f>IF(MATHS!G16="","",MATHS!G16)</f>
        <v/>
      </c>
      <c r="BH16" s="99" t="str">
        <f t="shared" si="24"/>
        <v/>
      </c>
      <c r="BI16" s="100" t="str">
        <f>IFERROR(LARGE((BD16,BF16,BH16),1),"")</f>
        <v/>
      </c>
      <c r="BJ16" s="100" t="str">
        <f>IFERROR(LARGE((BD16,BF16,BH16),2),"")</f>
        <v/>
      </c>
      <c r="BK16" s="99" t="str">
        <f t="shared" si="25"/>
        <v/>
      </c>
      <c r="BL16" s="100" t="str">
        <f>IF(MATHS!H16="","",MATHS!H16)</f>
        <v/>
      </c>
      <c r="BM16" s="99" t="str">
        <f>IF(MATHS!I16="","",MATHS!I16)</f>
        <v/>
      </c>
      <c r="BN16" s="99" t="str">
        <f>IF(MATHS!J16="","",MATHS!J16)</f>
        <v/>
      </c>
      <c r="BO16" s="99" t="str">
        <f t="shared" si="63"/>
        <v/>
      </c>
      <c r="BP16" s="99" t="str">
        <f>IF(MATHS!K16="","",MATHS!K16)</f>
        <v/>
      </c>
      <c r="BQ16" s="100" t="str">
        <f t="shared" si="26"/>
        <v/>
      </c>
      <c r="BR16" s="99" t="str">
        <f t="shared" si="64"/>
        <v/>
      </c>
      <c r="BS16" s="99" t="str">
        <f t="shared" si="27"/>
        <v/>
      </c>
      <c r="BT16" s="99" t="str">
        <f>IF(MATHS!O16="","",MATHS!O16)</f>
        <v/>
      </c>
      <c r="BU16" s="99" t="str">
        <f t="shared" si="65"/>
        <v/>
      </c>
      <c r="BV16" s="99" t="str">
        <f t="shared" si="66"/>
        <v/>
      </c>
      <c r="BW16" s="102" t="str">
        <f t="shared" si="67"/>
        <v/>
      </c>
      <c r="BX16" s="102" t="str">
        <f>IF(SCIENCE!E16="","",SCIENCE!E16)</f>
        <v/>
      </c>
      <c r="BY16" s="103" t="str">
        <f t="shared" si="28"/>
        <v/>
      </c>
      <c r="BZ16" s="102" t="str">
        <f>IF(SCIENCE!F16="","",SCIENCE!F16)</f>
        <v/>
      </c>
      <c r="CA16" s="103" t="str">
        <f t="shared" si="29"/>
        <v/>
      </c>
      <c r="CB16" s="102" t="str">
        <f>IF(SCIENCE!G16="","",SCIENCE!G16)</f>
        <v/>
      </c>
      <c r="CC16" s="102" t="str">
        <f t="shared" si="30"/>
        <v/>
      </c>
      <c r="CD16" s="103" t="str">
        <f>IFERROR(LARGE((BY16,CA16,CC16),1),"")</f>
        <v/>
      </c>
      <c r="CE16" s="103" t="str">
        <f>IFERROR(LARGE((BY16,CA16,CC16),2),"")</f>
        <v/>
      </c>
      <c r="CF16" s="102" t="str">
        <f t="shared" si="31"/>
        <v/>
      </c>
      <c r="CG16" s="103" t="str">
        <f>IF(SCIENCE!H16="","",SCIENCE!H16)</f>
        <v/>
      </c>
      <c r="CH16" s="103" t="str">
        <f>IF(SCIENCE!I16="","",SCIENCE!I16)</f>
        <v/>
      </c>
      <c r="CI16" s="103" t="str">
        <f>IF(SCIENCE!J16="","",SCIENCE!J16)</f>
        <v/>
      </c>
      <c r="CJ16" s="103" t="str">
        <f t="shared" si="68"/>
        <v/>
      </c>
      <c r="CK16" s="103" t="str">
        <f>IF(SCIENCE!K16="","",SCIENCE!K16)</f>
        <v/>
      </c>
      <c r="CL16" s="103" t="str">
        <f t="shared" si="32"/>
        <v/>
      </c>
      <c r="CM16" s="102" t="str">
        <f t="shared" si="69"/>
        <v/>
      </c>
      <c r="CN16" s="102" t="str">
        <f t="shared" si="33"/>
        <v/>
      </c>
      <c r="CO16" s="102" t="str">
        <f>IF(SCIENCE!O16="","",SCIENCE!O16)</f>
        <v/>
      </c>
      <c r="CP16" s="102" t="str">
        <f t="shared" si="70"/>
        <v/>
      </c>
      <c r="CQ16" s="102" t="str">
        <f t="shared" si="71"/>
        <v/>
      </c>
      <c r="CR16" s="102" t="str">
        <f t="shared" si="72"/>
        <v/>
      </c>
      <c r="CS16" s="99" t="str">
        <f>IF(SST!E16="","",SST!E16)</f>
        <v/>
      </c>
      <c r="CT16" s="100" t="str">
        <f t="shared" si="34"/>
        <v/>
      </c>
      <c r="CU16" s="99" t="str">
        <f>IF(SST!F16="","",SST!F16)</f>
        <v/>
      </c>
      <c r="CV16" s="100" t="str">
        <f t="shared" si="35"/>
        <v/>
      </c>
      <c r="CW16" s="99" t="str">
        <f>IF(SST!G16="","",SST!G16)</f>
        <v/>
      </c>
      <c r="CX16" s="99" t="str">
        <f t="shared" si="36"/>
        <v/>
      </c>
      <c r="CY16" s="100" t="str">
        <f>IFERROR(LARGE((CT16,CV16,CX16),1),"")</f>
        <v/>
      </c>
      <c r="CZ16" s="100" t="str">
        <f>IFERROR(LARGE((CT16,CV16,CX16),2),"")</f>
        <v/>
      </c>
      <c r="DA16" s="99" t="str">
        <f t="shared" si="37"/>
        <v/>
      </c>
      <c r="DB16" s="100" t="str">
        <f>IF(SST!H16="","",SST!H16)</f>
        <v/>
      </c>
      <c r="DC16" s="100" t="str">
        <f>IF(SST!I16="","",SST!I16)</f>
        <v/>
      </c>
      <c r="DD16" s="100" t="str">
        <f>IF(SST!J16="","",SST!J16)</f>
        <v/>
      </c>
      <c r="DE16" s="100" t="str">
        <f t="shared" si="73"/>
        <v/>
      </c>
      <c r="DF16" s="100" t="str">
        <f>IF(SST!K16="","",SST!K16)</f>
        <v/>
      </c>
      <c r="DG16" s="100" t="str">
        <f t="shared" si="74"/>
        <v/>
      </c>
      <c r="DH16" s="99" t="str">
        <f t="shared" si="75"/>
        <v/>
      </c>
      <c r="DI16" s="99" t="str">
        <f t="shared" si="38"/>
        <v/>
      </c>
      <c r="DJ16" s="99" t="str">
        <f>IF(SST!O16="","",SST!O16)</f>
        <v/>
      </c>
      <c r="DK16" s="99" t="str">
        <f t="shared" si="76"/>
        <v/>
      </c>
      <c r="DL16" s="99" t="str">
        <f t="shared" si="77"/>
        <v/>
      </c>
      <c r="DM16" s="99" t="str">
        <f t="shared" si="78"/>
        <v/>
      </c>
      <c r="DN16" s="99"/>
      <c r="DO16" s="102" t="str">
        <f>IF(C16="","",IF(VLOOKUP(C16,VOCATIONAL!$D$7:$E$51,2,0)="","",VLOOKUP(C16,VOCATIONAL!$D$7:$E$51,2,0)))</f>
        <v/>
      </c>
      <c r="DP16" s="102" t="str">
        <f>IF(VOCATIONAL!F16="","",VOCATIONAL!F16)</f>
        <v/>
      </c>
      <c r="DQ16" s="102" t="str">
        <f>IF(VOCATIONAL!G16="","",VOCATIONAL!G16)</f>
        <v/>
      </c>
      <c r="DR16" s="102" t="str">
        <f t="shared" si="79"/>
        <v/>
      </c>
      <c r="DS16" s="102" t="str">
        <f t="shared" si="80"/>
        <v/>
      </c>
      <c r="DT16" s="102" t="str">
        <f>IF(VOCATIONAL!K16="","",VOCATIONAL!K16)</f>
        <v/>
      </c>
      <c r="DU16" s="102" t="str">
        <f t="shared" si="81"/>
        <v/>
      </c>
      <c r="DV16" s="102" t="str">
        <f t="shared" si="82"/>
        <v/>
      </c>
      <c r="DW16" s="99"/>
      <c r="DX16" s="104" t="str">
        <f t="shared" si="83"/>
        <v/>
      </c>
      <c r="DY16" s="104" t="str">
        <f t="shared" si="84"/>
        <v/>
      </c>
      <c r="DZ16" s="104" t="str">
        <f t="shared" si="85"/>
        <v/>
      </c>
      <c r="EA16" s="104" t="str">
        <f t="shared" si="86"/>
        <v/>
      </c>
      <c r="EB16" s="104" t="str">
        <f t="shared" si="87"/>
        <v/>
      </c>
      <c r="EC16" s="104" t="str">
        <f t="shared" si="88"/>
        <v/>
      </c>
      <c r="ED16" s="104" t="str">
        <f t="shared" si="89"/>
        <v/>
      </c>
      <c r="EE16" s="104" t="str">
        <f t="shared" si="90"/>
        <v/>
      </c>
      <c r="EF16" s="104" t="str">
        <f t="shared" si="91"/>
        <v/>
      </c>
      <c r="EG16" s="104" t="str">
        <f t="shared" si="92"/>
        <v/>
      </c>
      <c r="EH16" s="104" t="str">
        <f t="shared" si="93"/>
        <v/>
      </c>
      <c r="EI16" s="104" t="str">
        <f t="shared" si="94"/>
        <v/>
      </c>
      <c r="EJ16" s="105" t="str">
        <f t="shared" si="95"/>
        <v/>
      </c>
      <c r="EK16" s="105" t="str">
        <f t="shared" si="96"/>
        <v/>
      </c>
      <c r="EL16" s="105" t="str">
        <f t="shared" si="97"/>
        <v/>
      </c>
      <c r="EM16" s="105" t="str">
        <f t="shared" si="98"/>
        <v/>
      </c>
      <c r="EN16" s="105" t="str">
        <f t="shared" si="99"/>
        <v/>
      </c>
      <c r="EO16" s="363" t="str">
        <f t="shared" si="100"/>
        <v/>
      </c>
      <c r="EP16" s="106" t="str">
        <f t="shared" si="101"/>
        <v/>
      </c>
      <c r="EQ16" s="106" t="str">
        <f t="shared" si="102"/>
        <v/>
      </c>
      <c r="ER16" s="106" t="str">
        <f t="shared" si="103"/>
        <v/>
      </c>
      <c r="ES16" s="106" t="str">
        <f t="shared" si="104"/>
        <v/>
      </c>
      <c r="ET16" s="106" t="str">
        <f t="shared" si="105"/>
        <v/>
      </c>
      <c r="EU16" s="106" t="str">
        <f t="shared" si="106"/>
        <v/>
      </c>
      <c r="EV16" s="92" t="str">
        <f t="shared" si="107"/>
        <v/>
      </c>
      <c r="EW16" s="92" t="str">
        <f t="shared" si="108"/>
        <v/>
      </c>
      <c r="EX16" s="92" t="str">
        <f t="shared" si="109"/>
        <v/>
      </c>
      <c r="EY16" s="92" t="str">
        <f t="shared" si="110"/>
        <v/>
      </c>
      <c r="EZ16" s="92" t="str">
        <f t="shared" si="111"/>
        <v/>
      </c>
      <c r="FA16" s="92" t="str">
        <f t="shared" si="112"/>
        <v/>
      </c>
      <c r="FB16" s="93" t="str">
        <f t="shared" si="113"/>
        <v/>
      </c>
      <c r="FC16" s="93" t="str">
        <f t="shared" si="114"/>
        <v/>
      </c>
      <c r="FD16" s="93" t="str">
        <f t="shared" si="115"/>
        <v/>
      </c>
      <c r="FE16" s="93" t="str">
        <f t="shared" si="116"/>
        <v/>
      </c>
      <c r="FF16" s="93" t="str">
        <f t="shared" si="117"/>
        <v/>
      </c>
      <c r="FG16" s="93" t="str">
        <f t="shared" si="118"/>
        <v/>
      </c>
      <c r="FH16" s="107" t="str">
        <f t="shared" si="119"/>
        <v/>
      </c>
      <c r="FI16" s="107" t="str">
        <f t="shared" si="120"/>
        <v/>
      </c>
      <c r="FJ16" s="256" t="str">
        <f t="shared" si="121"/>
        <v/>
      </c>
      <c r="FK16" s="256" t="str">
        <f t="shared" si="122"/>
        <v/>
      </c>
      <c r="FL16" s="256" t="str">
        <f t="shared" si="123"/>
        <v/>
      </c>
      <c r="FM16" s="256" t="str">
        <f t="shared" si="124"/>
        <v/>
      </c>
      <c r="FN16" s="256" t="str">
        <f>IF(OR(C16="TC",C16=""),"",IF(OR(FJ16="PASS",FJ16="FAIL"),IF(EC16="",SUM(FB16:FF16),SUM(LARGE(FB16:FG16,{1,2,3,4,5}))),""))</f>
        <v/>
      </c>
      <c r="FO16" s="256" t="str">
        <f>IF(AND(FN16="",FK16="PASSED AFTER COMPARTMENT"),IF(EC16="",SUM(FB16:FF16),SUM(LARGE(FB16:FG16,{1,2,3,4,5}))),FN16)</f>
        <v/>
      </c>
      <c r="FP16" s="256" t="str">
        <f t="shared" si="125"/>
        <v/>
      </c>
      <c r="FQ16" s="256" t="str">
        <f t="shared" si="126"/>
        <v/>
      </c>
      <c r="FR16" s="256" t="str">
        <f t="shared" si="127"/>
        <v/>
      </c>
      <c r="FS16" s="256" t="str">
        <f t="shared" si="128"/>
        <v/>
      </c>
      <c r="FT16" s="108" t="str">
        <f t="shared" si="129"/>
        <v/>
      </c>
      <c r="FU16" s="256" t="str">
        <f t="shared" si="130"/>
        <v/>
      </c>
      <c r="FV16" s="109" t="str">
        <f>IF(ATTENDANCE!Q17="","",ATTENDANCE!Q17)</f>
        <v/>
      </c>
      <c r="FW16" s="110" t="str">
        <f t="shared" si="131"/>
        <v/>
      </c>
      <c r="FX16" s="110" t="str">
        <f t="shared" si="132"/>
        <v/>
      </c>
      <c r="FY16" s="365" t="str">
        <f t="shared" si="133"/>
        <v/>
      </c>
      <c r="FZ16" s="108" t="str">
        <f t="shared" si="134"/>
        <v/>
      </c>
      <c r="GA16" s="256" t="str">
        <f>IF(ATTENDANCE!Q17="","",ATTENDANCE!Q17)</f>
        <v/>
      </c>
      <c r="GB16" s="108" t="str">
        <f>IF(ATTENDANCE!Q17="","",ATTENDANCE!$Q17)</f>
        <v/>
      </c>
      <c r="GC16" s="108" t="s">
        <v>229</v>
      </c>
      <c r="GD16" s="60"/>
    </row>
    <row r="17" spans="1:186" ht="15" customHeight="1" x14ac:dyDescent="0.25">
      <c r="A17" s="60"/>
      <c r="B17" s="96">
        <f>IF(DATA!B15="","",DATA!B15)</f>
        <v>11</v>
      </c>
      <c r="C17" s="96" t="str">
        <f>IF(DATA!C15="","",DATA!C15)</f>
        <v/>
      </c>
      <c r="D17" s="96" t="str">
        <f>IF(DATA!D15="","",DATA!D15)</f>
        <v/>
      </c>
      <c r="E17" s="303" t="str">
        <f>IF(DATA!E15="","",DATA!E15)</f>
        <v/>
      </c>
      <c r="F17" s="303" t="str">
        <f>IF(DATA!F15="","",DATA!F15)</f>
        <v/>
      </c>
      <c r="G17" s="303" t="str">
        <f>IF(DATA!G15="","",DATA!G15)</f>
        <v/>
      </c>
      <c r="H17" s="98" t="str">
        <f>IF(DATA!H15="","",DATA!H15)</f>
        <v/>
      </c>
      <c r="I17" s="97" t="str">
        <f>IF(DATA!I15="","",DATA!I15)</f>
        <v/>
      </c>
      <c r="J17" s="97" t="str">
        <f>IF(DATA!J15="","",DATA!J15)</f>
        <v/>
      </c>
      <c r="K17" s="97" t="str">
        <f>IF(DATA!K15="","",DATA!K15)</f>
        <v/>
      </c>
      <c r="L17" s="99" t="str">
        <f>IF(ENGLISH!E17="","",ENGLISH!E17)</f>
        <v/>
      </c>
      <c r="M17" s="100" t="str">
        <f t="shared" si="46"/>
        <v/>
      </c>
      <c r="N17" s="99" t="str">
        <f>IF(ENGLISH!F17="","",ENGLISH!F17)</f>
        <v/>
      </c>
      <c r="O17" s="100" t="str">
        <f t="shared" si="47"/>
        <v/>
      </c>
      <c r="P17" s="99" t="str">
        <f>IF(ENGLISH!G17="","",ENGLISH!G17)</f>
        <v/>
      </c>
      <c r="Q17" s="99" t="str">
        <f t="shared" si="48"/>
        <v/>
      </c>
      <c r="R17" s="100" t="str">
        <f>IFERROR(LARGE((M17,O17,Q17),1),"")</f>
        <v/>
      </c>
      <c r="S17" s="100" t="str">
        <f>IFERROR(LARGE((M17,O17,Q17),2),"")</f>
        <v/>
      </c>
      <c r="T17" s="99" t="str">
        <f t="shared" si="49"/>
        <v/>
      </c>
      <c r="U17" s="100" t="str">
        <f>IF(ENGLISH!H17="","",ENGLISH!H17)</f>
        <v/>
      </c>
      <c r="V17" s="99" t="str">
        <f>IF(ENGLISH!I17="","",ENGLISH!I17)</f>
        <v/>
      </c>
      <c r="W17" s="99" t="str">
        <f>IF(ENGLISH!J17="","",ENGLISH!J17)</f>
        <v/>
      </c>
      <c r="X17" s="99" t="str">
        <f t="shared" si="50"/>
        <v/>
      </c>
      <c r="Y17" s="100" t="str">
        <f>IF(ENGLISH!K17="","",ENGLISH!K17)</f>
        <v/>
      </c>
      <c r="Z17" s="100" t="str">
        <f t="shared" si="51"/>
        <v/>
      </c>
      <c r="AA17" s="101" t="str">
        <f t="shared" si="52"/>
        <v/>
      </c>
      <c r="AB17" s="99" t="str">
        <f t="shared" si="15"/>
        <v/>
      </c>
      <c r="AC17" s="99" t="str">
        <f>IF(ENGLISH!O17="","",ENGLISH!O17)</f>
        <v/>
      </c>
      <c r="AD17" s="99" t="str">
        <f t="shared" si="53"/>
        <v/>
      </c>
      <c r="AE17" s="99" t="str">
        <f t="shared" si="54"/>
        <v/>
      </c>
      <c r="AF17" s="99" t="str">
        <f t="shared" si="55"/>
        <v/>
      </c>
      <c r="AG17" s="102" t="str">
        <f>IF(C17="","",VLOOKUP(C17,'HINDI-SKT'!$D$7:$E$51,2,0))</f>
        <v/>
      </c>
      <c r="AH17" s="102" t="str">
        <f>IF('HINDI-SKT'!F17="","",'HINDI-SKT'!F17)</f>
        <v/>
      </c>
      <c r="AI17" s="103" t="str">
        <f t="shared" si="16"/>
        <v/>
      </c>
      <c r="AJ17" s="102" t="str">
        <f>IF('HINDI-SKT'!G17="","",'HINDI-SKT'!G17)</f>
        <v/>
      </c>
      <c r="AK17" s="103" t="str">
        <f t="shared" si="17"/>
        <v/>
      </c>
      <c r="AL17" s="102" t="str">
        <f>IF('HINDI-SKT'!H17="","",'HINDI-SKT'!H17)</f>
        <v/>
      </c>
      <c r="AM17" s="102" t="str">
        <f t="shared" si="18"/>
        <v/>
      </c>
      <c r="AN17" s="103" t="str">
        <f>IFERROR(LARGE((AI17,AK17,AM17),1),"")</f>
        <v/>
      </c>
      <c r="AO17" s="103" t="str">
        <f>IFERROR(LARGE((AI17,AK17,AM17),2),"")</f>
        <v/>
      </c>
      <c r="AP17" s="102" t="str">
        <f t="shared" si="19"/>
        <v/>
      </c>
      <c r="AQ17" s="103" t="str">
        <f>IF('HINDI-SKT'!I17="","",'HINDI-SKT'!I17)</f>
        <v/>
      </c>
      <c r="AR17" s="102" t="str">
        <f>IF('HINDI-SKT'!J17="","",'HINDI-SKT'!J17)</f>
        <v/>
      </c>
      <c r="AS17" s="102" t="str">
        <f>IF('HINDI-SKT'!K17="","",'HINDI-SKT'!K17)</f>
        <v/>
      </c>
      <c r="AT17" s="102" t="str">
        <f t="shared" si="56"/>
        <v/>
      </c>
      <c r="AU17" s="102" t="str">
        <f>IF('HINDI-SKT'!L17="","",'HINDI-SKT'!L17)</f>
        <v/>
      </c>
      <c r="AV17" s="103" t="str">
        <f t="shared" si="57"/>
        <v/>
      </c>
      <c r="AW17" s="102" t="str">
        <f t="shared" si="58"/>
        <v/>
      </c>
      <c r="AX17" s="102" t="str">
        <f t="shared" si="59"/>
        <v/>
      </c>
      <c r="AY17" s="102" t="str">
        <f>IF('HINDI-SKT'!P17="","",'HINDI-SKT'!P17)</f>
        <v/>
      </c>
      <c r="AZ17" s="102" t="str">
        <f t="shared" si="60"/>
        <v/>
      </c>
      <c r="BA17" s="102" t="str">
        <f t="shared" si="61"/>
        <v/>
      </c>
      <c r="BB17" s="102" t="str">
        <f t="shared" si="62"/>
        <v/>
      </c>
      <c r="BC17" s="99" t="str">
        <f>IF(MATHS!E17="","",MATHS!E17)</f>
        <v/>
      </c>
      <c r="BD17" s="100" t="str">
        <f t="shared" si="22"/>
        <v/>
      </c>
      <c r="BE17" s="99" t="str">
        <f>IF(MATHS!F17="","",MATHS!F17)</f>
        <v/>
      </c>
      <c r="BF17" s="100" t="str">
        <f t="shared" si="23"/>
        <v/>
      </c>
      <c r="BG17" s="99" t="str">
        <f>IF(MATHS!G17="","",MATHS!G17)</f>
        <v/>
      </c>
      <c r="BH17" s="99" t="str">
        <f t="shared" si="24"/>
        <v/>
      </c>
      <c r="BI17" s="100" t="str">
        <f>IFERROR(LARGE((BD17,BF17,BH17),1),"")</f>
        <v/>
      </c>
      <c r="BJ17" s="100" t="str">
        <f>IFERROR(LARGE((BD17,BF17,BH17),2),"")</f>
        <v/>
      </c>
      <c r="BK17" s="99" t="str">
        <f t="shared" si="25"/>
        <v/>
      </c>
      <c r="BL17" s="100" t="str">
        <f>IF(MATHS!H17="","",MATHS!H17)</f>
        <v/>
      </c>
      <c r="BM17" s="99" t="str">
        <f>IF(MATHS!I17="","",MATHS!I17)</f>
        <v/>
      </c>
      <c r="BN17" s="99" t="str">
        <f>IF(MATHS!J17="","",MATHS!J17)</f>
        <v/>
      </c>
      <c r="BO17" s="99" t="str">
        <f t="shared" si="63"/>
        <v/>
      </c>
      <c r="BP17" s="99" t="str">
        <f>IF(MATHS!K17="","",MATHS!K17)</f>
        <v/>
      </c>
      <c r="BQ17" s="100" t="str">
        <f t="shared" si="26"/>
        <v/>
      </c>
      <c r="BR17" s="99" t="str">
        <f t="shared" si="64"/>
        <v/>
      </c>
      <c r="BS17" s="99" t="str">
        <f t="shared" si="27"/>
        <v/>
      </c>
      <c r="BT17" s="99" t="str">
        <f>IF(MATHS!O17="","",MATHS!O17)</f>
        <v/>
      </c>
      <c r="BU17" s="99" t="str">
        <f t="shared" si="65"/>
        <v/>
      </c>
      <c r="BV17" s="99" t="str">
        <f t="shared" si="66"/>
        <v/>
      </c>
      <c r="BW17" s="102" t="str">
        <f t="shared" si="67"/>
        <v/>
      </c>
      <c r="BX17" s="102" t="str">
        <f>IF(SCIENCE!E17="","",SCIENCE!E17)</f>
        <v/>
      </c>
      <c r="BY17" s="103" t="str">
        <f t="shared" si="28"/>
        <v/>
      </c>
      <c r="BZ17" s="102" t="str">
        <f>IF(SCIENCE!F17="","",SCIENCE!F17)</f>
        <v/>
      </c>
      <c r="CA17" s="103" t="str">
        <f t="shared" si="29"/>
        <v/>
      </c>
      <c r="CB17" s="102" t="str">
        <f>IF(SCIENCE!G17="","",SCIENCE!G17)</f>
        <v/>
      </c>
      <c r="CC17" s="102" t="str">
        <f t="shared" si="30"/>
        <v/>
      </c>
      <c r="CD17" s="103" t="str">
        <f>IFERROR(LARGE((BY17,CA17,CC17),1),"")</f>
        <v/>
      </c>
      <c r="CE17" s="103" t="str">
        <f>IFERROR(LARGE((BY17,CA17,CC17),2),"")</f>
        <v/>
      </c>
      <c r="CF17" s="102" t="str">
        <f t="shared" si="31"/>
        <v/>
      </c>
      <c r="CG17" s="103" t="str">
        <f>IF(SCIENCE!H17="","",SCIENCE!H17)</f>
        <v/>
      </c>
      <c r="CH17" s="103" t="str">
        <f>IF(SCIENCE!I17="","",SCIENCE!I17)</f>
        <v/>
      </c>
      <c r="CI17" s="103" t="str">
        <f>IF(SCIENCE!J17="","",SCIENCE!J17)</f>
        <v/>
      </c>
      <c r="CJ17" s="103" t="str">
        <f t="shared" si="68"/>
        <v/>
      </c>
      <c r="CK17" s="103" t="str">
        <f>IF(SCIENCE!K17="","",SCIENCE!K17)</f>
        <v/>
      </c>
      <c r="CL17" s="103" t="str">
        <f t="shared" si="32"/>
        <v/>
      </c>
      <c r="CM17" s="102" t="str">
        <f t="shared" si="69"/>
        <v/>
      </c>
      <c r="CN17" s="102" t="str">
        <f t="shared" si="33"/>
        <v/>
      </c>
      <c r="CO17" s="102" t="str">
        <f>IF(SCIENCE!O17="","",SCIENCE!O17)</f>
        <v/>
      </c>
      <c r="CP17" s="102" t="str">
        <f t="shared" si="70"/>
        <v/>
      </c>
      <c r="CQ17" s="102" t="str">
        <f t="shared" si="71"/>
        <v/>
      </c>
      <c r="CR17" s="102" t="str">
        <f t="shared" si="72"/>
        <v/>
      </c>
      <c r="CS17" s="99" t="str">
        <f>IF(SST!E17="","",SST!E17)</f>
        <v/>
      </c>
      <c r="CT17" s="100" t="str">
        <f t="shared" si="34"/>
        <v/>
      </c>
      <c r="CU17" s="99" t="str">
        <f>IF(SST!F17="","",SST!F17)</f>
        <v/>
      </c>
      <c r="CV17" s="100" t="str">
        <f t="shared" si="35"/>
        <v/>
      </c>
      <c r="CW17" s="99" t="str">
        <f>IF(SST!G17="","",SST!G17)</f>
        <v/>
      </c>
      <c r="CX17" s="99" t="str">
        <f t="shared" si="36"/>
        <v/>
      </c>
      <c r="CY17" s="100" t="str">
        <f>IFERROR(LARGE((CT17,CV17,CX17),1),"")</f>
        <v/>
      </c>
      <c r="CZ17" s="100" t="str">
        <f>IFERROR(LARGE((CT17,CV17,CX17),2),"")</f>
        <v/>
      </c>
      <c r="DA17" s="99" t="str">
        <f t="shared" si="37"/>
        <v/>
      </c>
      <c r="DB17" s="100" t="str">
        <f>IF(SST!H17="","",SST!H17)</f>
        <v/>
      </c>
      <c r="DC17" s="100" t="str">
        <f>IF(SST!I17="","",SST!I17)</f>
        <v/>
      </c>
      <c r="DD17" s="100" t="str">
        <f>IF(SST!J17="","",SST!J17)</f>
        <v/>
      </c>
      <c r="DE17" s="100" t="str">
        <f t="shared" si="73"/>
        <v/>
      </c>
      <c r="DF17" s="100" t="str">
        <f>IF(SST!K17="","",SST!K17)</f>
        <v/>
      </c>
      <c r="DG17" s="100" t="str">
        <f t="shared" si="74"/>
        <v/>
      </c>
      <c r="DH17" s="99" t="str">
        <f t="shared" si="75"/>
        <v/>
      </c>
      <c r="DI17" s="99" t="str">
        <f t="shared" si="38"/>
        <v/>
      </c>
      <c r="DJ17" s="99" t="str">
        <f>IF(SST!O17="","",SST!O17)</f>
        <v/>
      </c>
      <c r="DK17" s="99" t="str">
        <f t="shared" si="76"/>
        <v/>
      </c>
      <c r="DL17" s="99" t="str">
        <f t="shared" si="77"/>
        <v/>
      </c>
      <c r="DM17" s="99" t="str">
        <f t="shared" si="78"/>
        <v/>
      </c>
      <c r="DN17" s="99"/>
      <c r="DO17" s="102" t="str">
        <f>IF(C17="","",IF(VLOOKUP(C17,VOCATIONAL!$D$7:$E$51,2,0)="","",VLOOKUP(C17,VOCATIONAL!$D$7:$E$51,2,0)))</f>
        <v/>
      </c>
      <c r="DP17" s="102" t="str">
        <f>IF(VOCATIONAL!F17="","",VOCATIONAL!F17)</f>
        <v/>
      </c>
      <c r="DQ17" s="102" t="str">
        <f>IF(VOCATIONAL!G17="","",VOCATIONAL!G17)</f>
        <v/>
      </c>
      <c r="DR17" s="102" t="str">
        <f t="shared" si="79"/>
        <v/>
      </c>
      <c r="DS17" s="102" t="str">
        <f t="shared" si="80"/>
        <v/>
      </c>
      <c r="DT17" s="102" t="str">
        <f>IF(VOCATIONAL!K17="","",VOCATIONAL!K17)</f>
        <v/>
      </c>
      <c r="DU17" s="102" t="str">
        <f t="shared" si="81"/>
        <v/>
      </c>
      <c r="DV17" s="102" t="str">
        <f t="shared" si="82"/>
        <v/>
      </c>
      <c r="DW17" s="99"/>
      <c r="DX17" s="104" t="str">
        <f t="shared" si="83"/>
        <v/>
      </c>
      <c r="DY17" s="104" t="str">
        <f t="shared" si="84"/>
        <v/>
      </c>
      <c r="DZ17" s="104" t="str">
        <f t="shared" si="85"/>
        <v/>
      </c>
      <c r="EA17" s="104" t="str">
        <f t="shared" si="86"/>
        <v/>
      </c>
      <c r="EB17" s="104" t="str">
        <f t="shared" si="87"/>
        <v/>
      </c>
      <c r="EC17" s="104" t="str">
        <f t="shared" si="88"/>
        <v/>
      </c>
      <c r="ED17" s="104" t="str">
        <f t="shared" si="89"/>
        <v/>
      </c>
      <c r="EE17" s="104" t="str">
        <f t="shared" si="90"/>
        <v/>
      </c>
      <c r="EF17" s="104" t="str">
        <f t="shared" si="91"/>
        <v/>
      </c>
      <c r="EG17" s="104" t="str">
        <f t="shared" si="92"/>
        <v/>
      </c>
      <c r="EH17" s="104" t="str">
        <f t="shared" si="93"/>
        <v/>
      </c>
      <c r="EI17" s="104" t="str">
        <f t="shared" si="94"/>
        <v/>
      </c>
      <c r="EJ17" s="105" t="str">
        <f t="shared" si="95"/>
        <v/>
      </c>
      <c r="EK17" s="105" t="str">
        <f t="shared" si="96"/>
        <v/>
      </c>
      <c r="EL17" s="105" t="str">
        <f t="shared" si="97"/>
        <v/>
      </c>
      <c r="EM17" s="105" t="str">
        <f t="shared" si="98"/>
        <v/>
      </c>
      <c r="EN17" s="105" t="str">
        <f t="shared" si="99"/>
        <v/>
      </c>
      <c r="EO17" s="363" t="str">
        <f t="shared" si="100"/>
        <v/>
      </c>
      <c r="EP17" s="106" t="str">
        <f t="shared" si="101"/>
        <v/>
      </c>
      <c r="EQ17" s="106" t="str">
        <f t="shared" si="102"/>
        <v/>
      </c>
      <c r="ER17" s="106" t="str">
        <f t="shared" si="103"/>
        <v/>
      </c>
      <c r="ES17" s="106" t="str">
        <f t="shared" si="104"/>
        <v/>
      </c>
      <c r="ET17" s="106" t="str">
        <f t="shared" si="105"/>
        <v/>
      </c>
      <c r="EU17" s="106" t="str">
        <f t="shared" si="106"/>
        <v/>
      </c>
      <c r="EV17" s="92" t="str">
        <f t="shared" si="107"/>
        <v/>
      </c>
      <c r="EW17" s="92" t="str">
        <f t="shared" si="108"/>
        <v/>
      </c>
      <c r="EX17" s="92" t="str">
        <f t="shared" si="109"/>
        <v/>
      </c>
      <c r="EY17" s="92" t="str">
        <f t="shared" si="110"/>
        <v/>
      </c>
      <c r="EZ17" s="92" t="str">
        <f t="shared" si="111"/>
        <v/>
      </c>
      <c r="FA17" s="92" t="str">
        <f t="shared" si="112"/>
        <v/>
      </c>
      <c r="FB17" s="93" t="str">
        <f t="shared" si="113"/>
        <v/>
      </c>
      <c r="FC17" s="93" t="str">
        <f t="shared" si="114"/>
        <v/>
      </c>
      <c r="FD17" s="93" t="str">
        <f t="shared" si="115"/>
        <v/>
      </c>
      <c r="FE17" s="93" t="str">
        <f t="shared" si="116"/>
        <v/>
      </c>
      <c r="FF17" s="93" t="str">
        <f t="shared" si="117"/>
        <v/>
      </c>
      <c r="FG17" s="93" t="str">
        <f t="shared" si="118"/>
        <v/>
      </c>
      <c r="FH17" s="107" t="str">
        <f t="shared" si="119"/>
        <v/>
      </c>
      <c r="FI17" s="107" t="str">
        <f t="shared" si="120"/>
        <v/>
      </c>
      <c r="FJ17" s="256" t="str">
        <f t="shared" si="121"/>
        <v/>
      </c>
      <c r="FK17" s="256" t="str">
        <f t="shared" si="122"/>
        <v/>
      </c>
      <c r="FL17" s="256" t="str">
        <f t="shared" si="123"/>
        <v/>
      </c>
      <c r="FM17" s="256" t="str">
        <f t="shared" si="124"/>
        <v/>
      </c>
      <c r="FN17" s="256" t="str">
        <f>IF(OR(C17="TC",C17=""),"",IF(OR(FJ17="PASS",FJ17="FAIL"),IF(EC17="",SUM(FB17:FF17),SUM(LARGE(FB17:FG17,{1,2,3,4,5}))),""))</f>
        <v/>
      </c>
      <c r="FO17" s="256" t="str">
        <f>IF(AND(FN17="",FK17="PASSED AFTER COMPARTMENT"),IF(EC17="",SUM(FB17:FF17),SUM(LARGE(FB17:FG17,{1,2,3,4,5}))),FN17)</f>
        <v/>
      </c>
      <c r="FP17" s="256" t="str">
        <f t="shared" si="125"/>
        <v/>
      </c>
      <c r="FQ17" s="256" t="str">
        <f t="shared" si="126"/>
        <v/>
      </c>
      <c r="FR17" s="256" t="str">
        <f t="shared" si="127"/>
        <v/>
      </c>
      <c r="FS17" s="256" t="str">
        <f t="shared" si="128"/>
        <v/>
      </c>
      <c r="FT17" s="108" t="str">
        <f t="shared" si="129"/>
        <v/>
      </c>
      <c r="FU17" s="256" t="str">
        <f t="shared" si="130"/>
        <v/>
      </c>
      <c r="FV17" s="109" t="str">
        <f>IF(ATTENDANCE!Q18="","",ATTENDANCE!Q18)</f>
        <v/>
      </c>
      <c r="FW17" s="110" t="str">
        <f t="shared" si="131"/>
        <v/>
      </c>
      <c r="FX17" s="110" t="str">
        <f t="shared" si="132"/>
        <v/>
      </c>
      <c r="FY17" s="365" t="str">
        <f t="shared" si="133"/>
        <v/>
      </c>
      <c r="FZ17" s="108" t="str">
        <f t="shared" si="134"/>
        <v/>
      </c>
      <c r="GA17" s="256" t="str">
        <f>IF(ATTENDANCE!Q18="","",ATTENDANCE!Q18)</f>
        <v/>
      </c>
      <c r="GB17" s="108" t="str">
        <f>IF(ATTENDANCE!Q18="","",ATTENDANCE!$Q18)</f>
        <v/>
      </c>
      <c r="GC17" s="108" t="s">
        <v>232</v>
      </c>
      <c r="GD17" s="60"/>
    </row>
    <row r="18" spans="1:186" ht="15" customHeight="1" x14ac:dyDescent="0.25">
      <c r="A18" s="60"/>
      <c r="B18" s="96">
        <f>IF(DATA!B16="","",DATA!B16)</f>
        <v>12</v>
      </c>
      <c r="C18" s="96" t="str">
        <f>IF(DATA!C16="","",DATA!C16)</f>
        <v/>
      </c>
      <c r="D18" s="96" t="str">
        <f>IF(DATA!D16="","",DATA!D16)</f>
        <v/>
      </c>
      <c r="E18" s="303" t="str">
        <f>IF(DATA!E16="","",DATA!E16)</f>
        <v/>
      </c>
      <c r="F18" s="303" t="str">
        <f>IF(DATA!F16="","",DATA!F16)</f>
        <v/>
      </c>
      <c r="G18" s="303" t="str">
        <f>IF(DATA!G16="","",DATA!G16)</f>
        <v/>
      </c>
      <c r="H18" s="98" t="str">
        <f>IF(DATA!H16="","",DATA!H16)</f>
        <v/>
      </c>
      <c r="I18" s="97" t="str">
        <f>IF(DATA!I16="","",DATA!I16)</f>
        <v/>
      </c>
      <c r="J18" s="97" t="str">
        <f>IF(DATA!J16="","",DATA!J16)</f>
        <v/>
      </c>
      <c r="K18" s="97" t="str">
        <f>IF(DATA!K16="","",DATA!K16)</f>
        <v/>
      </c>
      <c r="L18" s="99" t="str">
        <f>IF(ENGLISH!E18="","",ENGLISH!E18)</f>
        <v/>
      </c>
      <c r="M18" s="100" t="str">
        <f t="shared" si="46"/>
        <v/>
      </c>
      <c r="N18" s="99" t="str">
        <f>IF(ENGLISH!F18="","",ENGLISH!F18)</f>
        <v/>
      </c>
      <c r="O18" s="100" t="str">
        <f t="shared" si="47"/>
        <v/>
      </c>
      <c r="P18" s="99" t="str">
        <f>IF(ENGLISH!G18="","",ENGLISH!G18)</f>
        <v/>
      </c>
      <c r="Q18" s="99" t="str">
        <f t="shared" si="48"/>
        <v/>
      </c>
      <c r="R18" s="100" t="str">
        <f>IFERROR(LARGE((M18,O18,Q18),1),"")</f>
        <v/>
      </c>
      <c r="S18" s="100" t="str">
        <f>IFERROR(LARGE((M18,O18,Q18),2),"")</f>
        <v/>
      </c>
      <c r="T18" s="99" t="str">
        <f t="shared" si="49"/>
        <v/>
      </c>
      <c r="U18" s="100" t="str">
        <f>IF(ENGLISH!H18="","",ENGLISH!H18)</f>
        <v/>
      </c>
      <c r="V18" s="99" t="str">
        <f>IF(ENGLISH!I18="","",ENGLISH!I18)</f>
        <v/>
      </c>
      <c r="W18" s="99" t="str">
        <f>IF(ENGLISH!J18="","",ENGLISH!J18)</f>
        <v/>
      </c>
      <c r="X18" s="99" t="str">
        <f t="shared" si="50"/>
        <v/>
      </c>
      <c r="Y18" s="100" t="str">
        <f>IF(ENGLISH!K18="","",ENGLISH!K18)</f>
        <v/>
      </c>
      <c r="Z18" s="100" t="str">
        <f t="shared" si="51"/>
        <v/>
      </c>
      <c r="AA18" s="101" t="str">
        <f t="shared" si="52"/>
        <v/>
      </c>
      <c r="AB18" s="99" t="str">
        <f t="shared" si="15"/>
        <v/>
      </c>
      <c r="AC18" s="99" t="str">
        <f>IF(ENGLISH!O18="","",ENGLISH!O18)</f>
        <v/>
      </c>
      <c r="AD18" s="99" t="str">
        <f t="shared" si="53"/>
        <v/>
      </c>
      <c r="AE18" s="99" t="str">
        <f t="shared" si="54"/>
        <v/>
      </c>
      <c r="AF18" s="99" t="str">
        <f t="shared" si="55"/>
        <v/>
      </c>
      <c r="AG18" s="102" t="str">
        <f>IF(C18="","",VLOOKUP(C18,'HINDI-SKT'!$D$7:$E$51,2,0))</f>
        <v/>
      </c>
      <c r="AH18" s="102" t="str">
        <f>IF('HINDI-SKT'!F18="","",'HINDI-SKT'!F18)</f>
        <v/>
      </c>
      <c r="AI18" s="103" t="str">
        <f t="shared" si="16"/>
        <v/>
      </c>
      <c r="AJ18" s="102" t="str">
        <f>IF('HINDI-SKT'!G18="","",'HINDI-SKT'!G18)</f>
        <v/>
      </c>
      <c r="AK18" s="103" t="str">
        <f t="shared" si="17"/>
        <v/>
      </c>
      <c r="AL18" s="102" t="str">
        <f>IF('HINDI-SKT'!H18="","",'HINDI-SKT'!H18)</f>
        <v/>
      </c>
      <c r="AM18" s="102" t="str">
        <f t="shared" si="18"/>
        <v/>
      </c>
      <c r="AN18" s="103" t="str">
        <f>IFERROR(LARGE((AI18,AK18,AM18),1),"")</f>
        <v/>
      </c>
      <c r="AO18" s="103" t="str">
        <f>IFERROR(LARGE((AI18,AK18,AM18),2),"")</f>
        <v/>
      </c>
      <c r="AP18" s="102" t="str">
        <f t="shared" si="19"/>
        <v/>
      </c>
      <c r="AQ18" s="103" t="str">
        <f>IF('HINDI-SKT'!I18="","",'HINDI-SKT'!I18)</f>
        <v/>
      </c>
      <c r="AR18" s="102" t="str">
        <f>IF('HINDI-SKT'!J18="","",'HINDI-SKT'!J18)</f>
        <v/>
      </c>
      <c r="AS18" s="102" t="str">
        <f>IF('HINDI-SKT'!K18="","",'HINDI-SKT'!K18)</f>
        <v/>
      </c>
      <c r="AT18" s="102" t="str">
        <f t="shared" si="56"/>
        <v/>
      </c>
      <c r="AU18" s="102" t="str">
        <f>IF('HINDI-SKT'!L18="","",'HINDI-SKT'!L18)</f>
        <v/>
      </c>
      <c r="AV18" s="103" t="str">
        <f t="shared" si="57"/>
        <v/>
      </c>
      <c r="AW18" s="102" t="str">
        <f t="shared" si="58"/>
        <v/>
      </c>
      <c r="AX18" s="102" t="str">
        <f t="shared" si="59"/>
        <v/>
      </c>
      <c r="AY18" s="102" t="str">
        <f>IF('HINDI-SKT'!P18="","",'HINDI-SKT'!P18)</f>
        <v/>
      </c>
      <c r="AZ18" s="102" t="str">
        <f t="shared" si="60"/>
        <v/>
      </c>
      <c r="BA18" s="102" t="str">
        <f t="shared" si="61"/>
        <v/>
      </c>
      <c r="BB18" s="102" t="str">
        <f t="shared" si="62"/>
        <v/>
      </c>
      <c r="BC18" s="99" t="str">
        <f>IF(MATHS!E18="","",MATHS!E18)</f>
        <v/>
      </c>
      <c r="BD18" s="100" t="str">
        <f t="shared" si="22"/>
        <v/>
      </c>
      <c r="BE18" s="99" t="str">
        <f>IF(MATHS!F18="","",MATHS!F18)</f>
        <v/>
      </c>
      <c r="BF18" s="100" t="str">
        <f t="shared" si="23"/>
        <v/>
      </c>
      <c r="BG18" s="99" t="str">
        <f>IF(MATHS!G18="","",MATHS!G18)</f>
        <v/>
      </c>
      <c r="BH18" s="99" t="str">
        <f t="shared" si="24"/>
        <v/>
      </c>
      <c r="BI18" s="100" t="str">
        <f>IFERROR(LARGE((BD18,BF18,BH18),1),"")</f>
        <v/>
      </c>
      <c r="BJ18" s="100" t="str">
        <f>IFERROR(LARGE((BD18,BF18,BH18),2),"")</f>
        <v/>
      </c>
      <c r="BK18" s="99" t="str">
        <f t="shared" si="25"/>
        <v/>
      </c>
      <c r="BL18" s="100" t="str">
        <f>IF(MATHS!H18="","",MATHS!H18)</f>
        <v/>
      </c>
      <c r="BM18" s="99" t="str">
        <f>IF(MATHS!I18="","",MATHS!I18)</f>
        <v/>
      </c>
      <c r="BN18" s="99" t="str">
        <f>IF(MATHS!J18="","",MATHS!J18)</f>
        <v/>
      </c>
      <c r="BO18" s="99" t="str">
        <f t="shared" si="63"/>
        <v/>
      </c>
      <c r="BP18" s="99" t="str">
        <f>IF(MATHS!K18="","",MATHS!K18)</f>
        <v/>
      </c>
      <c r="BQ18" s="100" t="str">
        <f t="shared" si="26"/>
        <v/>
      </c>
      <c r="BR18" s="99" t="str">
        <f t="shared" si="64"/>
        <v/>
      </c>
      <c r="BS18" s="99" t="str">
        <f t="shared" si="27"/>
        <v/>
      </c>
      <c r="BT18" s="99" t="str">
        <f>IF(MATHS!O18="","",MATHS!O18)</f>
        <v/>
      </c>
      <c r="BU18" s="99" t="str">
        <f t="shared" si="65"/>
        <v/>
      </c>
      <c r="BV18" s="99" t="str">
        <f t="shared" si="66"/>
        <v/>
      </c>
      <c r="BW18" s="102" t="str">
        <f t="shared" si="67"/>
        <v/>
      </c>
      <c r="BX18" s="102" t="str">
        <f>IF(SCIENCE!E18="","",SCIENCE!E18)</f>
        <v/>
      </c>
      <c r="BY18" s="103" t="str">
        <f t="shared" si="28"/>
        <v/>
      </c>
      <c r="BZ18" s="102" t="str">
        <f>IF(SCIENCE!F18="","",SCIENCE!F18)</f>
        <v/>
      </c>
      <c r="CA18" s="103" t="str">
        <f t="shared" si="29"/>
        <v/>
      </c>
      <c r="CB18" s="102" t="str">
        <f>IF(SCIENCE!G18="","",SCIENCE!G18)</f>
        <v/>
      </c>
      <c r="CC18" s="102" t="str">
        <f t="shared" si="30"/>
        <v/>
      </c>
      <c r="CD18" s="103" t="str">
        <f>IFERROR(LARGE((BY18,CA18,CC18),1),"")</f>
        <v/>
      </c>
      <c r="CE18" s="103" t="str">
        <f>IFERROR(LARGE((BY18,CA18,CC18),2),"")</f>
        <v/>
      </c>
      <c r="CF18" s="102" t="str">
        <f t="shared" si="31"/>
        <v/>
      </c>
      <c r="CG18" s="103" t="str">
        <f>IF(SCIENCE!H18="","",SCIENCE!H18)</f>
        <v/>
      </c>
      <c r="CH18" s="103" t="str">
        <f>IF(SCIENCE!I18="","",SCIENCE!I18)</f>
        <v/>
      </c>
      <c r="CI18" s="103" t="str">
        <f>IF(SCIENCE!J18="","",SCIENCE!J18)</f>
        <v/>
      </c>
      <c r="CJ18" s="103" t="str">
        <f t="shared" si="68"/>
        <v/>
      </c>
      <c r="CK18" s="103" t="str">
        <f>IF(SCIENCE!K18="","",SCIENCE!K18)</f>
        <v/>
      </c>
      <c r="CL18" s="103" t="str">
        <f t="shared" si="32"/>
        <v/>
      </c>
      <c r="CM18" s="102" t="str">
        <f t="shared" si="69"/>
        <v/>
      </c>
      <c r="CN18" s="102" t="str">
        <f t="shared" si="33"/>
        <v/>
      </c>
      <c r="CO18" s="102" t="str">
        <f>IF(SCIENCE!O18="","",SCIENCE!O18)</f>
        <v/>
      </c>
      <c r="CP18" s="102" t="str">
        <f t="shared" si="70"/>
        <v/>
      </c>
      <c r="CQ18" s="102" t="str">
        <f t="shared" si="71"/>
        <v/>
      </c>
      <c r="CR18" s="102" t="str">
        <f t="shared" si="72"/>
        <v/>
      </c>
      <c r="CS18" s="99" t="str">
        <f>IF(SST!E18="","",SST!E18)</f>
        <v/>
      </c>
      <c r="CT18" s="100" t="str">
        <f t="shared" si="34"/>
        <v/>
      </c>
      <c r="CU18" s="99" t="str">
        <f>IF(SST!F18="","",SST!F18)</f>
        <v/>
      </c>
      <c r="CV18" s="100" t="str">
        <f t="shared" si="35"/>
        <v/>
      </c>
      <c r="CW18" s="99" t="str">
        <f>IF(SST!G18="","",SST!G18)</f>
        <v/>
      </c>
      <c r="CX18" s="99" t="str">
        <f t="shared" si="36"/>
        <v/>
      </c>
      <c r="CY18" s="100" t="str">
        <f>IFERROR(LARGE((CT18,CV18,CX18),1),"")</f>
        <v/>
      </c>
      <c r="CZ18" s="100" t="str">
        <f>IFERROR(LARGE((CT18,CV18,CX18),2),"")</f>
        <v/>
      </c>
      <c r="DA18" s="99" t="str">
        <f t="shared" si="37"/>
        <v/>
      </c>
      <c r="DB18" s="100" t="str">
        <f>IF(SST!H18="","",SST!H18)</f>
        <v/>
      </c>
      <c r="DC18" s="100" t="str">
        <f>IF(SST!I18="","",SST!I18)</f>
        <v/>
      </c>
      <c r="DD18" s="100" t="str">
        <f>IF(SST!J18="","",SST!J18)</f>
        <v/>
      </c>
      <c r="DE18" s="100" t="str">
        <f t="shared" si="73"/>
        <v/>
      </c>
      <c r="DF18" s="100" t="str">
        <f>IF(SST!K18="","",SST!K18)</f>
        <v/>
      </c>
      <c r="DG18" s="100" t="str">
        <f t="shared" si="74"/>
        <v/>
      </c>
      <c r="DH18" s="99" t="str">
        <f t="shared" si="75"/>
        <v/>
      </c>
      <c r="DI18" s="99" t="str">
        <f t="shared" si="38"/>
        <v/>
      </c>
      <c r="DJ18" s="99" t="str">
        <f>IF(SST!O18="","",SST!O18)</f>
        <v/>
      </c>
      <c r="DK18" s="99" t="str">
        <f t="shared" si="76"/>
        <v/>
      </c>
      <c r="DL18" s="99" t="str">
        <f t="shared" si="77"/>
        <v/>
      </c>
      <c r="DM18" s="99" t="str">
        <f t="shared" si="78"/>
        <v/>
      </c>
      <c r="DN18" s="99"/>
      <c r="DO18" s="102" t="str">
        <f>IF(C18="","",IF(VLOOKUP(C18,VOCATIONAL!$D$7:$E$51,2,0)="","",VLOOKUP(C18,VOCATIONAL!$D$7:$E$51,2,0)))</f>
        <v/>
      </c>
      <c r="DP18" s="102" t="str">
        <f>IF(VOCATIONAL!F18="","",VOCATIONAL!F18)</f>
        <v/>
      </c>
      <c r="DQ18" s="102" t="str">
        <f>IF(VOCATIONAL!G18="","",VOCATIONAL!G18)</f>
        <v/>
      </c>
      <c r="DR18" s="102" t="str">
        <f t="shared" si="79"/>
        <v/>
      </c>
      <c r="DS18" s="102" t="str">
        <f t="shared" si="80"/>
        <v/>
      </c>
      <c r="DT18" s="102" t="str">
        <f>IF(VOCATIONAL!K18="","",VOCATIONAL!K18)</f>
        <v/>
      </c>
      <c r="DU18" s="102" t="str">
        <f t="shared" si="81"/>
        <v/>
      </c>
      <c r="DV18" s="102" t="str">
        <f t="shared" si="82"/>
        <v/>
      </c>
      <c r="DW18" s="99"/>
      <c r="DX18" s="104" t="str">
        <f t="shared" si="83"/>
        <v/>
      </c>
      <c r="DY18" s="104" t="str">
        <f t="shared" si="84"/>
        <v/>
      </c>
      <c r="DZ18" s="104" t="str">
        <f t="shared" si="85"/>
        <v/>
      </c>
      <c r="EA18" s="104" t="str">
        <f t="shared" si="86"/>
        <v/>
      </c>
      <c r="EB18" s="104" t="str">
        <f t="shared" si="87"/>
        <v/>
      </c>
      <c r="EC18" s="104" t="str">
        <f t="shared" si="88"/>
        <v/>
      </c>
      <c r="ED18" s="104" t="str">
        <f t="shared" si="89"/>
        <v/>
      </c>
      <c r="EE18" s="104" t="str">
        <f t="shared" si="90"/>
        <v/>
      </c>
      <c r="EF18" s="104" t="str">
        <f t="shared" si="91"/>
        <v/>
      </c>
      <c r="EG18" s="104" t="str">
        <f t="shared" si="92"/>
        <v/>
      </c>
      <c r="EH18" s="104" t="str">
        <f t="shared" si="93"/>
        <v/>
      </c>
      <c r="EI18" s="104" t="str">
        <f t="shared" si="94"/>
        <v/>
      </c>
      <c r="EJ18" s="105" t="str">
        <f t="shared" si="95"/>
        <v/>
      </c>
      <c r="EK18" s="105" t="str">
        <f t="shared" si="96"/>
        <v/>
      </c>
      <c r="EL18" s="105" t="str">
        <f t="shared" si="97"/>
        <v/>
      </c>
      <c r="EM18" s="105" t="str">
        <f t="shared" si="98"/>
        <v/>
      </c>
      <c r="EN18" s="105" t="str">
        <f t="shared" si="99"/>
        <v/>
      </c>
      <c r="EO18" s="363" t="str">
        <f t="shared" si="100"/>
        <v/>
      </c>
      <c r="EP18" s="106" t="str">
        <f t="shared" si="101"/>
        <v/>
      </c>
      <c r="EQ18" s="106" t="str">
        <f t="shared" si="102"/>
        <v/>
      </c>
      <c r="ER18" s="106" t="str">
        <f t="shared" si="103"/>
        <v/>
      </c>
      <c r="ES18" s="106" t="str">
        <f t="shared" si="104"/>
        <v/>
      </c>
      <c r="ET18" s="106" t="str">
        <f t="shared" si="105"/>
        <v/>
      </c>
      <c r="EU18" s="106" t="str">
        <f t="shared" si="106"/>
        <v/>
      </c>
      <c r="EV18" s="92" t="str">
        <f t="shared" si="107"/>
        <v/>
      </c>
      <c r="EW18" s="92" t="str">
        <f t="shared" si="108"/>
        <v/>
      </c>
      <c r="EX18" s="92" t="str">
        <f t="shared" si="109"/>
        <v/>
      </c>
      <c r="EY18" s="92" t="str">
        <f t="shared" si="110"/>
        <v/>
      </c>
      <c r="EZ18" s="92" t="str">
        <f t="shared" si="111"/>
        <v/>
      </c>
      <c r="FA18" s="92" t="str">
        <f t="shared" si="112"/>
        <v/>
      </c>
      <c r="FB18" s="93" t="str">
        <f t="shared" si="113"/>
        <v/>
      </c>
      <c r="FC18" s="93" t="str">
        <f t="shared" si="114"/>
        <v/>
      </c>
      <c r="FD18" s="93" t="str">
        <f t="shared" si="115"/>
        <v/>
      </c>
      <c r="FE18" s="93" t="str">
        <f t="shared" si="116"/>
        <v/>
      </c>
      <c r="FF18" s="93" t="str">
        <f t="shared" si="117"/>
        <v/>
      </c>
      <c r="FG18" s="93" t="str">
        <f t="shared" si="118"/>
        <v/>
      </c>
      <c r="FH18" s="107" t="str">
        <f t="shared" si="119"/>
        <v/>
      </c>
      <c r="FI18" s="107" t="str">
        <f t="shared" si="120"/>
        <v/>
      </c>
      <c r="FJ18" s="256" t="str">
        <f t="shared" si="121"/>
        <v/>
      </c>
      <c r="FK18" s="256" t="str">
        <f t="shared" si="122"/>
        <v/>
      </c>
      <c r="FL18" s="256" t="str">
        <f t="shared" si="123"/>
        <v/>
      </c>
      <c r="FM18" s="256" t="str">
        <f t="shared" si="124"/>
        <v/>
      </c>
      <c r="FN18" s="256" t="str">
        <f>IF(OR(C18="TC",C18=""),"",IF(OR(FJ18="PASS",FJ18="FAIL"),IF(EC18="",SUM(FB18:FF18),SUM(LARGE(FB18:FG18,{1,2,3,4,5}))),""))</f>
        <v/>
      </c>
      <c r="FO18" s="256" t="str">
        <f>IF(AND(FN18="",FK18="PASSED AFTER COMPARTMENT"),IF(EC18="",SUM(FB18:FF18),SUM(LARGE(FB18:FG18,{1,2,3,4,5}))),FN18)</f>
        <v/>
      </c>
      <c r="FP18" s="256" t="str">
        <f t="shared" si="125"/>
        <v/>
      </c>
      <c r="FQ18" s="256" t="str">
        <f t="shared" si="126"/>
        <v/>
      </c>
      <c r="FR18" s="256" t="str">
        <f t="shared" si="127"/>
        <v/>
      </c>
      <c r="FS18" s="256" t="str">
        <f t="shared" si="128"/>
        <v/>
      </c>
      <c r="FT18" s="108" t="str">
        <f t="shared" si="129"/>
        <v/>
      </c>
      <c r="FU18" s="256" t="str">
        <f t="shared" si="130"/>
        <v/>
      </c>
      <c r="FV18" s="109" t="str">
        <f>IF(ATTENDANCE!Q19="","",ATTENDANCE!Q19)</f>
        <v/>
      </c>
      <c r="FW18" s="110" t="str">
        <f t="shared" si="131"/>
        <v/>
      </c>
      <c r="FX18" s="110" t="str">
        <f t="shared" si="132"/>
        <v/>
      </c>
      <c r="FY18" s="365" t="str">
        <f t="shared" si="133"/>
        <v/>
      </c>
      <c r="FZ18" s="108" t="str">
        <f t="shared" si="134"/>
        <v/>
      </c>
      <c r="GA18" s="256" t="str">
        <f>IF(ATTENDANCE!Q19="","",ATTENDANCE!Q19)</f>
        <v/>
      </c>
      <c r="GB18" s="108" t="str">
        <f>IF(ATTENDANCE!Q19="","",ATTENDANCE!$Q19)</f>
        <v/>
      </c>
      <c r="GC18" s="108" t="s">
        <v>231</v>
      </c>
      <c r="GD18" s="60"/>
    </row>
    <row r="19" spans="1:186" ht="15" customHeight="1" x14ac:dyDescent="0.25">
      <c r="A19" s="60"/>
      <c r="B19" s="96">
        <f>IF(DATA!B17="","",DATA!B17)</f>
        <v>13</v>
      </c>
      <c r="C19" s="96" t="str">
        <f>IF(DATA!C17="","",DATA!C17)</f>
        <v/>
      </c>
      <c r="D19" s="96" t="str">
        <f>IF(DATA!D17="","",DATA!D17)</f>
        <v/>
      </c>
      <c r="E19" s="303" t="str">
        <f>IF(DATA!E17="","",DATA!E17)</f>
        <v/>
      </c>
      <c r="F19" s="303" t="str">
        <f>IF(DATA!F17="","",DATA!F17)</f>
        <v/>
      </c>
      <c r="G19" s="303" t="str">
        <f>IF(DATA!G17="","",DATA!G17)</f>
        <v/>
      </c>
      <c r="H19" s="98" t="str">
        <f>IF(DATA!H17="","",DATA!H17)</f>
        <v/>
      </c>
      <c r="I19" s="97" t="str">
        <f>IF(DATA!I17="","",DATA!I17)</f>
        <v/>
      </c>
      <c r="J19" s="97" t="str">
        <f>IF(DATA!J17="","",DATA!J17)</f>
        <v/>
      </c>
      <c r="K19" s="97" t="str">
        <f>IF(DATA!K17="","",DATA!K17)</f>
        <v/>
      </c>
      <c r="L19" s="99" t="str">
        <f>IF(ENGLISH!E19="","",ENGLISH!E19)</f>
        <v/>
      </c>
      <c r="M19" s="100" t="str">
        <f t="shared" si="46"/>
        <v/>
      </c>
      <c r="N19" s="99" t="str">
        <f>IF(ENGLISH!F19="","",ENGLISH!F19)</f>
        <v/>
      </c>
      <c r="O19" s="100" t="str">
        <f t="shared" si="47"/>
        <v/>
      </c>
      <c r="P19" s="99" t="str">
        <f>IF(ENGLISH!G19="","",ENGLISH!G19)</f>
        <v/>
      </c>
      <c r="Q19" s="99" t="str">
        <f t="shared" si="48"/>
        <v/>
      </c>
      <c r="R19" s="100" t="str">
        <f>IFERROR(LARGE((M19,O19,Q19),1),"")</f>
        <v/>
      </c>
      <c r="S19" s="100" t="str">
        <f>IFERROR(LARGE((M19,O19,Q19),2),"")</f>
        <v/>
      </c>
      <c r="T19" s="99" t="str">
        <f t="shared" si="49"/>
        <v/>
      </c>
      <c r="U19" s="100" t="str">
        <f>IF(ENGLISH!H19="","",ENGLISH!H19)</f>
        <v/>
      </c>
      <c r="V19" s="99" t="str">
        <f>IF(ENGLISH!I19="","",ENGLISH!I19)</f>
        <v/>
      </c>
      <c r="W19" s="99" t="str">
        <f>IF(ENGLISH!J19="","",ENGLISH!J19)</f>
        <v/>
      </c>
      <c r="X19" s="99" t="str">
        <f t="shared" si="50"/>
        <v/>
      </c>
      <c r="Y19" s="100" t="str">
        <f>IF(ENGLISH!K19="","",ENGLISH!K19)</f>
        <v/>
      </c>
      <c r="Z19" s="100" t="str">
        <f t="shared" si="51"/>
        <v/>
      </c>
      <c r="AA19" s="101" t="str">
        <f t="shared" si="52"/>
        <v/>
      </c>
      <c r="AB19" s="99" t="str">
        <f t="shared" si="15"/>
        <v/>
      </c>
      <c r="AC19" s="99" t="str">
        <f>IF(ENGLISH!O19="","",ENGLISH!O19)</f>
        <v/>
      </c>
      <c r="AD19" s="99" t="str">
        <f t="shared" si="53"/>
        <v/>
      </c>
      <c r="AE19" s="99" t="str">
        <f t="shared" si="54"/>
        <v/>
      </c>
      <c r="AF19" s="99" t="str">
        <f t="shared" si="55"/>
        <v/>
      </c>
      <c r="AG19" s="102" t="str">
        <f>IF(C19="","",VLOOKUP(C19,'HINDI-SKT'!$D$7:$E$51,2,0))</f>
        <v/>
      </c>
      <c r="AH19" s="102" t="str">
        <f>IF('HINDI-SKT'!F19="","",'HINDI-SKT'!F19)</f>
        <v/>
      </c>
      <c r="AI19" s="103" t="str">
        <f t="shared" si="16"/>
        <v/>
      </c>
      <c r="AJ19" s="102" t="str">
        <f>IF('HINDI-SKT'!G19="","",'HINDI-SKT'!G19)</f>
        <v/>
      </c>
      <c r="AK19" s="103" t="str">
        <f t="shared" si="17"/>
        <v/>
      </c>
      <c r="AL19" s="102" t="str">
        <f>IF('HINDI-SKT'!H19="","",'HINDI-SKT'!H19)</f>
        <v/>
      </c>
      <c r="AM19" s="102" t="str">
        <f t="shared" si="18"/>
        <v/>
      </c>
      <c r="AN19" s="103" t="str">
        <f>IFERROR(LARGE((AI19,AK19,AM19),1),"")</f>
        <v/>
      </c>
      <c r="AO19" s="103" t="str">
        <f>IFERROR(LARGE((AI19,AK19,AM19),2),"")</f>
        <v/>
      </c>
      <c r="AP19" s="102" t="str">
        <f t="shared" si="19"/>
        <v/>
      </c>
      <c r="AQ19" s="103" t="str">
        <f>IF('HINDI-SKT'!I19="","",'HINDI-SKT'!I19)</f>
        <v/>
      </c>
      <c r="AR19" s="102" t="str">
        <f>IF('HINDI-SKT'!J19="","",'HINDI-SKT'!J19)</f>
        <v/>
      </c>
      <c r="AS19" s="102" t="str">
        <f>IF('HINDI-SKT'!K19="","",'HINDI-SKT'!K19)</f>
        <v/>
      </c>
      <c r="AT19" s="102" t="str">
        <f t="shared" si="56"/>
        <v/>
      </c>
      <c r="AU19" s="102" t="str">
        <f>IF('HINDI-SKT'!L19="","",'HINDI-SKT'!L19)</f>
        <v/>
      </c>
      <c r="AV19" s="103" t="str">
        <f t="shared" si="57"/>
        <v/>
      </c>
      <c r="AW19" s="102" t="str">
        <f t="shared" si="58"/>
        <v/>
      </c>
      <c r="AX19" s="102" t="str">
        <f t="shared" si="59"/>
        <v/>
      </c>
      <c r="AY19" s="102" t="str">
        <f>IF('HINDI-SKT'!P19="","",'HINDI-SKT'!P19)</f>
        <v/>
      </c>
      <c r="AZ19" s="102" t="str">
        <f t="shared" si="60"/>
        <v/>
      </c>
      <c r="BA19" s="102" t="str">
        <f t="shared" si="61"/>
        <v/>
      </c>
      <c r="BB19" s="102" t="str">
        <f t="shared" si="62"/>
        <v/>
      </c>
      <c r="BC19" s="99" t="str">
        <f>IF(MATHS!E19="","",MATHS!E19)</f>
        <v/>
      </c>
      <c r="BD19" s="100" t="str">
        <f t="shared" si="22"/>
        <v/>
      </c>
      <c r="BE19" s="99" t="str">
        <f>IF(MATHS!F19="","",MATHS!F19)</f>
        <v/>
      </c>
      <c r="BF19" s="100" t="str">
        <f t="shared" si="23"/>
        <v/>
      </c>
      <c r="BG19" s="99" t="str">
        <f>IF(MATHS!G19="","",MATHS!G19)</f>
        <v/>
      </c>
      <c r="BH19" s="99" t="str">
        <f t="shared" si="24"/>
        <v/>
      </c>
      <c r="BI19" s="100" t="str">
        <f>IFERROR(LARGE((BD19,BF19,BH19),1),"")</f>
        <v/>
      </c>
      <c r="BJ19" s="100" t="str">
        <f>IFERROR(LARGE((BD19,BF19,BH19),2),"")</f>
        <v/>
      </c>
      <c r="BK19" s="99" t="str">
        <f t="shared" si="25"/>
        <v/>
      </c>
      <c r="BL19" s="100" t="str">
        <f>IF(MATHS!H19="","",MATHS!H19)</f>
        <v/>
      </c>
      <c r="BM19" s="99" t="str">
        <f>IF(MATHS!I19="","",MATHS!I19)</f>
        <v/>
      </c>
      <c r="BN19" s="99" t="str">
        <f>IF(MATHS!J19="","",MATHS!J19)</f>
        <v/>
      </c>
      <c r="BO19" s="99" t="str">
        <f t="shared" si="63"/>
        <v/>
      </c>
      <c r="BP19" s="99" t="str">
        <f>IF(MATHS!K19="","",MATHS!K19)</f>
        <v/>
      </c>
      <c r="BQ19" s="100" t="str">
        <f t="shared" si="26"/>
        <v/>
      </c>
      <c r="BR19" s="99" t="str">
        <f t="shared" si="64"/>
        <v/>
      </c>
      <c r="BS19" s="99" t="str">
        <f t="shared" si="27"/>
        <v/>
      </c>
      <c r="BT19" s="99" t="str">
        <f>IF(MATHS!O19="","",MATHS!O19)</f>
        <v/>
      </c>
      <c r="BU19" s="99" t="str">
        <f t="shared" si="65"/>
        <v/>
      </c>
      <c r="BV19" s="99" t="str">
        <f t="shared" si="66"/>
        <v/>
      </c>
      <c r="BW19" s="102" t="str">
        <f t="shared" si="67"/>
        <v/>
      </c>
      <c r="BX19" s="102" t="str">
        <f>IF(SCIENCE!E19="","",SCIENCE!E19)</f>
        <v/>
      </c>
      <c r="BY19" s="103" t="str">
        <f t="shared" si="28"/>
        <v/>
      </c>
      <c r="BZ19" s="102" t="str">
        <f>IF(SCIENCE!F19="","",SCIENCE!F19)</f>
        <v/>
      </c>
      <c r="CA19" s="103" t="str">
        <f t="shared" si="29"/>
        <v/>
      </c>
      <c r="CB19" s="102" t="str">
        <f>IF(SCIENCE!G19="","",SCIENCE!G19)</f>
        <v/>
      </c>
      <c r="CC19" s="102" t="str">
        <f t="shared" si="30"/>
        <v/>
      </c>
      <c r="CD19" s="103" t="str">
        <f>IFERROR(LARGE((BY19,CA19,CC19),1),"")</f>
        <v/>
      </c>
      <c r="CE19" s="103" t="str">
        <f>IFERROR(LARGE((BY19,CA19,CC19),2),"")</f>
        <v/>
      </c>
      <c r="CF19" s="102" t="str">
        <f t="shared" si="31"/>
        <v/>
      </c>
      <c r="CG19" s="103" t="str">
        <f>IF(SCIENCE!H19="","",SCIENCE!H19)</f>
        <v/>
      </c>
      <c r="CH19" s="103" t="str">
        <f>IF(SCIENCE!I19="","",SCIENCE!I19)</f>
        <v/>
      </c>
      <c r="CI19" s="103" t="str">
        <f>IF(SCIENCE!J19="","",SCIENCE!J19)</f>
        <v/>
      </c>
      <c r="CJ19" s="103" t="str">
        <f t="shared" si="68"/>
        <v/>
      </c>
      <c r="CK19" s="103" t="str">
        <f>IF(SCIENCE!K19="","",SCIENCE!K19)</f>
        <v/>
      </c>
      <c r="CL19" s="103" t="str">
        <f t="shared" si="32"/>
        <v/>
      </c>
      <c r="CM19" s="102" t="str">
        <f t="shared" si="69"/>
        <v/>
      </c>
      <c r="CN19" s="102" t="str">
        <f t="shared" si="33"/>
        <v/>
      </c>
      <c r="CO19" s="102" t="str">
        <f>IF(SCIENCE!O19="","",SCIENCE!O19)</f>
        <v/>
      </c>
      <c r="CP19" s="102" t="str">
        <f t="shared" si="70"/>
        <v/>
      </c>
      <c r="CQ19" s="102" t="str">
        <f t="shared" si="71"/>
        <v/>
      </c>
      <c r="CR19" s="102" t="str">
        <f t="shared" si="72"/>
        <v/>
      </c>
      <c r="CS19" s="99" t="str">
        <f>IF(SST!E19="","",SST!E19)</f>
        <v/>
      </c>
      <c r="CT19" s="100" t="str">
        <f t="shared" si="34"/>
        <v/>
      </c>
      <c r="CU19" s="99" t="str">
        <f>IF(SST!F19="","",SST!F19)</f>
        <v/>
      </c>
      <c r="CV19" s="100" t="str">
        <f t="shared" si="35"/>
        <v/>
      </c>
      <c r="CW19" s="99" t="str">
        <f>IF(SST!G19="","",SST!G19)</f>
        <v/>
      </c>
      <c r="CX19" s="99" t="str">
        <f t="shared" si="36"/>
        <v/>
      </c>
      <c r="CY19" s="100" t="str">
        <f>IFERROR(LARGE((CT19,CV19,CX19),1),"")</f>
        <v/>
      </c>
      <c r="CZ19" s="100" t="str">
        <f>IFERROR(LARGE((CT19,CV19,CX19),2),"")</f>
        <v/>
      </c>
      <c r="DA19" s="99" t="str">
        <f t="shared" si="37"/>
        <v/>
      </c>
      <c r="DB19" s="100" t="str">
        <f>IF(SST!H19="","",SST!H19)</f>
        <v/>
      </c>
      <c r="DC19" s="100" t="str">
        <f>IF(SST!I19="","",SST!I19)</f>
        <v/>
      </c>
      <c r="DD19" s="100" t="str">
        <f>IF(SST!J19="","",SST!J19)</f>
        <v/>
      </c>
      <c r="DE19" s="100" t="str">
        <f t="shared" si="73"/>
        <v/>
      </c>
      <c r="DF19" s="100" t="str">
        <f>IF(SST!K19="","",SST!K19)</f>
        <v/>
      </c>
      <c r="DG19" s="100" t="str">
        <f t="shared" si="74"/>
        <v/>
      </c>
      <c r="DH19" s="99" t="str">
        <f t="shared" si="75"/>
        <v/>
      </c>
      <c r="DI19" s="99" t="str">
        <f t="shared" si="38"/>
        <v/>
      </c>
      <c r="DJ19" s="99" t="str">
        <f>IF(SST!O19="","",SST!O19)</f>
        <v/>
      </c>
      <c r="DK19" s="99" t="str">
        <f t="shared" si="76"/>
        <v/>
      </c>
      <c r="DL19" s="99" t="str">
        <f t="shared" si="77"/>
        <v/>
      </c>
      <c r="DM19" s="99" t="str">
        <f t="shared" si="78"/>
        <v/>
      </c>
      <c r="DN19" s="99"/>
      <c r="DO19" s="102" t="str">
        <f>IF(C19="","",IF(VLOOKUP(C19,VOCATIONAL!$D$7:$E$51,2,0)="","",VLOOKUP(C19,VOCATIONAL!$D$7:$E$51,2,0)))</f>
        <v/>
      </c>
      <c r="DP19" s="102" t="str">
        <f>IF(VOCATIONAL!F19="","",VOCATIONAL!F19)</f>
        <v/>
      </c>
      <c r="DQ19" s="102" t="str">
        <f>IF(VOCATIONAL!G19="","",VOCATIONAL!G19)</f>
        <v/>
      </c>
      <c r="DR19" s="102" t="str">
        <f t="shared" si="79"/>
        <v/>
      </c>
      <c r="DS19" s="102" t="str">
        <f t="shared" si="80"/>
        <v/>
      </c>
      <c r="DT19" s="102" t="str">
        <f>IF(VOCATIONAL!K19="","",VOCATIONAL!K19)</f>
        <v/>
      </c>
      <c r="DU19" s="102" t="str">
        <f t="shared" si="81"/>
        <v/>
      </c>
      <c r="DV19" s="102" t="str">
        <f t="shared" si="82"/>
        <v/>
      </c>
      <c r="DW19" s="99"/>
      <c r="DX19" s="104" t="str">
        <f t="shared" si="83"/>
        <v/>
      </c>
      <c r="DY19" s="104" t="str">
        <f t="shared" si="84"/>
        <v/>
      </c>
      <c r="DZ19" s="104" t="str">
        <f t="shared" si="85"/>
        <v/>
      </c>
      <c r="EA19" s="104" t="str">
        <f t="shared" si="86"/>
        <v/>
      </c>
      <c r="EB19" s="104" t="str">
        <f t="shared" si="87"/>
        <v/>
      </c>
      <c r="EC19" s="104" t="str">
        <f t="shared" si="88"/>
        <v/>
      </c>
      <c r="ED19" s="104" t="str">
        <f t="shared" si="89"/>
        <v/>
      </c>
      <c r="EE19" s="104" t="str">
        <f t="shared" si="90"/>
        <v/>
      </c>
      <c r="EF19" s="104" t="str">
        <f t="shared" si="91"/>
        <v/>
      </c>
      <c r="EG19" s="104" t="str">
        <f t="shared" si="92"/>
        <v/>
      </c>
      <c r="EH19" s="104" t="str">
        <f t="shared" si="93"/>
        <v/>
      </c>
      <c r="EI19" s="104" t="str">
        <f t="shared" si="94"/>
        <v/>
      </c>
      <c r="EJ19" s="105" t="str">
        <f t="shared" si="95"/>
        <v/>
      </c>
      <c r="EK19" s="105" t="str">
        <f t="shared" si="96"/>
        <v/>
      </c>
      <c r="EL19" s="105" t="str">
        <f t="shared" si="97"/>
        <v/>
      </c>
      <c r="EM19" s="105" t="str">
        <f t="shared" si="98"/>
        <v/>
      </c>
      <c r="EN19" s="105" t="str">
        <f t="shared" si="99"/>
        <v/>
      </c>
      <c r="EO19" s="363" t="str">
        <f t="shared" si="100"/>
        <v/>
      </c>
      <c r="EP19" s="106" t="str">
        <f t="shared" si="101"/>
        <v/>
      </c>
      <c r="EQ19" s="106" t="str">
        <f t="shared" si="102"/>
        <v/>
      </c>
      <c r="ER19" s="106" t="str">
        <f t="shared" si="103"/>
        <v/>
      </c>
      <c r="ES19" s="106" t="str">
        <f t="shared" si="104"/>
        <v/>
      </c>
      <c r="ET19" s="106" t="str">
        <f t="shared" si="105"/>
        <v/>
      </c>
      <c r="EU19" s="106" t="str">
        <f t="shared" si="106"/>
        <v/>
      </c>
      <c r="EV19" s="92" t="str">
        <f t="shared" si="107"/>
        <v/>
      </c>
      <c r="EW19" s="92" t="str">
        <f t="shared" si="108"/>
        <v/>
      </c>
      <c r="EX19" s="92" t="str">
        <f t="shared" si="109"/>
        <v/>
      </c>
      <c r="EY19" s="92" t="str">
        <f t="shared" si="110"/>
        <v/>
      </c>
      <c r="EZ19" s="92" t="str">
        <f t="shared" si="111"/>
        <v/>
      </c>
      <c r="FA19" s="92" t="str">
        <f t="shared" si="112"/>
        <v/>
      </c>
      <c r="FB19" s="93" t="str">
        <f t="shared" si="113"/>
        <v/>
      </c>
      <c r="FC19" s="93" t="str">
        <f t="shared" si="114"/>
        <v/>
      </c>
      <c r="FD19" s="93" t="str">
        <f t="shared" si="115"/>
        <v/>
      </c>
      <c r="FE19" s="93" t="str">
        <f t="shared" si="116"/>
        <v/>
      </c>
      <c r="FF19" s="93" t="str">
        <f t="shared" si="117"/>
        <v/>
      </c>
      <c r="FG19" s="93" t="str">
        <f t="shared" si="118"/>
        <v/>
      </c>
      <c r="FH19" s="107" t="str">
        <f t="shared" si="119"/>
        <v/>
      </c>
      <c r="FI19" s="107" t="str">
        <f t="shared" si="120"/>
        <v/>
      </c>
      <c r="FJ19" s="256" t="str">
        <f t="shared" si="121"/>
        <v/>
      </c>
      <c r="FK19" s="256" t="str">
        <f t="shared" si="122"/>
        <v/>
      </c>
      <c r="FL19" s="256" t="str">
        <f t="shared" si="123"/>
        <v/>
      </c>
      <c r="FM19" s="256" t="str">
        <f t="shared" si="124"/>
        <v/>
      </c>
      <c r="FN19" s="256" t="str">
        <f>IF(OR(C19="TC",C19=""),"",IF(OR(FJ19="PASS",FJ19="FAIL"),IF(EC19="",SUM(FB19:FF19),SUM(LARGE(FB19:FG19,{1,2,3,4,5}))),""))</f>
        <v/>
      </c>
      <c r="FO19" s="256" t="str">
        <f>IF(AND(FN19="",FK19="PASSED AFTER COMPARTMENT"),IF(EC19="",SUM(FB19:FF19),SUM(LARGE(FB19:FG19,{1,2,3,4,5}))),FN19)</f>
        <v/>
      </c>
      <c r="FP19" s="256" t="str">
        <f t="shared" si="125"/>
        <v/>
      </c>
      <c r="FQ19" s="256" t="str">
        <f t="shared" si="126"/>
        <v/>
      </c>
      <c r="FR19" s="256" t="str">
        <f t="shared" si="127"/>
        <v/>
      </c>
      <c r="FS19" s="256" t="str">
        <f t="shared" si="128"/>
        <v/>
      </c>
      <c r="FT19" s="108" t="str">
        <f t="shared" si="129"/>
        <v/>
      </c>
      <c r="FU19" s="256" t="str">
        <f t="shared" si="130"/>
        <v/>
      </c>
      <c r="FV19" s="109" t="str">
        <f>IF(ATTENDANCE!Q20="","",ATTENDANCE!Q20)</f>
        <v/>
      </c>
      <c r="FW19" s="110" t="str">
        <f t="shared" si="131"/>
        <v/>
      </c>
      <c r="FX19" s="110" t="str">
        <f t="shared" si="132"/>
        <v/>
      </c>
      <c r="FY19" s="365" t="str">
        <f t="shared" si="133"/>
        <v/>
      </c>
      <c r="FZ19" s="108" t="str">
        <f t="shared" si="134"/>
        <v/>
      </c>
      <c r="GA19" s="256" t="str">
        <f>IF(ATTENDANCE!Q20="","",ATTENDANCE!Q20)</f>
        <v/>
      </c>
      <c r="GB19" s="108" t="str">
        <f>IF(ATTENDANCE!Q20="","",ATTENDANCE!$Q20)</f>
        <v/>
      </c>
      <c r="GC19" s="108" t="s">
        <v>233</v>
      </c>
      <c r="GD19" s="60"/>
    </row>
    <row r="20" spans="1:186" ht="15" customHeight="1" x14ac:dyDescent="0.25">
      <c r="A20" s="60"/>
      <c r="B20" s="96">
        <f>IF(DATA!B18="","",DATA!B18)</f>
        <v>14</v>
      </c>
      <c r="C20" s="96" t="str">
        <f>IF(DATA!C18="","",DATA!C18)</f>
        <v/>
      </c>
      <c r="D20" s="96" t="str">
        <f>IF(DATA!D18="","",DATA!D18)</f>
        <v/>
      </c>
      <c r="E20" s="303" t="str">
        <f>IF(DATA!E18="","",DATA!E18)</f>
        <v/>
      </c>
      <c r="F20" s="303" t="str">
        <f>IF(DATA!F18="","",DATA!F18)</f>
        <v/>
      </c>
      <c r="G20" s="303" t="str">
        <f>IF(DATA!G18="","",DATA!G18)</f>
        <v/>
      </c>
      <c r="H20" s="98" t="str">
        <f>IF(DATA!H18="","",DATA!H18)</f>
        <v/>
      </c>
      <c r="I20" s="97" t="str">
        <f>IF(DATA!I18="","",DATA!I18)</f>
        <v/>
      </c>
      <c r="J20" s="97" t="str">
        <f>IF(DATA!J18="","",DATA!J18)</f>
        <v/>
      </c>
      <c r="K20" s="97" t="str">
        <f>IF(DATA!K18="","",DATA!K18)</f>
        <v/>
      </c>
      <c r="L20" s="99" t="str">
        <f>IF(ENGLISH!E20="","",ENGLISH!E20)</f>
        <v/>
      </c>
      <c r="M20" s="100" t="str">
        <f t="shared" si="46"/>
        <v/>
      </c>
      <c r="N20" s="99" t="str">
        <f>IF(ENGLISH!F20="","",ENGLISH!F20)</f>
        <v/>
      </c>
      <c r="O20" s="100" t="str">
        <f t="shared" si="47"/>
        <v/>
      </c>
      <c r="P20" s="99" t="str">
        <f>IF(ENGLISH!G20="","",ENGLISH!G20)</f>
        <v/>
      </c>
      <c r="Q20" s="99" t="str">
        <f t="shared" si="48"/>
        <v/>
      </c>
      <c r="R20" s="100" t="str">
        <f>IFERROR(LARGE((M20,O20,Q20),1),"")</f>
        <v/>
      </c>
      <c r="S20" s="100" t="str">
        <f>IFERROR(LARGE((M20,O20,Q20),2),"")</f>
        <v/>
      </c>
      <c r="T20" s="99" t="str">
        <f t="shared" si="49"/>
        <v/>
      </c>
      <c r="U20" s="100" t="str">
        <f>IF(ENGLISH!H20="","",ENGLISH!H20)</f>
        <v/>
      </c>
      <c r="V20" s="99" t="str">
        <f>IF(ENGLISH!I20="","",ENGLISH!I20)</f>
        <v/>
      </c>
      <c r="W20" s="99" t="str">
        <f>IF(ENGLISH!J20="","",ENGLISH!J20)</f>
        <v/>
      </c>
      <c r="X20" s="99" t="str">
        <f t="shared" si="50"/>
        <v/>
      </c>
      <c r="Y20" s="100" t="str">
        <f>IF(ENGLISH!K20="","",ENGLISH!K20)</f>
        <v/>
      </c>
      <c r="Z20" s="100" t="str">
        <f t="shared" si="51"/>
        <v/>
      </c>
      <c r="AA20" s="101" t="str">
        <f t="shared" si="52"/>
        <v/>
      </c>
      <c r="AB20" s="99" t="str">
        <f t="shared" si="15"/>
        <v/>
      </c>
      <c r="AC20" s="99" t="str">
        <f>IF(ENGLISH!O20="","",ENGLISH!O20)</f>
        <v/>
      </c>
      <c r="AD20" s="99" t="str">
        <f t="shared" si="53"/>
        <v/>
      </c>
      <c r="AE20" s="99" t="str">
        <f t="shared" si="54"/>
        <v/>
      </c>
      <c r="AF20" s="99" t="str">
        <f t="shared" si="55"/>
        <v/>
      </c>
      <c r="AG20" s="102" t="str">
        <f>IF(C20="","",VLOOKUP(C20,'HINDI-SKT'!$D$7:$E$51,2,0))</f>
        <v/>
      </c>
      <c r="AH20" s="102" t="str">
        <f>IF('HINDI-SKT'!F20="","",'HINDI-SKT'!F20)</f>
        <v/>
      </c>
      <c r="AI20" s="103" t="str">
        <f t="shared" si="16"/>
        <v/>
      </c>
      <c r="AJ20" s="102" t="str">
        <f>IF('HINDI-SKT'!G20="","",'HINDI-SKT'!G20)</f>
        <v/>
      </c>
      <c r="AK20" s="103" t="str">
        <f t="shared" si="17"/>
        <v/>
      </c>
      <c r="AL20" s="102" t="str">
        <f>IF('HINDI-SKT'!H20="","",'HINDI-SKT'!H20)</f>
        <v/>
      </c>
      <c r="AM20" s="102" t="str">
        <f t="shared" si="18"/>
        <v/>
      </c>
      <c r="AN20" s="103" t="str">
        <f>IFERROR(LARGE((AI20,AK20,AM20),1),"")</f>
        <v/>
      </c>
      <c r="AO20" s="103" t="str">
        <f>IFERROR(LARGE((AI20,AK20,AM20),2),"")</f>
        <v/>
      </c>
      <c r="AP20" s="102" t="str">
        <f t="shared" si="19"/>
        <v/>
      </c>
      <c r="AQ20" s="103" t="str">
        <f>IF('HINDI-SKT'!I20="","",'HINDI-SKT'!I20)</f>
        <v/>
      </c>
      <c r="AR20" s="102" t="str">
        <f>IF('HINDI-SKT'!J20="","",'HINDI-SKT'!J20)</f>
        <v/>
      </c>
      <c r="AS20" s="102" t="str">
        <f>IF('HINDI-SKT'!K20="","",'HINDI-SKT'!K20)</f>
        <v/>
      </c>
      <c r="AT20" s="102" t="str">
        <f t="shared" si="56"/>
        <v/>
      </c>
      <c r="AU20" s="102" t="str">
        <f>IF('HINDI-SKT'!L20="","",'HINDI-SKT'!L20)</f>
        <v/>
      </c>
      <c r="AV20" s="103" t="str">
        <f t="shared" si="57"/>
        <v/>
      </c>
      <c r="AW20" s="102" t="str">
        <f t="shared" si="58"/>
        <v/>
      </c>
      <c r="AX20" s="102" t="str">
        <f t="shared" si="59"/>
        <v/>
      </c>
      <c r="AY20" s="102" t="str">
        <f>IF('HINDI-SKT'!P20="","",'HINDI-SKT'!P20)</f>
        <v/>
      </c>
      <c r="AZ20" s="102" t="str">
        <f t="shared" si="60"/>
        <v/>
      </c>
      <c r="BA20" s="102" t="str">
        <f t="shared" si="61"/>
        <v/>
      </c>
      <c r="BB20" s="102" t="str">
        <f t="shared" si="62"/>
        <v/>
      </c>
      <c r="BC20" s="99" t="str">
        <f>IF(MATHS!E20="","",MATHS!E20)</f>
        <v/>
      </c>
      <c r="BD20" s="100" t="str">
        <f t="shared" si="22"/>
        <v/>
      </c>
      <c r="BE20" s="99" t="str">
        <f>IF(MATHS!F20="","",MATHS!F20)</f>
        <v/>
      </c>
      <c r="BF20" s="100" t="str">
        <f t="shared" si="23"/>
        <v/>
      </c>
      <c r="BG20" s="99" t="str">
        <f>IF(MATHS!G20="","",MATHS!G20)</f>
        <v/>
      </c>
      <c r="BH20" s="99" t="str">
        <f t="shared" si="24"/>
        <v/>
      </c>
      <c r="BI20" s="100" t="str">
        <f>IFERROR(LARGE((BD20,BF20,BH20),1),"")</f>
        <v/>
      </c>
      <c r="BJ20" s="100" t="str">
        <f>IFERROR(LARGE((BD20,BF20,BH20),2),"")</f>
        <v/>
      </c>
      <c r="BK20" s="99" t="str">
        <f t="shared" si="25"/>
        <v/>
      </c>
      <c r="BL20" s="100" t="str">
        <f>IF(MATHS!H20="","",MATHS!H20)</f>
        <v/>
      </c>
      <c r="BM20" s="99" t="str">
        <f>IF(MATHS!I20="","",MATHS!I20)</f>
        <v/>
      </c>
      <c r="BN20" s="99" t="str">
        <f>IF(MATHS!J20="","",MATHS!J20)</f>
        <v/>
      </c>
      <c r="BO20" s="99" t="str">
        <f t="shared" si="63"/>
        <v/>
      </c>
      <c r="BP20" s="99" t="str">
        <f>IF(MATHS!K20="","",MATHS!K20)</f>
        <v/>
      </c>
      <c r="BQ20" s="100" t="str">
        <f t="shared" si="26"/>
        <v/>
      </c>
      <c r="BR20" s="99" t="str">
        <f t="shared" si="64"/>
        <v/>
      </c>
      <c r="BS20" s="99" t="str">
        <f t="shared" si="27"/>
        <v/>
      </c>
      <c r="BT20" s="99" t="str">
        <f>IF(MATHS!O20="","",MATHS!O20)</f>
        <v/>
      </c>
      <c r="BU20" s="99" t="str">
        <f t="shared" si="65"/>
        <v/>
      </c>
      <c r="BV20" s="99" t="str">
        <f t="shared" si="66"/>
        <v/>
      </c>
      <c r="BW20" s="102" t="str">
        <f t="shared" si="67"/>
        <v/>
      </c>
      <c r="BX20" s="102" t="str">
        <f>IF(SCIENCE!E20="","",SCIENCE!E20)</f>
        <v/>
      </c>
      <c r="BY20" s="103" t="str">
        <f t="shared" si="28"/>
        <v/>
      </c>
      <c r="BZ20" s="102" t="str">
        <f>IF(SCIENCE!F20="","",SCIENCE!F20)</f>
        <v/>
      </c>
      <c r="CA20" s="103" t="str">
        <f t="shared" si="29"/>
        <v/>
      </c>
      <c r="CB20" s="102" t="str">
        <f>IF(SCIENCE!G20="","",SCIENCE!G20)</f>
        <v/>
      </c>
      <c r="CC20" s="102" t="str">
        <f t="shared" si="30"/>
        <v/>
      </c>
      <c r="CD20" s="103" t="str">
        <f>IFERROR(LARGE((BY20,CA20,CC20),1),"")</f>
        <v/>
      </c>
      <c r="CE20" s="103" t="str">
        <f>IFERROR(LARGE((BY20,CA20,CC20),2),"")</f>
        <v/>
      </c>
      <c r="CF20" s="102" t="str">
        <f t="shared" si="31"/>
        <v/>
      </c>
      <c r="CG20" s="103" t="str">
        <f>IF(SCIENCE!H20="","",SCIENCE!H20)</f>
        <v/>
      </c>
      <c r="CH20" s="103" t="str">
        <f>IF(SCIENCE!I20="","",SCIENCE!I20)</f>
        <v/>
      </c>
      <c r="CI20" s="103" t="str">
        <f>IF(SCIENCE!J20="","",SCIENCE!J20)</f>
        <v/>
      </c>
      <c r="CJ20" s="103" t="str">
        <f t="shared" si="68"/>
        <v/>
      </c>
      <c r="CK20" s="103" t="str">
        <f>IF(SCIENCE!K20="","",SCIENCE!K20)</f>
        <v/>
      </c>
      <c r="CL20" s="103" t="str">
        <f t="shared" si="32"/>
        <v/>
      </c>
      <c r="CM20" s="102" t="str">
        <f t="shared" si="69"/>
        <v/>
      </c>
      <c r="CN20" s="102" t="str">
        <f t="shared" si="33"/>
        <v/>
      </c>
      <c r="CO20" s="102" t="str">
        <f>IF(SCIENCE!O20="","",SCIENCE!O20)</f>
        <v/>
      </c>
      <c r="CP20" s="102" t="str">
        <f t="shared" si="70"/>
        <v/>
      </c>
      <c r="CQ20" s="102" t="str">
        <f t="shared" si="71"/>
        <v/>
      </c>
      <c r="CR20" s="102" t="str">
        <f t="shared" si="72"/>
        <v/>
      </c>
      <c r="CS20" s="99" t="str">
        <f>IF(SST!E20="","",SST!E20)</f>
        <v/>
      </c>
      <c r="CT20" s="100" t="str">
        <f t="shared" si="34"/>
        <v/>
      </c>
      <c r="CU20" s="99" t="str">
        <f>IF(SST!F20="","",SST!F20)</f>
        <v/>
      </c>
      <c r="CV20" s="100" t="str">
        <f t="shared" si="35"/>
        <v/>
      </c>
      <c r="CW20" s="99" t="str">
        <f>IF(SST!G20="","",SST!G20)</f>
        <v/>
      </c>
      <c r="CX20" s="99" t="str">
        <f t="shared" si="36"/>
        <v/>
      </c>
      <c r="CY20" s="100" t="str">
        <f>IFERROR(LARGE((CT20,CV20,CX20),1),"")</f>
        <v/>
      </c>
      <c r="CZ20" s="100" t="str">
        <f>IFERROR(LARGE((CT20,CV20,CX20),2),"")</f>
        <v/>
      </c>
      <c r="DA20" s="99" t="str">
        <f t="shared" si="37"/>
        <v/>
      </c>
      <c r="DB20" s="100" t="str">
        <f>IF(SST!H20="","",SST!H20)</f>
        <v/>
      </c>
      <c r="DC20" s="100" t="str">
        <f>IF(SST!I20="","",SST!I20)</f>
        <v/>
      </c>
      <c r="DD20" s="100" t="str">
        <f>IF(SST!J20="","",SST!J20)</f>
        <v/>
      </c>
      <c r="DE20" s="100" t="str">
        <f t="shared" si="73"/>
        <v/>
      </c>
      <c r="DF20" s="100" t="str">
        <f>IF(SST!K20="","",SST!K20)</f>
        <v/>
      </c>
      <c r="DG20" s="100" t="str">
        <f t="shared" si="74"/>
        <v/>
      </c>
      <c r="DH20" s="99" t="str">
        <f t="shared" si="75"/>
        <v/>
      </c>
      <c r="DI20" s="99" t="str">
        <f t="shared" si="38"/>
        <v/>
      </c>
      <c r="DJ20" s="99" t="str">
        <f>IF(SST!O20="","",SST!O20)</f>
        <v/>
      </c>
      <c r="DK20" s="99" t="str">
        <f t="shared" si="76"/>
        <v/>
      </c>
      <c r="DL20" s="99" t="str">
        <f t="shared" si="77"/>
        <v/>
      </c>
      <c r="DM20" s="99" t="str">
        <f t="shared" si="78"/>
        <v/>
      </c>
      <c r="DN20" s="99"/>
      <c r="DO20" s="102" t="str">
        <f>IF(C20="","",IF(VLOOKUP(C20,VOCATIONAL!$D$7:$E$51,2,0)="","",VLOOKUP(C20,VOCATIONAL!$D$7:$E$51,2,0)))</f>
        <v/>
      </c>
      <c r="DP20" s="102" t="str">
        <f>IF(VOCATIONAL!F20="","",VOCATIONAL!F20)</f>
        <v/>
      </c>
      <c r="DQ20" s="102" t="str">
        <f>IF(VOCATIONAL!G20="","",VOCATIONAL!G20)</f>
        <v/>
      </c>
      <c r="DR20" s="102" t="str">
        <f t="shared" si="79"/>
        <v/>
      </c>
      <c r="DS20" s="102" t="str">
        <f t="shared" si="80"/>
        <v/>
      </c>
      <c r="DT20" s="102" t="str">
        <f>IF(VOCATIONAL!K20="","",VOCATIONAL!K20)</f>
        <v/>
      </c>
      <c r="DU20" s="102" t="str">
        <f t="shared" si="81"/>
        <v/>
      </c>
      <c r="DV20" s="102" t="str">
        <f t="shared" si="82"/>
        <v/>
      </c>
      <c r="DW20" s="99"/>
      <c r="DX20" s="104" t="str">
        <f t="shared" si="83"/>
        <v/>
      </c>
      <c r="DY20" s="104" t="str">
        <f t="shared" si="84"/>
        <v/>
      </c>
      <c r="DZ20" s="104" t="str">
        <f t="shared" si="85"/>
        <v/>
      </c>
      <c r="EA20" s="104" t="str">
        <f t="shared" si="86"/>
        <v/>
      </c>
      <c r="EB20" s="104" t="str">
        <f t="shared" si="87"/>
        <v/>
      </c>
      <c r="EC20" s="104" t="str">
        <f t="shared" si="88"/>
        <v/>
      </c>
      <c r="ED20" s="104" t="str">
        <f t="shared" si="89"/>
        <v/>
      </c>
      <c r="EE20" s="104" t="str">
        <f t="shared" si="90"/>
        <v/>
      </c>
      <c r="EF20" s="104" t="str">
        <f t="shared" si="91"/>
        <v/>
      </c>
      <c r="EG20" s="104" t="str">
        <f t="shared" si="92"/>
        <v/>
      </c>
      <c r="EH20" s="104" t="str">
        <f t="shared" si="93"/>
        <v/>
      </c>
      <c r="EI20" s="104" t="str">
        <f t="shared" si="94"/>
        <v/>
      </c>
      <c r="EJ20" s="105" t="str">
        <f t="shared" si="95"/>
        <v/>
      </c>
      <c r="EK20" s="105" t="str">
        <f t="shared" si="96"/>
        <v/>
      </c>
      <c r="EL20" s="105" t="str">
        <f t="shared" si="97"/>
        <v/>
      </c>
      <c r="EM20" s="105" t="str">
        <f t="shared" si="98"/>
        <v/>
      </c>
      <c r="EN20" s="105" t="str">
        <f t="shared" si="99"/>
        <v/>
      </c>
      <c r="EO20" s="363" t="str">
        <f t="shared" si="100"/>
        <v/>
      </c>
      <c r="EP20" s="106" t="str">
        <f t="shared" si="101"/>
        <v/>
      </c>
      <c r="EQ20" s="106" t="str">
        <f t="shared" si="102"/>
        <v/>
      </c>
      <c r="ER20" s="106" t="str">
        <f t="shared" si="103"/>
        <v/>
      </c>
      <c r="ES20" s="106" t="str">
        <f t="shared" si="104"/>
        <v/>
      </c>
      <c r="ET20" s="106" t="str">
        <f t="shared" si="105"/>
        <v/>
      </c>
      <c r="EU20" s="106" t="str">
        <f t="shared" si="106"/>
        <v/>
      </c>
      <c r="EV20" s="92" t="str">
        <f t="shared" si="107"/>
        <v/>
      </c>
      <c r="EW20" s="92" t="str">
        <f t="shared" si="108"/>
        <v/>
      </c>
      <c r="EX20" s="92" t="str">
        <f t="shared" si="109"/>
        <v/>
      </c>
      <c r="EY20" s="92" t="str">
        <f t="shared" si="110"/>
        <v/>
      </c>
      <c r="EZ20" s="92" t="str">
        <f t="shared" si="111"/>
        <v/>
      </c>
      <c r="FA20" s="92" t="str">
        <f t="shared" si="112"/>
        <v/>
      </c>
      <c r="FB20" s="93" t="str">
        <f t="shared" si="113"/>
        <v/>
      </c>
      <c r="FC20" s="93" t="str">
        <f t="shared" si="114"/>
        <v/>
      </c>
      <c r="FD20" s="93" t="str">
        <f t="shared" si="115"/>
        <v/>
      </c>
      <c r="FE20" s="93" t="str">
        <f t="shared" si="116"/>
        <v/>
      </c>
      <c r="FF20" s="93" t="str">
        <f t="shared" si="117"/>
        <v/>
      </c>
      <c r="FG20" s="93" t="str">
        <f t="shared" si="118"/>
        <v/>
      </c>
      <c r="FH20" s="107" t="str">
        <f t="shared" si="119"/>
        <v/>
      </c>
      <c r="FI20" s="107" t="str">
        <f t="shared" si="120"/>
        <v/>
      </c>
      <c r="FJ20" s="256" t="str">
        <f t="shared" si="121"/>
        <v/>
      </c>
      <c r="FK20" s="256" t="str">
        <f t="shared" si="122"/>
        <v/>
      </c>
      <c r="FL20" s="256" t="str">
        <f t="shared" si="123"/>
        <v/>
      </c>
      <c r="FM20" s="256" t="str">
        <f t="shared" si="124"/>
        <v/>
      </c>
      <c r="FN20" s="256" t="str">
        <f>IF(OR(C20="TC",C20=""),"",IF(OR(FJ20="PASS",FJ20="FAIL"),IF(EC20="",SUM(FB20:FF20),SUM(LARGE(FB20:FG20,{1,2,3,4,5}))),""))</f>
        <v/>
      </c>
      <c r="FO20" s="256" t="str">
        <f>IF(AND(FN20="",FK20="PASSED AFTER COMPARTMENT"),IF(EC20="",SUM(FB20:FF20),SUM(LARGE(FB20:FG20,{1,2,3,4,5}))),FN20)</f>
        <v/>
      </c>
      <c r="FP20" s="256" t="str">
        <f t="shared" si="125"/>
        <v/>
      </c>
      <c r="FQ20" s="256" t="str">
        <f t="shared" si="126"/>
        <v/>
      </c>
      <c r="FR20" s="256" t="str">
        <f t="shared" si="127"/>
        <v/>
      </c>
      <c r="FS20" s="256" t="str">
        <f t="shared" si="128"/>
        <v/>
      </c>
      <c r="FT20" s="108" t="str">
        <f t="shared" si="129"/>
        <v/>
      </c>
      <c r="FU20" s="256" t="str">
        <f t="shared" si="130"/>
        <v/>
      </c>
      <c r="FV20" s="109" t="str">
        <f>IF(ATTENDANCE!Q21="","",ATTENDANCE!Q21)</f>
        <v/>
      </c>
      <c r="FW20" s="110" t="str">
        <f t="shared" si="131"/>
        <v/>
      </c>
      <c r="FX20" s="110" t="str">
        <f t="shared" si="132"/>
        <v/>
      </c>
      <c r="FY20" s="365" t="str">
        <f t="shared" si="133"/>
        <v/>
      </c>
      <c r="FZ20" s="108" t="str">
        <f t="shared" si="134"/>
        <v/>
      </c>
      <c r="GA20" s="256" t="str">
        <f>IF(ATTENDANCE!Q21="","",ATTENDANCE!Q21)</f>
        <v/>
      </c>
      <c r="GB20" s="108" t="str">
        <f>IF(ATTENDANCE!Q21="","",ATTENDANCE!$Q21)</f>
        <v/>
      </c>
      <c r="GC20" s="108" t="s">
        <v>231</v>
      </c>
      <c r="GD20" s="60"/>
    </row>
    <row r="21" spans="1:186" ht="15" customHeight="1" x14ac:dyDescent="0.25">
      <c r="A21" s="60"/>
      <c r="B21" s="96">
        <f>IF(DATA!B19="","",DATA!B19)</f>
        <v>15</v>
      </c>
      <c r="C21" s="96" t="str">
        <f>IF(DATA!C19="","",DATA!C19)</f>
        <v/>
      </c>
      <c r="D21" s="96" t="str">
        <f>IF(DATA!D19="","",DATA!D19)</f>
        <v/>
      </c>
      <c r="E21" s="303" t="str">
        <f>IF(DATA!E19="","",DATA!E19)</f>
        <v/>
      </c>
      <c r="F21" s="303" t="str">
        <f>IF(DATA!F19="","",DATA!F19)</f>
        <v/>
      </c>
      <c r="G21" s="303" t="str">
        <f>IF(DATA!G19="","",DATA!G19)</f>
        <v/>
      </c>
      <c r="H21" s="98" t="str">
        <f>IF(DATA!H19="","",DATA!H19)</f>
        <v/>
      </c>
      <c r="I21" s="97" t="str">
        <f>IF(DATA!I19="","",DATA!I19)</f>
        <v/>
      </c>
      <c r="J21" s="97" t="str">
        <f>IF(DATA!J19="","",DATA!J19)</f>
        <v/>
      </c>
      <c r="K21" s="97" t="str">
        <f>IF(DATA!K19="","",DATA!K19)</f>
        <v/>
      </c>
      <c r="L21" s="99" t="str">
        <f>IF(ENGLISH!E21="","",ENGLISH!E21)</f>
        <v/>
      </c>
      <c r="M21" s="100" t="str">
        <f t="shared" si="46"/>
        <v/>
      </c>
      <c r="N21" s="99" t="str">
        <f>IF(ENGLISH!F21="","",ENGLISH!F21)</f>
        <v/>
      </c>
      <c r="O21" s="100" t="str">
        <f t="shared" si="47"/>
        <v/>
      </c>
      <c r="P21" s="99" t="str">
        <f>IF(ENGLISH!G21="","",ENGLISH!G21)</f>
        <v/>
      </c>
      <c r="Q21" s="99" t="str">
        <f t="shared" si="48"/>
        <v/>
      </c>
      <c r="R21" s="100" t="str">
        <f>IFERROR(LARGE((M21,O21,Q21),1),"")</f>
        <v/>
      </c>
      <c r="S21" s="100" t="str">
        <f>IFERROR(LARGE((M21,O21,Q21),2),"")</f>
        <v/>
      </c>
      <c r="T21" s="99" t="str">
        <f t="shared" si="49"/>
        <v/>
      </c>
      <c r="U21" s="100" t="str">
        <f>IF(ENGLISH!H21="","",ENGLISH!H21)</f>
        <v/>
      </c>
      <c r="V21" s="99" t="str">
        <f>IF(ENGLISH!I21="","",ENGLISH!I21)</f>
        <v/>
      </c>
      <c r="W21" s="99" t="str">
        <f>IF(ENGLISH!J21="","",ENGLISH!J21)</f>
        <v/>
      </c>
      <c r="X21" s="99" t="str">
        <f t="shared" si="50"/>
        <v/>
      </c>
      <c r="Y21" s="100" t="str">
        <f>IF(ENGLISH!K21="","",ENGLISH!K21)</f>
        <v/>
      </c>
      <c r="Z21" s="100" t="str">
        <f t="shared" si="51"/>
        <v/>
      </c>
      <c r="AA21" s="101" t="str">
        <f t="shared" si="52"/>
        <v/>
      </c>
      <c r="AB21" s="99" t="str">
        <f t="shared" si="15"/>
        <v/>
      </c>
      <c r="AC21" s="99" t="str">
        <f>IF(ENGLISH!O21="","",ENGLISH!O21)</f>
        <v/>
      </c>
      <c r="AD21" s="99" t="str">
        <f t="shared" si="53"/>
        <v/>
      </c>
      <c r="AE21" s="99" t="str">
        <f t="shared" si="54"/>
        <v/>
      </c>
      <c r="AF21" s="99" t="str">
        <f t="shared" si="55"/>
        <v/>
      </c>
      <c r="AG21" s="102" t="str">
        <f>IF(C21="","",VLOOKUP(C21,'HINDI-SKT'!$D$7:$E$51,2,0))</f>
        <v/>
      </c>
      <c r="AH21" s="102" t="str">
        <f>IF('HINDI-SKT'!F21="","",'HINDI-SKT'!F21)</f>
        <v/>
      </c>
      <c r="AI21" s="103" t="str">
        <f t="shared" si="16"/>
        <v/>
      </c>
      <c r="AJ21" s="102" t="str">
        <f>IF('HINDI-SKT'!G21="","",'HINDI-SKT'!G21)</f>
        <v/>
      </c>
      <c r="AK21" s="103" t="str">
        <f t="shared" si="17"/>
        <v/>
      </c>
      <c r="AL21" s="102" t="str">
        <f>IF('HINDI-SKT'!H21="","",'HINDI-SKT'!H21)</f>
        <v/>
      </c>
      <c r="AM21" s="102" t="str">
        <f t="shared" si="18"/>
        <v/>
      </c>
      <c r="AN21" s="103" t="str">
        <f>IFERROR(LARGE((AI21,AK21,AM21),1),"")</f>
        <v/>
      </c>
      <c r="AO21" s="103" t="str">
        <f>IFERROR(LARGE((AI21,AK21,AM21),2),"")</f>
        <v/>
      </c>
      <c r="AP21" s="102" t="str">
        <f t="shared" si="19"/>
        <v/>
      </c>
      <c r="AQ21" s="103" t="str">
        <f>IF('HINDI-SKT'!I21="","",'HINDI-SKT'!I21)</f>
        <v/>
      </c>
      <c r="AR21" s="102" t="str">
        <f>IF('HINDI-SKT'!J21="","",'HINDI-SKT'!J21)</f>
        <v/>
      </c>
      <c r="AS21" s="102" t="str">
        <f>IF('HINDI-SKT'!K21="","",'HINDI-SKT'!K21)</f>
        <v/>
      </c>
      <c r="AT21" s="102" t="str">
        <f t="shared" si="56"/>
        <v/>
      </c>
      <c r="AU21" s="102" t="str">
        <f>IF('HINDI-SKT'!L21="","",'HINDI-SKT'!L21)</f>
        <v/>
      </c>
      <c r="AV21" s="103" t="str">
        <f t="shared" si="57"/>
        <v/>
      </c>
      <c r="AW21" s="102" t="str">
        <f t="shared" si="58"/>
        <v/>
      </c>
      <c r="AX21" s="102" t="str">
        <f t="shared" si="59"/>
        <v/>
      </c>
      <c r="AY21" s="102" t="str">
        <f>IF('HINDI-SKT'!P21="","",'HINDI-SKT'!P21)</f>
        <v/>
      </c>
      <c r="AZ21" s="102" t="str">
        <f t="shared" si="60"/>
        <v/>
      </c>
      <c r="BA21" s="102" t="str">
        <f t="shared" si="61"/>
        <v/>
      </c>
      <c r="BB21" s="102" t="str">
        <f t="shared" si="62"/>
        <v/>
      </c>
      <c r="BC21" s="99" t="str">
        <f>IF(MATHS!E21="","",MATHS!E21)</f>
        <v/>
      </c>
      <c r="BD21" s="100" t="str">
        <f t="shared" si="22"/>
        <v/>
      </c>
      <c r="BE21" s="99" t="str">
        <f>IF(MATHS!F21="","",MATHS!F21)</f>
        <v/>
      </c>
      <c r="BF21" s="100" t="str">
        <f t="shared" si="23"/>
        <v/>
      </c>
      <c r="BG21" s="99" t="str">
        <f>IF(MATHS!G21="","",MATHS!G21)</f>
        <v/>
      </c>
      <c r="BH21" s="99" t="str">
        <f t="shared" si="24"/>
        <v/>
      </c>
      <c r="BI21" s="100" t="str">
        <f>IFERROR(LARGE((BD21,BF21,BH21),1),"")</f>
        <v/>
      </c>
      <c r="BJ21" s="100" t="str">
        <f>IFERROR(LARGE((BD21,BF21,BH21),2),"")</f>
        <v/>
      </c>
      <c r="BK21" s="99" t="str">
        <f t="shared" si="25"/>
        <v/>
      </c>
      <c r="BL21" s="100" t="str">
        <f>IF(MATHS!H21="","",MATHS!H21)</f>
        <v/>
      </c>
      <c r="BM21" s="99" t="str">
        <f>IF(MATHS!I21="","",MATHS!I21)</f>
        <v/>
      </c>
      <c r="BN21" s="99" t="str">
        <f>IF(MATHS!J21="","",MATHS!J21)</f>
        <v/>
      </c>
      <c r="BO21" s="99" t="str">
        <f t="shared" si="63"/>
        <v/>
      </c>
      <c r="BP21" s="99" t="str">
        <f>IF(MATHS!K21="","",MATHS!K21)</f>
        <v/>
      </c>
      <c r="BQ21" s="100" t="str">
        <f t="shared" si="26"/>
        <v/>
      </c>
      <c r="BR21" s="99" t="str">
        <f t="shared" si="64"/>
        <v/>
      </c>
      <c r="BS21" s="99" t="str">
        <f t="shared" si="27"/>
        <v/>
      </c>
      <c r="BT21" s="99" t="str">
        <f>IF(MATHS!O21="","",MATHS!O21)</f>
        <v/>
      </c>
      <c r="BU21" s="99" t="str">
        <f t="shared" si="65"/>
        <v/>
      </c>
      <c r="BV21" s="99" t="str">
        <f t="shared" si="66"/>
        <v/>
      </c>
      <c r="BW21" s="102" t="str">
        <f t="shared" si="67"/>
        <v/>
      </c>
      <c r="BX21" s="102" t="str">
        <f>IF(SCIENCE!E21="","",SCIENCE!E21)</f>
        <v/>
      </c>
      <c r="BY21" s="103" t="str">
        <f t="shared" si="28"/>
        <v/>
      </c>
      <c r="BZ21" s="102" t="str">
        <f>IF(SCIENCE!F21="","",SCIENCE!F21)</f>
        <v/>
      </c>
      <c r="CA21" s="103" t="str">
        <f t="shared" si="29"/>
        <v/>
      </c>
      <c r="CB21" s="102" t="str">
        <f>IF(SCIENCE!G21="","",SCIENCE!G21)</f>
        <v/>
      </c>
      <c r="CC21" s="102" t="str">
        <f t="shared" si="30"/>
        <v/>
      </c>
      <c r="CD21" s="103" t="str">
        <f>IFERROR(LARGE((BY21,CA21,CC21),1),"")</f>
        <v/>
      </c>
      <c r="CE21" s="103" t="str">
        <f>IFERROR(LARGE((BY21,CA21,CC21),2),"")</f>
        <v/>
      </c>
      <c r="CF21" s="102" t="str">
        <f t="shared" si="31"/>
        <v/>
      </c>
      <c r="CG21" s="103" t="str">
        <f>IF(SCIENCE!H21="","",SCIENCE!H21)</f>
        <v/>
      </c>
      <c r="CH21" s="103" t="str">
        <f>IF(SCIENCE!I21="","",SCIENCE!I21)</f>
        <v/>
      </c>
      <c r="CI21" s="103" t="str">
        <f>IF(SCIENCE!J21="","",SCIENCE!J21)</f>
        <v/>
      </c>
      <c r="CJ21" s="103" t="str">
        <f t="shared" si="68"/>
        <v/>
      </c>
      <c r="CK21" s="103" t="str">
        <f>IF(SCIENCE!K21="","",SCIENCE!K21)</f>
        <v/>
      </c>
      <c r="CL21" s="103" t="str">
        <f t="shared" si="32"/>
        <v/>
      </c>
      <c r="CM21" s="102" t="str">
        <f t="shared" si="69"/>
        <v/>
      </c>
      <c r="CN21" s="102" t="str">
        <f t="shared" si="33"/>
        <v/>
      </c>
      <c r="CO21" s="102" t="str">
        <f>IF(SCIENCE!O21="","",SCIENCE!O21)</f>
        <v/>
      </c>
      <c r="CP21" s="102" t="str">
        <f t="shared" si="70"/>
        <v/>
      </c>
      <c r="CQ21" s="102" t="str">
        <f t="shared" si="71"/>
        <v/>
      </c>
      <c r="CR21" s="102" t="str">
        <f t="shared" si="72"/>
        <v/>
      </c>
      <c r="CS21" s="99" t="str">
        <f>IF(SST!E21="","",SST!E21)</f>
        <v/>
      </c>
      <c r="CT21" s="100" t="str">
        <f t="shared" si="34"/>
        <v/>
      </c>
      <c r="CU21" s="99" t="str">
        <f>IF(SST!F21="","",SST!F21)</f>
        <v/>
      </c>
      <c r="CV21" s="100" t="str">
        <f t="shared" si="35"/>
        <v/>
      </c>
      <c r="CW21" s="99" t="str">
        <f>IF(SST!G21="","",SST!G21)</f>
        <v/>
      </c>
      <c r="CX21" s="99" t="str">
        <f t="shared" si="36"/>
        <v/>
      </c>
      <c r="CY21" s="100" t="str">
        <f>IFERROR(LARGE((CT21,CV21,CX21),1),"")</f>
        <v/>
      </c>
      <c r="CZ21" s="100" t="str">
        <f>IFERROR(LARGE((CT21,CV21,CX21),2),"")</f>
        <v/>
      </c>
      <c r="DA21" s="99" t="str">
        <f t="shared" si="37"/>
        <v/>
      </c>
      <c r="DB21" s="100" t="str">
        <f>IF(SST!H21="","",SST!H21)</f>
        <v/>
      </c>
      <c r="DC21" s="100" t="str">
        <f>IF(SST!I21="","",SST!I21)</f>
        <v/>
      </c>
      <c r="DD21" s="100" t="str">
        <f>IF(SST!J21="","",SST!J21)</f>
        <v/>
      </c>
      <c r="DE21" s="100" t="str">
        <f t="shared" si="73"/>
        <v/>
      </c>
      <c r="DF21" s="100" t="str">
        <f>IF(SST!K21="","",SST!K21)</f>
        <v/>
      </c>
      <c r="DG21" s="100" t="str">
        <f t="shared" si="74"/>
        <v/>
      </c>
      <c r="DH21" s="99" t="str">
        <f t="shared" si="75"/>
        <v/>
      </c>
      <c r="DI21" s="99" t="str">
        <f t="shared" si="38"/>
        <v/>
      </c>
      <c r="DJ21" s="99" t="str">
        <f>IF(SST!O21="","",SST!O21)</f>
        <v/>
      </c>
      <c r="DK21" s="99" t="str">
        <f t="shared" si="76"/>
        <v/>
      </c>
      <c r="DL21" s="99" t="str">
        <f t="shared" si="77"/>
        <v/>
      </c>
      <c r="DM21" s="99" t="str">
        <f t="shared" si="78"/>
        <v/>
      </c>
      <c r="DN21" s="99"/>
      <c r="DO21" s="102" t="str">
        <f>IF(C21="","",IF(VLOOKUP(C21,VOCATIONAL!$D$7:$E$51,2,0)="","",VLOOKUP(C21,VOCATIONAL!$D$7:$E$51,2,0)))</f>
        <v/>
      </c>
      <c r="DP21" s="102" t="str">
        <f>IF(VOCATIONAL!F21="","",VOCATIONAL!F21)</f>
        <v/>
      </c>
      <c r="DQ21" s="102" t="str">
        <f>IF(VOCATIONAL!G21="","",VOCATIONAL!G21)</f>
        <v/>
      </c>
      <c r="DR21" s="102" t="str">
        <f t="shared" si="79"/>
        <v/>
      </c>
      <c r="DS21" s="102" t="str">
        <f t="shared" si="80"/>
        <v/>
      </c>
      <c r="DT21" s="102" t="str">
        <f>IF(VOCATIONAL!K21="","",VOCATIONAL!K21)</f>
        <v/>
      </c>
      <c r="DU21" s="102" t="str">
        <f t="shared" si="81"/>
        <v/>
      </c>
      <c r="DV21" s="102" t="str">
        <f t="shared" si="82"/>
        <v/>
      </c>
      <c r="DW21" s="99"/>
      <c r="DX21" s="104" t="str">
        <f t="shared" si="83"/>
        <v/>
      </c>
      <c r="DY21" s="104" t="str">
        <f t="shared" si="84"/>
        <v/>
      </c>
      <c r="DZ21" s="104" t="str">
        <f t="shared" si="85"/>
        <v/>
      </c>
      <c r="EA21" s="104" t="str">
        <f t="shared" si="86"/>
        <v/>
      </c>
      <c r="EB21" s="104" t="str">
        <f t="shared" si="87"/>
        <v/>
      </c>
      <c r="EC21" s="104" t="str">
        <f t="shared" si="88"/>
        <v/>
      </c>
      <c r="ED21" s="104" t="str">
        <f t="shared" si="89"/>
        <v/>
      </c>
      <c r="EE21" s="104" t="str">
        <f t="shared" si="90"/>
        <v/>
      </c>
      <c r="EF21" s="104" t="str">
        <f t="shared" si="91"/>
        <v/>
      </c>
      <c r="EG21" s="104" t="str">
        <f t="shared" si="92"/>
        <v/>
      </c>
      <c r="EH21" s="104" t="str">
        <f t="shared" si="93"/>
        <v/>
      </c>
      <c r="EI21" s="104" t="str">
        <f t="shared" si="94"/>
        <v/>
      </c>
      <c r="EJ21" s="105" t="str">
        <f t="shared" si="95"/>
        <v/>
      </c>
      <c r="EK21" s="105" t="str">
        <f t="shared" si="96"/>
        <v/>
      </c>
      <c r="EL21" s="105" t="str">
        <f t="shared" si="97"/>
        <v/>
      </c>
      <c r="EM21" s="105" t="str">
        <f t="shared" si="98"/>
        <v/>
      </c>
      <c r="EN21" s="105" t="str">
        <f t="shared" si="99"/>
        <v/>
      </c>
      <c r="EO21" s="363" t="str">
        <f t="shared" si="100"/>
        <v/>
      </c>
      <c r="EP21" s="106" t="str">
        <f t="shared" si="101"/>
        <v/>
      </c>
      <c r="EQ21" s="106" t="str">
        <f t="shared" si="102"/>
        <v/>
      </c>
      <c r="ER21" s="106" t="str">
        <f t="shared" si="103"/>
        <v/>
      </c>
      <c r="ES21" s="106" t="str">
        <f t="shared" si="104"/>
        <v/>
      </c>
      <c r="ET21" s="106" t="str">
        <f t="shared" si="105"/>
        <v/>
      </c>
      <c r="EU21" s="106" t="str">
        <f t="shared" si="106"/>
        <v/>
      </c>
      <c r="EV21" s="92" t="str">
        <f t="shared" si="107"/>
        <v/>
      </c>
      <c r="EW21" s="92" t="str">
        <f t="shared" si="108"/>
        <v/>
      </c>
      <c r="EX21" s="92" t="str">
        <f t="shared" si="109"/>
        <v/>
      </c>
      <c r="EY21" s="92" t="str">
        <f t="shared" si="110"/>
        <v/>
      </c>
      <c r="EZ21" s="92" t="str">
        <f t="shared" si="111"/>
        <v/>
      </c>
      <c r="FA21" s="92" t="str">
        <f t="shared" si="112"/>
        <v/>
      </c>
      <c r="FB21" s="93" t="str">
        <f t="shared" si="113"/>
        <v/>
      </c>
      <c r="FC21" s="93" t="str">
        <f t="shared" si="114"/>
        <v/>
      </c>
      <c r="FD21" s="93" t="str">
        <f t="shared" si="115"/>
        <v/>
      </c>
      <c r="FE21" s="93" t="str">
        <f t="shared" si="116"/>
        <v/>
      </c>
      <c r="FF21" s="93" t="str">
        <f t="shared" si="117"/>
        <v/>
      </c>
      <c r="FG21" s="93" t="str">
        <f t="shared" si="118"/>
        <v/>
      </c>
      <c r="FH21" s="107" t="str">
        <f t="shared" si="119"/>
        <v/>
      </c>
      <c r="FI21" s="107" t="str">
        <f t="shared" si="120"/>
        <v/>
      </c>
      <c r="FJ21" s="256" t="str">
        <f t="shared" si="121"/>
        <v/>
      </c>
      <c r="FK21" s="256" t="str">
        <f t="shared" si="122"/>
        <v/>
      </c>
      <c r="FL21" s="256" t="str">
        <f t="shared" si="123"/>
        <v/>
      </c>
      <c r="FM21" s="256" t="str">
        <f t="shared" si="124"/>
        <v/>
      </c>
      <c r="FN21" s="256" t="str">
        <f>IF(OR(C21="TC",C21=""),"",IF(OR(FJ21="PASS",FJ21="FAIL"),IF(EC21="",SUM(FB21:FF21),SUM(LARGE(FB21:FG21,{1,2,3,4,5}))),""))</f>
        <v/>
      </c>
      <c r="FO21" s="256" t="str">
        <f>IF(AND(FN21="",FK21="PASSED AFTER COMPARTMENT"),IF(EC21="",SUM(FB21:FF21),SUM(LARGE(FB21:FG21,{1,2,3,4,5}))),FN21)</f>
        <v/>
      </c>
      <c r="FP21" s="256" t="str">
        <f t="shared" si="125"/>
        <v/>
      </c>
      <c r="FQ21" s="256" t="str">
        <f t="shared" si="126"/>
        <v/>
      </c>
      <c r="FR21" s="256" t="str">
        <f t="shared" si="127"/>
        <v/>
      </c>
      <c r="FS21" s="256" t="str">
        <f t="shared" si="128"/>
        <v/>
      </c>
      <c r="FT21" s="108" t="str">
        <f t="shared" si="129"/>
        <v/>
      </c>
      <c r="FU21" s="256" t="str">
        <f t="shared" si="130"/>
        <v/>
      </c>
      <c r="FV21" s="109" t="str">
        <f>IF(ATTENDANCE!Q22="","",ATTENDANCE!Q22)</f>
        <v/>
      </c>
      <c r="FW21" s="110" t="str">
        <f t="shared" si="131"/>
        <v/>
      </c>
      <c r="FX21" s="110" t="str">
        <f t="shared" si="132"/>
        <v/>
      </c>
      <c r="FY21" s="365" t="str">
        <f t="shared" si="133"/>
        <v/>
      </c>
      <c r="FZ21" s="108" t="str">
        <f t="shared" si="134"/>
        <v/>
      </c>
      <c r="GA21" s="256" t="str">
        <f>IF(ATTENDANCE!Q22="","",ATTENDANCE!Q22)</f>
        <v/>
      </c>
      <c r="GB21" s="108" t="str">
        <f>IF(ATTENDANCE!Q22="","",ATTENDANCE!$Q22)</f>
        <v/>
      </c>
      <c r="GC21" s="108" t="s">
        <v>230</v>
      </c>
      <c r="GD21" s="60"/>
    </row>
    <row r="22" spans="1:186" ht="15" customHeight="1" x14ac:dyDescent="0.25">
      <c r="A22" s="60"/>
      <c r="B22" s="96">
        <f>IF(DATA!B20="","",DATA!B20)</f>
        <v>16</v>
      </c>
      <c r="C22" s="96" t="str">
        <f>IF(DATA!C20="","",DATA!C20)</f>
        <v/>
      </c>
      <c r="D22" s="96" t="str">
        <f>IF(DATA!D20="","",DATA!D20)</f>
        <v/>
      </c>
      <c r="E22" s="303" t="str">
        <f>IF(DATA!E20="","",DATA!E20)</f>
        <v/>
      </c>
      <c r="F22" s="303" t="str">
        <f>IF(DATA!F20="","",DATA!F20)</f>
        <v/>
      </c>
      <c r="G22" s="303" t="str">
        <f>IF(DATA!G20="","",DATA!G20)</f>
        <v/>
      </c>
      <c r="H22" s="98" t="str">
        <f>IF(DATA!H20="","",DATA!H20)</f>
        <v/>
      </c>
      <c r="I22" s="97" t="str">
        <f>IF(DATA!I20="","",DATA!I20)</f>
        <v/>
      </c>
      <c r="J22" s="97" t="str">
        <f>IF(DATA!J20="","",DATA!J20)</f>
        <v/>
      </c>
      <c r="K22" s="97" t="str">
        <f>IF(DATA!K20="","",DATA!K20)</f>
        <v/>
      </c>
      <c r="L22" s="99" t="str">
        <f>IF(ENGLISH!E22="","",ENGLISH!E22)</f>
        <v/>
      </c>
      <c r="M22" s="100" t="str">
        <f t="shared" si="46"/>
        <v/>
      </c>
      <c r="N22" s="99" t="str">
        <f>IF(ENGLISH!F22="","",ENGLISH!F22)</f>
        <v/>
      </c>
      <c r="O22" s="100" t="str">
        <f t="shared" si="47"/>
        <v/>
      </c>
      <c r="P22" s="99" t="str">
        <f>IF(ENGLISH!G22="","",ENGLISH!G22)</f>
        <v/>
      </c>
      <c r="Q22" s="99" t="str">
        <f t="shared" si="48"/>
        <v/>
      </c>
      <c r="R22" s="100" t="str">
        <f>IFERROR(LARGE((M22,O22,Q22),1),"")</f>
        <v/>
      </c>
      <c r="S22" s="100" t="str">
        <f>IFERROR(LARGE((M22,O22,Q22),2),"")</f>
        <v/>
      </c>
      <c r="T22" s="99" t="str">
        <f t="shared" si="49"/>
        <v/>
      </c>
      <c r="U22" s="100" t="str">
        <f>IF(ENGLISH!H22="","",ENGLISH!H22)</f>
        <v/>
      </c>
      <c r="V22" s="99" t="str">
        <f>IF(ENGLISH!I22="","",ENGLISH!I22)</f>
        <v/>
      </c>
      <c r="W22" s="99" t="str">
        <f>IF(ENGLISH!J22="","",ENGLISH!J22)</f>
        <v/>
      </c>
      <c r="X22" s="99" t="str">
        <f t="shared" si="50"/>
        <v/>
      </c>
      <c r="Y22" s="100" t="str">
        <f>IF(ENGLISH!K22="","",ENGLISH!K22)</f>
        <v/>
      </c>
      <c r="Z22" s="100" t="str">
        <f t="shared" si="51"/>
        <v/>
      </c>
      <c r="AA22" s="101" t="str">
        <f t="shared" si="52"/>
        <v/>
      </c>
      <c r="AB22" s="99" t="str">
        <f t="shared" si="15"/>
        <v/>
      </c>
      <c r="AC22" s="99" t="str">
        <f>IF(ENGLISH!O22="","",ENGLISH!O22)</f>
        <v/>
      </c>
      <c r="AD22" s="99" t="str">
        <f t="shared" si="53"/>
        <v/>
      </c>
      <c r="AE22" s="99" t="str">
        <f t="shared" si="54"/>
        <v/>
      </c>
      <c r="AF22" s="99" t="str">
        <f t="shared" si="55"/>
        <v/>
      </c>
      <c r="AG22" s="102" t="str">
        <f>IF(C22="","",VLOOKUP(C22,'HINDI-SKT'!$D$7:$E$51,2,0))</f>
        <v/>
      </c>
      <c r="AH22" s="102" t="str">
        <f>IF('HINDI-SKT'!F22="","",'HINDI-SKT'!F22)</f>
        <v/>
      </c>
      <c r="AI22" s="103" t="str">
        <f t="shared" si="16"/>
        <v/>
      </c>
      <c r="AJ22" s="102" t="str">
        <f>IF('HINDI-SKT'!G22="","",'HINDI-SKT'!G22)</f>
        <v/>
      </c>
      <c r="AK22" s="103" t="str">
        <f t="shared" si="17"/>
        <v/>
      </c>
      <c r="AL22" s="102" t="str">
        <f>IF('HINDI-SKT'!H22="","",'HINDI-SKT'!H22)</f>
        <v/>
      </c>
      <c r="AM22" s="102" t="str">
        <f t="shared" si="18"/>
        <v/>
      </c>
      <c r="AN22" s="103" t="str">
        <f>IFERROR(LARGE((AI22,AK22,AM22),1),"")</f>
        <v/>
      </c>
      <c r="AO22" s="103" t="str">
        <f>IFERROR(LARGE((AI22,AK22,AM22),2),"")</f>
        <v/>
      </c>
      <c r="AP22" s="102" t="str">
        <f t="shared" si="19"/>
        <v/>
      </c>
      <c r="AQ22" s="103" t="str">
        <f>IF('HINDI-SKT'!I22="","",'HINDI-SKT'!I22)</f>
        <v/>
      </c>
      <c r="AR22" s="102" t="str">
        <f>IF('HINDI-SKT'!J22="","",'HINDI-SKT'!J22)</f>
        <v/>
      </c>
      <c r="AS22" s="102" t="str">
        <f>IF('HINDI-SKT'!K22="","",'HINDI-SKT'!K22)</f>
        <v/>
      </c>
      <c r="AT22" s="102" t="str">
        <f t="shared" si="56"/>
        <v/>
      </c>
      <c r="AU22" s="102" t="str">
        <f>IF('HINDI-SKT'!L22="","",'HINDI-SKT'!L22)</f>
        <v/>
      </c>
      <c r="AV22" s="103" t="str">
        <f t="shared" si="57"/>
        <v/>
      </c>
      <c r="AW22" s="102" t="str">
        <f t="shared" si="58"/>
        <v/>
      </c>
      <c r="AX22" s="102" t="str">
        <f t="shared" si="59"/>
        <v/>
      </c>
      <c r="AY22" s="102" t="str">
        <f>IF('HINDI-SKT'!P22="","",'HINDI-SKT'!P22)</f>
        <v/>
      </c>
      <c r="AZ22" s="102" t="str">
        <f t="shared" si="60"/>
        <v/>
      </c>
      <c r="BA22" s="102" t="str">
        <f t="shared" si="61"/>
        <v/>
      </c>
      <c r="BB22" s="102" t="str">
        <f t="shared" si="62"/>
        <v/>
      </c>
      <c r="BC22" s="99" t="str">
        <f>IF(MATHS!E22="","",MATHS!E22)</f>
        <v/>
      </c>
      <c r="BD22" s="100" t="str">
        <f t="shared" si="22"/>
        <v/>
      </c>
      <c r="BE22" s="99" t="str">
        <f>IF(MATHS!F22="","",MATHS!F22)</f>
        <v/>
      </c>
      <c r="BF22" s="100" t="str">
        <f t="shared" si="23"/>
        <v/>
      </c>
      <c r="BG22" s="99" t="str">
        <f>IF(MATHS!G22="","",MATHS!G22)</f>
        <v/>
      </c>
      <c r="BH22" s="99" t="str">
        <f t="shared" si="24"/>
        <v/>
      </c>
      <c r="BI22" s="100" t="str">
        <f>IFERROR(LARGE((BD22,BF22,BH22),1),"")</f>
        <v/>
      </c>
      <c r="BJ22" s="100" t="str">
        <f>IFERROR(LARGE((BD22,BF22,BH22),2),"")</f>
        <v/>
      </c>
      <c r="BK22" s="99" t="str">
        <f t="shared" si="25"/>
        <v/>
      </c>
      <c r="BL22" s="100" t="str">
        <f>IF(MATHS!H22="","",MATHS!H22)</f>
        <v/>
      </c>
      <c r="BM22" s="99" t="str">
        <f>IF(MATHS!I22="","",MATHS!I22)</f>
        <v/>
      </c>
      <c r="BN22" s="99" t="str">
        <f>IF(MATHS!J22="","",MATHS!J22)</f>
        <v/>
      </c>
      <c r="BO22" s="99" t="str">
        <f t="shared" si="63"/>
        <v/>
      </c>
      <c r="BP22" s="99" t="str">
        <f>IF(MATHS!K22="","",MATHS!K22)</f>
        <v/>
      </c>
      <c r="BQ22" s="100" t="str">
        <f t="shared" si="26"/>
        <v/>
      </c>
      <c r="BR22" s="99" t="str">
        <f t="shared" si="64"/>
        <v/>
      </c>
      <c r="BS22" s="99" t="str">
        <f t="shared" si="27"/>
        <v/>
      </c>
      <c r="BT22" s="99" t="str">
        <f>IF(MATHS!O22="","",MATHS!O22)</f>
        <v/>
      </c>
      <c r="BU22" s="99" t="str">
        <f t="shared" si="65"/>
        <v/>
      </c>
      <c r="BV22" s="99" t="str">
        <f t="shared" si="66"/>
        <v/>
      </c>
      <c r="BW22" s="102" t="str">
        <f t="shared" si="67"/>
        <v/>
      </c>
      <c r="BX22" s="102" t="str">
        <f>IF(SCIENCE!E22="","",SCIENCE!E22)</f>
        <v/>
      </c>
      <c r="BY22" s="103" t="str">
        <f t="shared" si="28"/>
        <v/>
      </c>
      <c r="BZ22" s="102" t="str">
        <f>IF(SCIENCE!F22="","",SCIENCE!F22)</f>
        <v/>
      </c>
      <c r="CA22" s="103" t="str">
        <f t="shared" si="29"/>
        <v/>
      </c>
      <c r="CB22" s="102" t="str">
        <f>IF(SCIENCE!G22="","",SCIENCE!G22)</f>
        <v/>
      </c>
      <c r="CC22" s="102" t="str">
        <f t="shared" si="30"/>
        <v/>
      </c>
      <c r="CD22" s="103" t="str">
        <f>IFERROR(LARGE((BY22,CA22,CC22),1),"")</f>
        <v/>
      </c>
      <c r="CE22" s="103" t="str">
        <f>IFERROR(LARGE((BY22,CA22,CC22),2),"")</f>
        <v/>
      </c>
      <c r="CF22" s="102" t="str">
        <f t="shared" si="31"/>
        <v/>
      </c>
      <c r="CG22" s="103" t="str">
        <f>IF(SCIENCE!H22="","",SCIENCE!H22)</f>
        <v/>
      </c>
      <c r="CH22" s="103" t="str">
        <f>IF(SCIENCE!I22="","",SCIENCE!I22)</f>
        <v/>
      </c>
      <c r="CI22" s="103" t="str">
        <f>IF(SCIENCE!J22="","",SCIENCE!J22)</f>
        <v/>
      </c>
      <c r="CJ22" s="103" t="str">
        <f t="shared" si="68"/>
        <v/>
      </c>
      <c r="CK22" s="103" t="str">
        <f>IF(SCIENCE!K22="","",SCIENCE!K22)</f>
        <v/>
      </c>
      <c r="CL22" s="103" t="str">
        <f t="shared" si="32"/>
        <v/>
      </c>
      <c r="CM22" s="102" t="str">
        <f t="shared" si="69"/>
        <v/>
      </c>
      <c r="CN22" s="102" t="str">
        <f t="shared" si="33"/>
        <v/>
      </c>
      <c r="CO22" s="102" t="str">
        <f>IF(SCIENCE!O22="","",SCIENCE!O22)</f>
        <v/>
      </c>
      <c r="CP22" s="102" t="str">
        <f t="shared" si="70"/>
        <v/>
      </c>
      <c r="CQ22" s="102" t="str">
        <f t="shared" si="71"/>
        <v/>
      </c>
      <c r="CR22" s="102" t="str">
        <f t="shared" si="72"/>
        <v/>
      </c>
      <c r="CS22" s="99" t="str">
        <f>IF(SST!E22="","",SST!E22)</f>
        <v/>
      </c>
      <c r="CT22" s="100" t="str">
        <f t="shared" si="34"/>
        <v/>
      </c>
      <c r="CU22" s="99" t="str">
        <f>IF(SST!F22="","",SST!F22)</f>
        <v/>
      </c>
      <c r="CV22" s="100" t="str">
        <f t="shared" si="35"/>
        <v/>
      </c>
      <c r="CW22" s="99" t="str">
        <f>IF(SST!G22="","",SST!G22)</f>
        <v/>
      </c>
      <c r="CX22" s="99" t="str">
        <f t="shared" si="36"/>
        <v/>
      </c>
      <c r="CY22" s="100" t="str">
        <f>IFERROR(LARGE((CT22,CV22,CX22),1),"")</f>
        <v/>
      </c>
      <c r="CZ22" s="100" t="str">
        <f>IFERROR(LARGE((CT22,CV22,CX22),2),"")</f>
        <v/>
      </c>
      <c r="DA22" s="99" t="str">
        <f t="shared" si="37"/>
        <v/>
      </c>
      <c r="DB22" s="100" t="str">
        <f>IF(SST!H22="","",SST!H22)</f>
        <v/>
      </c>
      <c r="DC22" s="100" t="str">
        <f>IF(SST!I22="","",SST!I22)</f>
        <v/>
      </c>
      <c r="DD22" s="100" t="str">
        <f>IF(SST!J22="","",SST!J22)</f>
        <v/>
      </c>
      <c r="DE22" s="100" t="str">
        <f t="shared" si="73"/>
        <v/>
      </c>
      <c r="DF22" s="100" t="str">
        <f>IF(SST!K22="","",SST!K22)</f>
        <v/>
      </c>
      <c r="DG22" s="100" t="str">
        <f t="shared" si="74"/>
        <v/>
      </c>
      <c r="DH22" s="99" t="str">
        <f t="shared" si="75"/>
        <v/>
      </c>
      <c r="DI22" s="99" t="str">
        <f t="shared" si="38"/>
        <v/>
      </c>
      <c r="DJ22" s="99" t="str">
        <f>IF(SST!O22="","",SST!O22)</f>
        <v/>
      </c>
      <c r="DK22" s="99" t="str">
        <f t="shared" si="76"/>
        <v/>
      </c>
      <c r="DL22" s="99" t="str">
        <f t="shared" si="77"/>
        <v/>
      </c>
      <c r="DM22" s="99" t="str">
        <f t="shared" si="78"/>
        <v/>
      </c>
      <c r="DN22" s="99"/>
      <c r="DO22" s="102" t="str">
        <f>IF(C22="","",IF(VLOOKUP(C22,VOCATIONAL!$D$7:$E$51,2,0)="","",VLOOKUP(C22,VOCATIONAL!$D$7:$E$51,2,0)))</f>
        <v/>
      </c>
      <c r="DP22" s="102" t="str">
        <f>IF(VOCATIONAL!F22="","",VOCATIONAL!F22)</f>
        <v/>
      </c>
      <c r="DQ22" s="102" t="str">
        <f>IF(VOCATIONAL!G22="","",VOCATIONAL!G22)</f>
        <v/>
      </c>
      <c r="DR22" s="102" t="str">
        <f t="shared" si="79"/>
        <v/>
      </c>
      <c r="DS22" s="102" t="str">
        <f t="shared" si="80"/>
        <v/>
      </c>
      <c r="DT22" s="102" t="str">
        <f>IF(VOCATIONAL!K22="","",VOCATIONAL!K22)</f>
        <v/>
      </c>
      <c r="DU22" s="102" t="str">
        <f t="shared" si="81"/>
        <v/>
      </c>
      <c r="DV22" s="102" t="str">
        <f t="shared" si="82"/>
        <v/>
      </c>
      <c r="DW22" s="99"/>
      <c r="DX22" s="104" t="str">
        <f t="shared" si="83"/>
        <v/>
      </c>
      <c r="DY22" s="104" t="str">
        <f t="shared" si="84"/>
        <v/>
      </c>
      <c r="DZ22" s="104" t="str">
        <f t="shared" si="85"/>
        <v/>
      </c>
      <c r="EA22" s="104" t="str">
        <f t="shared" si="86"/>
        <v/>
      </c>
      <c r="EB22" s="104" t="str">
        <f t="shared" si="87"/>
        <v/>
      </c>
      <c r="EC22" s="104" t="str">
        <f t="shared" si="88"/>
        <v/>
      </c>
      <c r="ED22" s="104" t="str">
        <f t="shared" si="89"/>
        <v/>
      </c>
      <c r="EE22" s="104" t="str">
        <f t="shared" si="90"/>
        <v/>
      </c>
      <c r="EF22" s="104" t="str">
        <f t="shared" si="91"/>
        <v/>
      </c>
      <c r="EG22" s="104" t="str">
        <f t="shared" si="92"/>
        <v/>
      </c>
      <c r="EH22" s="104" t="str">
        <f t="shared" si="93"/>
        <v/>
      </c>
      <c r="EI22" s="104" t="str">
        <f t="shared" si="94"/>
        <v/>
      </c>
      <c r="EJ22" s="105" t="str">
        <f t="shared" si="95"/>
        <v/>
      </c>
      <c r="EK22" s="105" t="str">
        <f t="shared" si="96"/>
        <v/>
      </c>
      <c r="EL22" s="105" t="str">
        <f t="shared" si="97"/>
        <v/>
      </c>
      <c r="EM22" s="105" t="str">
        <f t="shared" si="98"/>
        <v/>
      </c>
      <c r="EN22" s="105" t="str">
        <f t="shared" si="99"/>
        <v/>
      </c>
      <c r="EO22" s="363" t="str">
        <f t="shared" si="100"/>
        <v/>
      </c>
      <c r="EP22" s="106" t="str">
        <f t="shared" si="101"/>
        <v/>
      </c>
      <c r="EQ22" s="106" t="str">
        <f t="shared" si="102"/>
        <v/>
      </c>
      <c r="ER22" s="106" t="str">
        <f t="shared" si="103"/>
        <v/>
      </c>
      <c r="ES22" s="106" t="str">
        <f t="shared" si="104"/>
        <v/>
      </c>
      <c r="ET22" s="106" t="str">
        <f t="shared" si="105"/>
        <v/>
      </c>
      <c r="EU22" s="106" t="str">
        <f t="shared" si="106"/>
        <v/>
      </c>
      <c r="EV22" s="92" t="str">
        <f t="shared" si="107"/>
        <v/>
      </c>
      <c r="EW22" s="92" t="str">
        <f t="shared" si="108"/>
        <v/>
      </c>
      <c r="EX22" s="92" t="str">
        <f t="shared" si="109"/>
        <v/>
      </c>
      <c r="EY22" s="92" t="str">
        <f t="shared" si="110"/>
        <v/>
      </c>
      <c r="EZ22" s="92" t="str">
        <f t="shared" si="111"/>
        <v/>
      </c>
      <c r="FA22" s="92" t="str">
        <f t="shared" si="112"/>
        <v/>
      </c>
      <c r="FB22" s="93" t="str">
        <f t="shared" si="113"/>
        <v/>
      </c>
      <c r="FC22" s="93" t="str">
        <f t="shared" si="114"/>
        <v/>
      </c>
      <c r="FD22" s="93" t="str">
        <f t="shared" si="115"/>
        <v/>
      </c>
      <c r="FE22" s="93" t="str">
        <f t="shared" si="116"/>
        <v/>
      </c>
      <c r="FF22" s="93" t="str">
        <f t="shared" si="117"/>
        <v/>
      </c>
      <c r="FG22" s="93" t="str">
        <f t="shared" si="118"/>
        <v/>
      </c>
      <c r="FH22" s="107" t="str">
        <f t="shared" si="119"/>
        <v/>
      </c>
      <c r="FI22" s="107" t="str">
        <f t="shared" si="120"/>
        <v/>
      </c>
      <c r="FJ22" s="256" t="str">
        <f t="shared" si="121"/>
        <v/>
      </c>
      <c r="FK22" s="256" t="str">
        <f t="shared" si="122"/>
        <v/>
      </c>
      <c r="FL22" s="256" t="str">
        <f t="shared" si="123"/>
        <v/>
      </c>
      <c r="FM22" s="256" t="str">
        <f t="shared" si="124"/>
        <v/>
      </c>
      <c r="FN22" s="256" t="str">
        <f>IF(OR(C22="TC",C22=""),"",IF(OR(FJ22="PASS",FJ22="FAIL"),IF(EC22="",SUM(FB22:FF22),SUM(LARGE(FB22:FG22,{1,2,3,4,5}))),""))</f>
        <v/>
      </c>
      <c r="FO22" s="256" t="str">
        <f>IF(AND(FN22="",FK22="PASSED AFTER COMPARTMENT"),IF(EC22="",SUM(FB22:FF22),SUM(LARGE(FB22:FG22,{1,2,3,4,5}))),FN22)</f>
        <v/>
      </c>
      <c r="FP22" s="256" t="str">
        <f t="shared" si="125"/>
        <v/>
      </c>
      <c r="FQ22" s="256" t="str">
        <f t="shared" si="126"/>
        <v/>
      </c>
      <c r="FR22" s="256" t="str">
        <f t="shared" si="127"/>
        <v/>
      </c>
      <c r="FS22" s="256" t="str">
        <f t="shared" si="128"/>
        <v/>
      </c>
      <c r="FT22" s="108" t="str">
        <f t="shared" si="129"/>
        <v/>
      </c>
      <c r="FU22" s="256" t="str">
        <f t="shared" si="130"/>
        <v/>
      </c>
      <c r="FV22" s="109" t="str">
        <f>IF(ATTENDANCE!Q23="","",ATTENDANCE!Q23)</f>
        <v/>
      </c>
      <c r="FW22" s="110" t="str">
        <f t="shared" si="131"/>
        <v/>
      </c>
      <c r="FX22" s="110" t="str">
        <f t="shared" si="132"/>
        <v/>
      </c>
      <c r="FY22" s="365" t="str">
        <f t="shared" si="133"/>
        <v/>
      </c>
      <c r="FZ22" s="108" t="str">
        <f t="shared" si="134"/>
        <v/>
      </c>
      <c r="GA22" s="256" t="str">
        <f>IF(ATTENDANCE!Q23="","",ATTENDANCE!Q23)</f>
        <v/>
      </c>
      <c r="GB22" s="108" t="str">
        <f>IF(ATTENDANCE!Q23="","",ATTENDANCE!$Q23)</f>
        <v/>
      </c>
      <c r="GC22" s="108" t="s">
        <v>233</v>
      </c>
      <c r="GD22" s="60"/>
    </row>
    <row r="23" spans="1:186" ht="15" customHeight="1" x14ac:dyDescent="0.25">
      <c r="A23" s="60"/>
      <c r="B23" s="96">
        <f>IF(DATA!B21="","",DATA!B21)</f>
        <v>17</v>
      </c>
      <c r="C23" s="96" t="str">
        <f>IF(DATA!C21="","",DATA!C21)</f>
        <v/>
      </c>
      <c r="D23" s="96" t="str">
        <f>IF(DATA!D21="","",DATA!D21)</f>
        <v/>
      </c>
      <c r="E23" s="303" t="str">
        <f>IF(DATA!E21="","",DATA!E21)</f>
        <v/>
      </c>
      <c r="F23" s="303" t="str">
        <f>IF(DATA!F21="","",DATA!F21)</f>
        <v/>
      </c>
      <c r="G23" s="303" t="str">
        <f>IF(DATA!G21="","",DATA!G21)</f>
        <v/>
      </c>
      <c r="H23" s="98" t="str">
        <f>IF(DATA!H21="","",DATA!H21)</f>
        <v/>
      </c>
      <c r="I23" s="97" t="str">
        <f>IF(DATA!I21="","",DATA!I21)</f>
        <v/>
      </c>
      <c r="J23" s="97" t="str">
        <f>IF(DATA!J21="","",DATA!J21)</f>
        <v/>
      </c>
      <c r="K23" s="97" t="str">
        <f>IF(DATA!K21="","",DATA!K21)</f>
        <v/>
      </c>
      <c r="L23" s="99" t="str">
        <f>IF(ENGLISH!E23="","",ENGLISH!E23)</f>
        <v/>
      </c>
      <c r="M23" s="100" t="str">
        <f t="shared" si="46"/>
        <v/>
      </c>
      <c r="N23" s="99" t="str">
        <f>IF(ENGLISH!F23="","",ENGLISH!F23)</f>
        <v/>
      </c>
      <c r="O23" s="100" t="str">
        <f t="shared" si="47"/>
        <v/>
      </c>
      <c r="P23" s="99" t="str">
        <f>IF(ENGLISH!G23="","",ENGLISH!G23)</f>
        <v/>
      </c>
      <c r="Q23" s="99" t="str">
        <f t="shared" si="48"/>
        <v/>
      </c>
      <c r="R23" s="100" t="str">
        <f>IFERROR(LARGE((M23,O23,Q23),1),"")</f>
        <v/>
      </c>
      <c r="S23" s="100" t="str">
        <f>IFERROR(LARGE((M23,O23,Q23),2),"")</f>
        <v/>
      </c>
      <c r="T23" s="99" t="str">
        <f t="shared" si="49"/>
        <v/>
      </c>
      <c r="U23" s="100" t="str">
        <f>IF(ENGLISH!H23="","",ENGLISH!H23)</f>
        <v/>
      </c>
      <c r="V23" s="99" t="str">
        <f>IF(ENGLISH!I23="","",ENGLISH!I23)</f>
        <v/>
      </c>
      <c r="W23" s="99" t="str">
        <f>IF(ENGLISH!J23="","",ENGLISH!J23)</f>
        <v/>
      </c>
      <c r="X23" s="99" t="str">
        <f t="shared" si="50"/>
        <v/>
      </c>
      <c r="Y23" s="100" t="str">
        <f>IF(ENGLISH!K23="","",ENGLISH!K23)</f>
        <v/>
      </c>
      <c r="Z23" s="100" t="str">
        <f t="shared" si="51"/>
        <v/>
      </c>
      <c r="AA23" s="101" t="str">
        <f t="shared" si="52"/>
        <v/>
      </c>
      <c r="AB23" s="99" t="str">
        <f t="shared" si="15"/>
        <v/>
      </c>
      <c r="AC23" s="99" t="str">
        <f>IF(ENGLISH!O23="","",ENGLISH!O23)</f>
        <v/>
      </c>
      <c r="AD23" s="99" t="str">
        <f t="shared" si="53"/>
        <v/>
      </c>
      <c r="AE23" s="99" t="str">
        <f t="shared" si="54"/>
        <v/>
      </c>
      <c r="AF23" s="99" t="str">
        <f t="shared" si="55"/>
        <v/>
      </c>
      <c r="AG23" s="102" t="str">
        <f>IF(C23="","",VLOOKUP(C23,'HINDI-SKT'!$D$7:$E$51,2,0))</f>
        <v/>
      </c>
      <c r="AH23" s="102" t="str">
        <f>IF('HINDI-SKT'!F23="","",'HINDI-SKT'!F23)</f>
        <v/>
      </c>
      <c r="AI23" s="103" t="str">
        <f t="shared" si="16"/>
        <v/>
      </c>
      <c r="AJ23" s="102" t="str">
        <f>IF('HINDI-SKT'!G23="","",'HINDI-SKT'!G23)</f>
        <v/>
      </c>
      <c r="AK23" s="103" t="str">
        <f t="shared" si="17"/>
        <v/>
      </c>
      <c r="AL23" s="102" t="str">
        <f>IF('HINDI-SKT'!H23="","",'HINDI-SKT'!H23)</f>
        <v/>
      </c>
      <c r="AM23" s="102" t="str">
        <f t="shared" si="18"/>
        <v/>
      </c>
      <c r="AN23" s="103" t="str">
        <f>IFERROR(LARGE((AI23,AK23,AM23),1),"")</f>
        <v/>
      </c>
      <c r="AO23" s="103" t="str">
        <f>IFERROR(LARGE((AI23,AK23,AM23),2),"")</f>
        <v/>
      </c>
      <c r="AP23" s="102" t="str">
        <f t="shared" si="19"/>
        <v/>
      </c>
      <c r="AQ23" s="103" t="str">
        <f>IF('HINDI-SKT'!I23="","",'HINDI-SKT'!I23)</f>
        <v/>
      </c>
      <c r="AR23" s="102" t="str">
        <f>IF('HINDI-SKT'!J23="","",'HINDI-SKT'!J23)</f>
        <v/>
      </c>
      <c r="AS23" s="102" t="str">
        <f>IF('HINDI-SKT'!K23="","",'HINDI-SKT'!K23)</f>
        <v/>
      </c>
      <c r="AT23" s="102" t="str">
        <f t="shared" si="56"/>
        <v/>
      </c>
      <c r="AU23" s="102" t="str">
        <f>IF('HINDI-SKT'!L23="","",'HINDI-SKT'!L23)</f>
        <v/>
      </c>
      <c r="AV23" s="103" t="str">
        <f t="shared" si="57"/>
        <v/>
      </c>
      <c r="AW23" s="102" t="str">
        <f t="shared" si="58"/>
        <v/>
      </c>
      <c r="AX23" s="102" t="str">
        <f t="shared" si="59"/>
        <v/>
      </c>
      <c r="AY23" s="102" t="str">
        <f>IF('HINDI-SKT'!P23="","",'HINDI-SKT'!P23)</f>
        <v/>
      </c>
      <c r="AZ23" s="102" t="str">
        <f t="shared" si="60"/>
        <v/>
      </c>
      <c r="BA23" s="102" t="str">
        <f t="shared" si="61"/>
        <v/>
      </c>
      <c r="BB23" s="102" t="str">
        <f t="shared" si="62"/>
        <v/>
      </c>
      <c r="BC23" s="99" t="str">
        <f>IF(MATHS!E23="","",MATHS!E23)</f>
        <v/>
      </c>
      <c r="BD23" s="100" t="str">
        <f t="shared" si="22"/>
        <v/>
      </c>
      <c r="BE23" s="99" t="str">
        <f>IF(MATHS!F23="","",MATHS!F23)</f>
        <v/>
      </c>
      <c r="BF23" s="100" t="str">
        <f t="shared" si="23"/>
        <v/>
      </c>
      <c r="BG23" s="99" t="str">
        <f>IF(MATHS!G23="","",MATHS!G23)</f>
        <v/>
      </c>
      <c r="BH23" s="99" t="str">
        <f t="shared" si="24"/>
        <v/>
      </c>
      <c r="BI23" s="100" t="str">
        <f>IFERROR(LARGE((BD23,BF23,BH23),1),"")</f>
        <v/>
      </c>
      <c r="BJ23" s="100" t="str">
        <f>IFERROR(LARGE((BD23,BF23,BH23),2),"")</f>
        <v/>
      </c>
      <c r="BK23" s="99" t="str">
        <f t="shared" si="25"/>
        <v/>
      </c>
      <c r="BL23" s="100" t="str">
        <f>IF(MATHS!H23="","",MATHS!H23)</f>
        <v/>
      </c>
      <c r="BM23" s="99" t="str">
        <f>IF(MATHS!I23="","",MATHS!I23)</f>
        <v/>
      </c>
      <c r="BN23" s="99" t="str">
        <f>IF(MATHS!J23="","",MATHS!J23)</f>
        <v/>
      </c>
      <c r="BO23" s="99" t="str">
        <f t="shared" si="63"/>
        <v/>
      </c>
      <c r="BP23" s="99" t="str">
        <f>IF(MATHS!K23="","",MATHS!K23)</f>
        <v/>
      </c>
      <c r="BQ23" s="100" t="str">
        <f t="shared" si="26"/>
        <v/>
      </c>
      <c r="BR23" s="99" t="str">
        <f t="shared" si="64"/>
        <v/>
      </c>
      <c r="BS23" s="99" t="str">
        <f t="shared" si="27"/>
        <v/>
      </c>
      <c r="BT23" s="99" t="str">
        <f>IF(MATHS!O23="","",MATHS!O23)</f>
        <v/>
      </c>
      <c r="BU23" s="99" t="str">
        <f t="shared" si="65"/>
        <v/>
      </c>
      <c r="BV23" s="99" t="str">
        <f t="shared" si="66"/>
        <v/>
      </c>
      <c r="BW23" s="102" t="str">
        <f t="shared" si="67"/>
        <v/>
      </c>
      <c r="BX23" s="102" t="str">
        <f>IF(SCIENCE!E23="","",SCIENCE!E23)</f>
        <v/>
      </c>
      <c r="BY23" s="103" t="str">
        <f t="shared" si="28"/>
        <v/>
      </c>
      <c r="BZ23" s="102" t="str">
        <f>IF(SCIENCE!F23="","",SCIENCE!F23)</f>
        <v/>
      </c>
      <c r="CA23" s="103" t="str">
        <f t="shared" si="29"/>
        <v/>
      </c>
      <c r="CB23" s="102" t="str">
        <f>IF(SCIENCE!G23="","",SCIENCE!G23)</f>
        <v/>
      </c>
      <c r="CC23" s="102" t="str">
        <f t="shared" si="30"/>
        <v/>
      </c>
      <c r="CD23" s="103" t="str">
        <f>IFERROR(LARGE((BY23,CA23,CC23),1),"")</f>
        <v/>
      </c>
      <c r="CE23" s="103" t="str">
        <f>IFERROR(LARGE((BY23,CA23,CC23),2),"")</f>
        <v/>
      </c>
      <c r="CF23" s="102" t="str">
        <f t="shared" si="31"/>
        <v/>
      </c>
      <c r="CG23" s="103" t="str">
        <f>IF(SCIENCE!H23="","",SCIENCE!H23)</f>
        <v/>
      </c>
      <c r="CH23" s="103" t="str">
        <f>IF(SCIENCE!I23="","",SCIENCE!I23)</f>
        <v/>
      </c>
      <c r="CI23" s="103" t="str">
        <f>IF(SCIENCE!J23="","",SCIENCE!J23)</f>
        <v/>
      </c>
      <c r="CJ23" s="103" t="str">
        <f t="shared" si="68"/>
        <v/>
      </c>
      <c r="CK23" s="103" t="str">
        <f>IF(SCIENCE!K23="","",SCIENCE!K23)</f>
        <v/>
      </c>
      <c r="CL23" s="103" t="str">
        <f t="shared" si="32"/>
        <v/>
      </c>
      <c r="CM23" s="102" t="str">
        <f t="shared" si="69"/>
        <v/>
      </c>
      <c r="CN23" s="102" t="str">
        <f t="shared" si="33"/>
        <v/>
      </c>
      <c r="CO23" s="102" t="str">
        <f>IF(SCIENCE!O23="","",SCIENCE!O23)</f>
        <v/>
      </c>
      <c r="CP23" s="102" t="str">
        <f t="shared" si="70"/>
        <v/>
      </c>
      <c r="CQ23" s="102" t="str">
        <f t="shared" si="71"/>
        <v/>
      </c>
      <c r="CR23" s="102" t="str">
        <f t="shared" si="72"/>
        <v/>
      </c>
      <c r="CS23" s="99" t="str">
        <f>IF(SST!E23="","",SST!E23)</f>
        <v/>
      </c>
      <c r="CT23" s="100" t="str">
        <f t="shared" si="34"/>
        <v/>
      </c>
      <c r="CU23" s="99" t="str">
        <f>IF(SST!F23="","",SST!F23)</f>
        <v/>
      </c>
      <c r="CV23" s="100" t="str">
        <f t="shared" si="35"/>
        <v/>
      </c>
      <c r="CW23" s="99" t="str">
        <f>IF(SST!G23="","",SST!G23)</f>
        <v/>
      </c>
      <c r="CX23" s="99" t="str">
        <f t="shared" si="36"/>
        <v/>
      </c>
      <c r="CY23" s="100" t="str">
        <f>IFERROR(LARGE((CT23,CV23,CX23),1),"")</f>
        <v/>
      </c>
      <c r="CZ23" s="100" t="str">
        <f>IFERROR(LARGE((CT23,CV23,CX23),2),"")</f>
        <v/>
      </c>
      <c r="DA23" s="99" t="str">
        <f t="shared" si="37"/>
        <v/>
      </c>
      <c r="DB23" s="100" t="str">
        <f>IF(SST!H23="","",SST!H23)</f>
        <v/>
      </c>
      <c r="DC23" s="100" t="str">
        <f>IF(SST!I23="","",SST!I23)</f>
        <v/>
      </c>
      <c r="DD23" s="100" t="str">
        <f>IF(SST!J23="","",SST!J23)</f>
        <v/>
      </c>
      <c r="DE23" s="100" t="str">
        <f t="shared" si="73"/>
        <v/>
      </c>
      <c r="DF23" s="100" t="str">
        <f>IF(SST!K23="","",SST!K23)</f>
        <v/>
      </c>
      <c r="DG23" s="100" t="str">
        <f t="shared" si="74"/>
        <v/>
      </c>
      <c r="DH23" s="99" t="str">
        <f t="shared" si="75"/>
        <v/>
      </c>
      <c r="DI23" s="99" t="str">
        <f t="shared" si="38"/>
        <v/>
      </c>
      <c r="DJ23" s="99" t="str">
        <f>IF(SST!O23="","",SST!O23)</f>
        <v/>
      </c>
      <c r="DK23" s="99" t="str">
        <f t="shared" si="76"/>
        <v/>
      </c>
      <c r="DL23" s="99" t="str">
        <f t="shared" si="77"/>
        <v/>
      </c>
      <c r="DM23" s="99" t="str">
        <f t="shared" si="78"/>
        <v/>
      </c>
      <c r="DN23" s="99"/>
      <c r="DO23" s="102" t="str">
        <f>IF(C23="","",IF(VLOOKUP(C23,VOCATIONAL!$D$7:$E$51,2,0)="","",VLOOKUP(C23,VOCATIONAL!$D$7:$E$51,2,0)))</f>
        <v/>
      </c>
      <c r="DP23" s="102" t="str">
        <f>IF(VOCATIONAL!F23="","",VOCATIONAL!F23)</f>
        <v/>
      </c>
      <c r="DQ23" s="102" t="str">
        <f>IF(VOCATIONAL!G23="","",VOCATIONAL!G23)</f>
        <v/>
      </c>
      <c r="DR23" s="102" t="str">
        <f t="shared" si="79"/>
        <v/>
      </c>
      <c r="DS23" s="102" t="str">
        <f t="shared" si="80"/>
        <v/>
      </c>
      <c r="DT23" s="102" t="str">
        <f>IF(VOCATIONAL!K23="","",VOCATIONAL!K23)</f>
        <v/>
      </c>
      <c r="DU23" s="102" t="str">
        <f t="shared" si="81"/>
        <v/>
      </c>
      <c r="DV23" s="102" t="str">
        <f t="shared" si="82"/>
        <v/>
      </c>
      <c r="DW23" s="99"/>
      <c r="DX23" s="104" t="str">
        <f t="shared" si="83"/>
        <v/>
      </c>
      <c r="DY23" s="104" t="str">
        <f t="shared" si="84"/>
        <v/>
      </c>
      <c r="DZ23" s="104" t="str">
        <f t="shared" si="85"/>
        <v/>
      </c>
      <c r="EA23" s="104" t="str">
        <f t="shared" si="86"/>
        <v/>
      </c>
      <c r="EB23" s="104" t="str">
        <f t="shared" si="87"/>
        <v/>
      </c>
      <c r="EC23" s="104" t="str">
        <f t="shared" si="88"/>
        <v/>
      </c>
      <c r="ED23" s="104" t="str">
        <f t="shared" si="89"/>
        <v/>
      </c>
      <c r="EE23" s="104" t="str">
        <f t="shared" si="90"/>
        <v/>
      </c>
      <c r="EF23" s="104" t="str">
        <f t="shared" si="91"/>
        <v/>
      </c>
      <c r="EG23" s="104" t="str">
        <f t="shared" si="92"/>
        <v/>
      </c>
      <c r="EH23" s="104" t="str">
        <f t="shared" si="93"/>
        <v/>
      </c>
      <c r="EI23" s="104" t="str">
        <f t="shared" si="94"/>
        <v/>
      </c>
      <c r="EJ23" s="105" t="str">
        <f t="shared" si="95"/>
        <v/>
      </c>
      <c r="EK23" s="105" t="str">
        <f t="shared" si="96"/>
        <v/>
      </c>
      <c r="EL23" s="105" t="str">
        <f t="shared" si="97"/>
        <v/>
      </c>
      <c r="EM23" s="105" t="str">
        <f t="shared" si="98"/>
        <v/>
      </c>
      <c r="EN23" s="105" t="str">
        <f t="shared" si="99"/>
        <v/>
      </c>
      <c r="EO23" s="363" t="str">
        <f t="shared" si="100"/>
        <v/>
      </c>
      <c r="EP23" s="106" t="str">
        <f t="shared" si="101"/>
        <v/>
      </c>
      <c r="EQ23" s="106" t="str">
        <f t="shared" si="102"/>
        <v/>
      </c>
      <c r="ER23" s="106" t="str">
        <f t="shared" si="103"/>
        <v/>
      </c>
      <c r="ES23" s="106" t="str">
        <f t="shared" si="104"/>
        <v/>
      </c>
      <c r="ET23" s="106" t="str">
        <f t="shared" si="105"/>
        <v/>
      </c>
      <c r="EU23" s="106" t="str">
        <f t="shared" si="106"/>
        <v/>
      </c>
      <c r="EV23" s="92" t="str">
        <f t="shared" si="107"/>
        <v/>
      </c>
      <c r="EW23" s="92" t="str">
        <f t="shared" si="108"/>
        <v/>
      </c>
      <c r="EX23" s="92" t="str">
        <f t="shared" si="109"/>
        <v/>
      </c>
      <c r="EY23" s="92" t="str">
        <f t="shared" si="110"/>
        <v/>
      </c>
      <c r="EZ23" s="92" t="str">
        <f t="shared" si="111"/>
        <v/>
      </c>
      <c r="FA23" s="92" t="str">
        <f t="shared" si="112"/>
        <v/>
      </c>
      <c r="FB23" s="93" t="str">
        <f t="shared" si="113"/>
        <v/>
      </c>
      <c r="FC23" s="93" t="str">
        <f t="shared" si="114"/>
        <v/>
      </c>
      <c r="FD23" s="93" t="str">
        <f t="shared" si="115"/>
        <v/>
      </c>
      <c r="FE23" s="93" t="str">
        <f t="shared" si="116"/>
        <v/>
      </c>
      <c r="FF23" s="93" t="str">
        <f t="shared" si="117"/>
        <v/>
      </c>
      <c r="FG23" s="93" t="str">
        <f t="shared" si="118"/>
        <v/>
      </c>
      <c r="FH23" s="107" t="str">
        <f t="shared" si="119"/>
        <v/>
      </c>
      <c r="FI23" s="107" t="str">
        <f t="shared" si="120"/>
        <v/>
      </c>
      <c r="FJ23" s="256" t="str">
        <f t="shared" si="121"/>
        <v/>
      </c>
      <c r="FK23" s="256" t="str">
        <f t="shared" si="122"/>
        <v/>
      </c>
      <c r="FL23" s="256" t="str">
        <f t="shared" si="123"/>
        <v/>
      </c>
      <c r="FM23" s="256" t="str">
        <f t="shared" si="124"/>
        <v/>
      </c>
      <c r="FN23" s="256" t="str">
        <f>IF(OR(C23="TC",C23=""),"",IF(OR(FJ23="PASS",FJ23="FAIL"),IF(EC23="",SUM(FB23:FF23),SUM(LARGE(FB23:FG23,{1,2,3,4,5}))),""))</f>
        <v/>
      </c>
      <c r="FO23" s="256" t="str">
        <f>IF(AND(FN23="",FK23="PASSED AFTER COMPARTMENT"),IF(EC23="",SUM(FB23:FF23),SUM(LARGE(FB23:FG23,{1,2,3,4,5}))),FN23)</f>
        <v/>
      </c>
      <c r="FP23" s="256" t="str">
        <f t="shared" si="125"/>
        <v/>
      </c>
      <c r="FQ23" s="256" t="str">
        <f t="shared" si="126"/>
        <v/>
      </c>
      <c r="FR23" s="256" t="str">
        <f t="shared" si="127"/>
        <v/>
      </c>
      <c r="FS23" s="256" t="str">
        <f t="shared" si="128"/>
        <v/>
      </c>
      <c r="FT23" s="108" t="str">
        <f t="shared" si="129"/>
        <v/>
      </c>
      <c r="FU23" s="256" t="str">
        <f t="shared" si="130"/>
        <v/>
      </c>
      <c r="FV23" s="109" t="str">
        <f>IF(ATTENDANCE!Q24="","",ATTENDANCE!Q24)</f>
        <v/>
      </c>
      <c r="FW23" s="110" t="str">
        <f t="shared" si="131"/>
        <v/>
      </c>
      <c r="FX23" s="110" t="str">
        <f t="shared" si="132"/>
        <v/>
      </c>
      <c r="FY23" s="365" t="str">
        <f t="shared" si="133"/>
        <v/>
      </c>
      <c r="FZ23" s="108" t="str">
        <f t="shared" si="134"/>
        <v/>
      </c>
      <c r="GA23" s="256" t="str">
        <f>IF(ATTENDANCE!Q24="","",ATTENDANCE!Q24)</f>
        <v/>
      </c>
      <c r="GB23" s="108" t="str">
        <f>IF(ATTENDANCE!Q24="","",ATTENDANCE!$Q24)</f>
        <v/>
      </c>
      <c r="GC23" s="108" t="s">
        <v>229</v>
      </c>
      <c r="GD23" s="60"/>
    </row>
    <row r="24" spans="1:186" ht="15" customHeight="1" x14ac:dyDescent="0.25">
      <c r="A24" s="60"/>
      <c r="B24" s="96">
        <f>IF(DATA!B22="","",DATA!B22)</f>
        <v>18</v>
      </c>
      <c r="C24" s="96" t="str">
        <f>IF(DATA!C22="","",DATA!C22)</f>
        <v/>
      </c>
      <c r="D24" s="96" t="str">
        <f>IF(DATA!D22="","",DATA!D22)</f>
        <v/>
      </c>
      <c r="E24" s="303" t="str">
        <f>IF(DATA!E22="","",DATA!E22)</f>
        <v/>
      </c>
      <c r="F24" s="303" t="str">
        <f>IF(DATA!F22="","",DATA!F22)</f>
        <v/>
      </c>
      <c r="G24" s="303" t="str">
        <f>IF(DATA!G22="","",DATA!G22)</f>
        <v/>
      </c>
      <c r="H24" s="98" t="str">
        <f>IF(DATA!H22="","",DATA!H22)</f>
        <v/>
      </c>
      <c r="I24" s="97" t="str">
        <f>IF(DATA!I22="","",DATA!I22)</f>
        <v/>
      </c>
      <c r="J24" s="97" t="str">
        <f>IF(DATA!J22="","",DATA!J22)</f>
        <v/>
      </c>
      <c r="K24" s="97" t="str">
        <f>IF(DATA!K22="","",DATA!K22)</f>
        <v/>
      </c>
      <c r="L24" s="99" t="str">
        <f>IF(ENGLISH!E24="","",ENGLISH!E24)</f>
        <v/>
      </c>
      <c r="M24" s="100" t="str">
        <f t="shared" si="46"/>
        <v/>
      </c>
      <c r="N24" s="99" t="str">
        <f>IF(ENGLISH!F24="","",ENGLISH!F24)</f>
        <v/>
      </c>
      <c r="O24" s="100" t="str">
        <f t="shared" si="47"/>
        <v/>
      </c>
      <c r="P24" s="99" t="str">
        <f>IF(ENGLISH!G24="","",ENGLISH!G24)</f>
        <v/>
      </c>
      <c r="Q24" s="99" t="str">
        <f t="shared" si="48"/>
        <v/>
      </c>
      <c r="R24" s="100" t="str">
        <f>IFERROR(LARGE((M24,O24,Q24),1),"")</f>
        <v/>
      </c>
      <c r="S24" s="100" t="str">
        <f>IFERROR(LARGE((M24,O24,Q24),2),"")</f>
        <v/>
      </c>
      <c r="T24" s="99" t="str">
        <f t="shared" si="49"/>
        <v/>
      </c>
      <c r="U24" s="100" t="str">
        <f>IF(ENGLISH!H24="","",ENGLISH!H24)</f>
        <v/>
      </c>
      <c r="V24" s="99" t="str">
        <f>IF(ENGLISH!I24="","",ENGLISH!I24)</f>
        <v/>
      </c>
      <c r="W24" s="99" t="str">
        <f>IF(ENGLISH!J24="","",ENGLISH!J24)</f>
        <v/>
      </c>
      <c r="X24" s="99" t="str">
        <f t="shared" si="50"/>
        <v/>
      </c>
      <c r="Y24" s="100" t="str">
        <f>IF(ENGLISH!K24="","",ENGLISH!K24)</f>
        <v/>
      </c>
      <c r="Z24" s="100" t="str">
        <f t="shared" si="51"/>
        <v/>
      </c>
      <c r="AA24" s="101" t="str">
        <f t="shared" si="52"/>
        <v/>
      </c>
      <c r="AB24" s="99" t="str">
        <f t="shared" si="15"/>
        <v/>
      </c>
      <c r="AC24" s="99" t="str">
        <f>IF(ENGLISH!O24="","",ENGLISH!O24)</f>
        <v/>
      </c>
      <c r="AD24" s="99" t="str">
        <f t="shared" si="53"/>
        <v/>
      </c>
      <c r="AE24" s="99" t="str">
        <f t="shared" si="54"/>
        <v/>
      </c>
      <c r="AF24" s="99" t="str">
        <f t="shared" si="55"/>
        <v/>
      </c>
      <c r="AG24" s="102" t="str">
        <f>IF(C24="","",VLOOKUP(C24,'HINDI-SKT'!$D$7:$E$51,2,0))</f>
        <v/>
      </c>
      <c r="AH24" s="102" t="str">
        <f>IF('HINDI-SKT'!F24="","",'HINDI-SKT'!F24)</f>
        <v/>
      </c>
      <c r="AI24" s="103" t="str">
        <f t="shared" si="16"/>
        <v/>
      </c>
      <c r="AJ24" s="102" t="str">
        <f>IF('HINDI-SKT'!G24="","",'HINDI-SKT'!G24)</f>
        <v/>
      </c>
      <c r="AK24" s="103" t="str">
        <f t="shared" si="17"/>
        <v/>
      </c>
      <c r="AL24" s="102" t="str">
        <f>IF('HINDI-SKT'!H24="","",'HINDI-SKT'!H24)</f>
        <v/>
      </c>
      <c r="AM24" s="102" t="str">
        <f t="shared" si="18"/>
        <v/>
      </c>
      <c r="AN24" s="103" t="str">
        <f>IFERROR(LARGE((AI24,AK24,AM24),1),"")</f>
        <v/>
      </c>
      <c r="AO24" s="103" t="str">
        <f>IFERROR(LARGE((AI24,AK24,AM24),2),"")</f>
        <v/>
      </c>
      <c r="AP24" s="102" t="str">
        <f t="shared" si="19"/>
        <v/>
      </c>
      <c r="AQ24" s="103" t="str">
        <f>IF('HINDI-SKT'!I24="","",'HINDI-SKT'!I24)</f>
        <v/>
      </c>
      <c r="AR24" s="102" t="str">
        <f>IF('HINDI-SKT'!J24="","",'HINDI-SKT'!J24)</f>
        <v/>
      </c>
      <c r="AS24" s="102" t="str">
        <f>IF('HINDI-SKT'!K24="","",'HINDI-SKT'!K24)</f>
        <v/>
      </c>
      <c r="AT24" s="102" t="str">
        <f t="shared" si="56"/>
        <v/>
      </c>
      <c r="AU24" s="102" t="str">
        <f>IF('HINDI-SKT'!L24="","",'HINDI-SKT'!L24)</f>
        <v/>
      </c>
      <c r="AV24" s="103" t="str">
        <f t="shared" si="57"/>
        <v/>
      </c>
      <c r="AW24" s="102" t="str">
        <f t="shared" si="58"/>
        <v/>
      </c>
      <c r="AX24" s="102" t="str">
        <f t="shared" si="59"/>
        <v/>
      </c>
      <c r="AY24" s="102" t="str">
        <f>IF('HINDI-SKT'!P24="","",'HINDI-SKT'!P24)</f>
        <v/>
      </c>
      <c r="AZ24" s="102" t="str">
        <f t="shared" si="60"/>
        <v/>
      </c>
      <c r="BA24" s="102" t="str">
        <f t="shared" si="61"/>
        <v/>
      </c>
      <c r="BB24" s="102" t="str">
        <f t="shared" si="62"/>
        <v/>
      </c>
      <c r="BC24" s="99" t="str">
        <f>IF(MATHS!E24="","",MATHS!E24)</f>
        <v/>
      </c>
      <c r="BD24" s="100" t="str">
        <f t="shared" si="22"/>
        <v/>
      </c>
      <c r="BE24" s="99" t="str">
        <f>IF(MATHS!F24="","",MATHS!F24)</f>
        <v/>
      </c>
      <c r="BF24" s="100" t="str">
        <f t="shared" si="23"/>
        <v/>
      </c>
      <c r="BG24" s="99" t="str">
        <f>IF(MATHS!G24="","",MATHS!G24)</f>
        <v/>
      </c>
      <c r="BH24" s="99" t="str">
        <f t="shared" si="24"/>
        <v/>
      </c>
      <c r="BI24" s="100" t="str">
        <f>IFERROR(LARGE((BD24,BF24,BH24),1),"")</f>
        <v/>
      </c>
      <c r="BJ24" s="100" t="str">
        <f>IFERROR(LARGE((BD24,BF24,BH24),2),"")</f>
        <v/>
      </c>
      <c r="BK24" s="99" t="str">
        <f t="shared" si="25"/>
        <v/>
      </c>
      <c r="BL24" s="100" t="str">
        <f>IF(MATHS!H24="","",MATHS!H24)</f>
        <v/>
      </c>
      <c r="BM24" s="99" t="str">
        <f>IF(MATHS!I24="","",MATHS!I24)</f>
        <v/>
      </c>
      <c r="BN24" s="99" t="str">
        <f>IF(MATHS!J24="","",MATHS!J24)</f>
        <v/>
      </c>
      <c r="BO24" s="99" t="str">
        <f t="shared" si="63"/>
        <v/>
      </c>
      <c r="BP24" s="99" t="str">
        <f>IF(MATHS!K24="","",MATHS!K24)</f>
        <v/>
      </c>
      <c r="BQ24" s="100" t="str">
        <f t="shared" si="26"/>
        <v/>
      </c>
      <c r="BR24" s="99" t="str">
        <f t="shared" si="64"/>
        <v/>
      </c>
      <c r="BS24" s="99" t="str">
        <f t="shared" si="27"/>
        <v/>
      </c>
      <c r="BT24" s="99" t="str">
        <f>IF(MATHS!O24="","",MATHS!O24)</f>
        <v/>
      </c>
      <c r="BU24" s="99" t="str">
        <f t="shared" si="65"/>
        <v/>
      </c>
      <c r="BV24" s="99" t="str">
        <f t="shared" si="66"/>
        <v/>
      </c>
      <c r="BW24" s="102" t="str">
        <f t="shared" si="67"/>
        <v/>
      </c>
      <c r="BX24" s="102" t="str">
        <f>IF(SCIENCE!E24="","",SCIENCE!E24)</f>
        <v/>
      </c>
      <c r="BY24" s="103" t="str">
        <f t="shared" si="28"/>
        <v/>
      </c>
      <c r="BZ24" s="102" t="str">
        <f>IF(SCIENCE!F24="","",SCIENCE!F24)</f>
        <v/>
      </c>
      <c r="CA24" s="103" t="str">
        <f t="shared" si="29"/>
        <v/>
      </c>
      <c r="CB24" s="102" t="str">
        <f>IF(SCIENCE!G24="","",SCIENCE!G24)</f>
        <v/>
      </c>
      <c r="CC24" s="102" t="str">
        <f t="shared" si="30"/>
        <v/>
      </c>
      <c r="CD24" s="103" t="str">
        <f>IFERROR(LARGE((BY24,CA24,CC24),1),"")</f>
        <v/>
      </c>
      <c r="CE24" s="103" t="str">
        <f>IFERROR(LARGE((BY24,CA24,CC24),2),"")</f>
        <v/>
      </c>
      <c r="CF24" s="102" t="str">
        <f t="shared" si="31"/>
        <v/>
      </c>
      <c r="CG24" s="103" t="str">
        <f>IF(SCIENCE!H24="","",SCIENCE!H24)</f>
        <v/>
      </c>
      <c r="CH24" s="103" t="str">
        <f>IF(SCIENCE!I24="","",SCIENCE!I24)</f>
        <v/>
      </c>
      <c r="CI24" s="103" t="str">
        <f>IF(SCIENCE!J24="","",SCIENCE!J24)</f>
        <v/>
      </c>
      <c r="CJ24" s="103" t="str">
        <f t="shared" si="68"/>
        <v/>
      </c>
      <c r="CK24" s="103" t="str">
        <f>IF(SCIENCE!K24="","",SCIENCE!K24)</f>
        <v/>
      </c>
      <c r="CL24" s="103" t="str">
        <f t="shared" si="32"/>
        <v/>
      </c>
      <c r="CM24" s="102" t="str">
        <f t="shared" si="69"/>
        <v/>
      </c>
      <c r="CN24" s="102" t="str">
        <f t="shared" si="33"/>
        <v/>
      </c>
      <c r="CO24" s="102" t="str">
        <f>IF(SCIENCE!O24="","",SCIENCE!O24)</f>
        <v/>
      </c>
      <c r="CP24" s="102" t="str">
        <f t="shared" si="70"/>
        <v/>
      </c>
      <c r="CQ24" s="102" t="str">
        <f t="shared" si="71"/>
        <v/>
      </c>
      <c r="CR24" s="102" t="str">
        <f t="shared" si="72"/>
        <v/>
      </c>
      <c r="CS24" s="99" t="str">
        <f>IF(SST!E24="","",SST!E24)</f>
        <v/>
      </c>
      <c r="CT24" s="100" t="str">
        <f t="shared" si="34"/>
        <v/>
      </c>
      <c r="CU24" s="99" t="str">
        <f>IF(SST!F24="","",SST!F24)</f>
        <v/>
      </c>
      <c r="CV24" s="100" t="str">
        <f t="shared" si="35"/>
        <v/>
      </c>
      <c r="CW24" s="99" t="str">
        <f>IF(SST!G24="","",SST!G24)</f>
        <v/>
      </c>
      <c r="CX24" s="99" t="str">
        <f t="shared" si="36"/>
        <v/>
      </c>
      <c r="CY24" s="100" t="str">
        <f>IFERROR(LARGE((CT24,CV24,CX24),1),"")</f>
        <v/>
      </c>
      <c r="CZ24" s="100" t="str">
        <f>IFERROR(LARGE((CT24,CV24,CX24),2),"")</f>
        <v/>
      </c>
      <c r="DA24" s="99" t="str">
        <f t="shared" si="37"/>
        <v/>
      </c>
      <c r="DB24" s="100" t="str">
        <f>IF(SST!H24="","",SST!H24)</f>
        <v/>
      </c>
      <c r="DC24" s="100" t="str">
        <f>IF(SST!I24="","",SST!I24)</f>
        <v/>
      </c>
      <c r="DD24" s="100" t="str">
        <f>IF(SST!J24="","",SST!J24)</f>
        <v/>
      </c>
      <c r="DE24" s="100" t="str">
        <f t="shared" si="73"/>
        <v/>
      </c>
      <c r="DF24" s="100" t="str">
        <f>IF(SST!K24="","",SST!K24)</f>
        <v/>
      </c>
      <c r="DG24" s="100" t="str">
        <f t="shared" si="74"/>
        <v/>
      </c>
      <c r="DH24" s="99" t="str">
        <f t="shared" si="75"/>
        <v/>
      </c>
      <c r="DI24" s="99" t="str">
        <f t="shared" si="38"/>
        <v/>
      </c>
      <c r="DJ24" s="99" t="str">
        <f>IF(SST!O24="","",SST!O24)</f>
        <v/>
      </c>
      <c r="DK24" s="99" t="str">
        <f t="shared" si="76"/>
        <v/>
      </c>
      <c r="DL24" s="99" t="str">
        <f t="shared" si="77"/>
        <v/>
      </c>
      <c r="DM24" s="99" t="str">
        <f t="shared" si="78"/>
        <v/>
      </c>
      <c r="DN24" s="99"/>
      <c r="DO24" s="102" t="str">
        <f>IF(C24="","",IF(VLOOKUP(C24,VOCATIONAL!$D$7:$E$51,2,0)="","",VLOOKUP(C24,VOCATIONAL!$D$7:$E$51,2,0)))</f>
        <v/>
      </c>
      <c r="DP24" s="102" t="str">
        <f>IF(VOCATIONAL!F24="","",VOCATIONAL!F24)</f>
        <v/>
      </c>
      <c r="DQ24" s="102" t="str">
        <f>IF(VOCATIONAL!G24="","",VOCATIONAL!G24)</f>
        <v/>
      </c>
      <c r="DR24" s="102" t="str">
        <f t="shared" si="79"/>
        <v/>
      </c>
      <c r="DS24" s="102" t="str">
        <f t="shared" si="80"/>
        <v/>
      </c>
      <c r="DT24" s="102" t="str">
        <f>IF(VOCATIONAL!K24="","",VOCATIONAL!K24)</f>
        <v/>
      </c>
      <c r="DU24" s="102" t="str">
        <f t="shared" si="81"/>
        <v/>
      </c>
      <c r="DV24" s="102" t="str">
        <f t="shared" si="82"/>
        <v/>
      </c>
      <c r="DW24" s="99"/>
      <c r="DX24" s="104" t="str">
        <f t="shared" si="83"/>
        <v/>
      </c>
      <c r="DY24" s="104" t="str">
        <f t="shared" si="84"/>
        <v/>
      </c>
      <c r="DZ24" s="104" t="str">
        <f t="shared" si="85"/>
        <v/>
      </c>
      <c r="EA24" s="104" t="str">
        <f t="shared" si="86"/>
        <v/>
      </c>
      <c r="EB24" s="104" t="str">
        <f t="shared" si="87"/>
        <v/>
      </c>
      <c r="EC24" s="104" t="str">
        <f t="shared" si="88"/>
        <v/>
      </c>
      <c r="ED24" s="104" t="str">
        <f t="shared" si="89"/>
        <v/>
      </c>
      <c r="EE24" s="104" t="str">
        <f t="shared" si="90"/>
        <v/>
      </c>
      <c r="EF24" s="104" t="str">
        <f t="shared" si="91"/>
        <v/>
      </c>
      <c r="EG24" s="104" t="str">
        <f t="shared" si="92"/>
        <v/>
      </c>
      <c r="EH24" s="104" t="str">
        <f t="shared" si="93"/>
        <v/>
      </c>
      <c r="EI24" s="104" t="str">
        <f t="shared" si="94"/>
        <v/>
      </c>
      <c r="EJ24" s="105" t="str">
        <f t="shared" si="95"/>
        <v/>
      </c>
      <c r="EK24" s="105" t="str">
        <f t="shared" si="96"/>
        <v/>
      </c>
      <c r="EL24" s="105" t="str">
        <f t="shared" si="97"/>
        <v/>
      </c>
      <c r="EM24" s="105" t="str">
        <f t="shared" si="98"/>
        <v/>
      </c>
      <c r="EN24" s="105" t="str">
        <f t="shared" si="99"/>
        <v/>
      </c>
      <c r="EO24" s="363" t="str">
        <f t="shared" si="100"/>
        <v/>
      </c>
      <c r="EP24" s="106" t="str">
        <f t="shared" si="101"/>
        <v/>
      </c>
      <c r="EQ24" s="106" t="str">
        <f t="shared" si="102"/>
        <v/>
      </c>
      <c r="ER24" s="106" t="str">
        <f t="shared" si="103"/>
        <v/>
      </c>
      <c r="ES24" s="106" t="str">
        <f t="shared" si="104"/>
        <v/>
      </c>
      <c r="ET24" s="106" t="str">
        <f t="shared" si="105"/>
        <v/>
      </c>
      <c r="EU24" s="106" t="str">
        <f t="shared" si="106"/>
        <v/>
      </c>
      <c r="EV24" s="92" t="str">
        <f t="shared" si="107"/>
        <v/>
      </c>
      <c r="EW24" s="92" t="str">
        <f t="shared" si="108"/>
        <v/>
      </c>
      <c r="EX24" s="92" t="str">
        <f t="shared" si="109"/>
        <v/>
      </c>
      <c r="EY24" s="92" t="str">
        <f t="shared" si="110"/>
        <v/>
      </c>
      <c r="EZ24" s="92" t="str">
        <f t="shared" si="111"/>
        <v/>
      </c>
      <c r="FA24" s="92" t="str">
        <f t="shared" si="112"/>
        <v/>
      </c>
      <c r="FB24" s="93" t="str">
        <f t="shared" si="113"/>
        <v/>
      </c>
      <c r="FC24" s="93" t="str">
        <f t="shared" si="114"/>
        <v/>
      </c>
      <c r="FD24" s="93" t="str">
        <f t="shared" si="115"/>
        <v/>
      </c>
      <c r="FE24" s="93" t="str">
        <f t="shared" si="116"/>
        <v/>
      </c>
      <c r="FF24" s="93" t="str">
        <f t="shared" si="117"/>
        <v/>
      </c>
      <c r="FG24" s="93" t="str">
        <f t="shared" si="118"/>
        <v/>
      </c>
      <c r="FH24" s="107" t="str">
        <f t="shared" si="119"/>
        <v/>
      </c>
      <c r="FI24" s="107" t="str">
        <f t="shared" si="120"/>
        <v/>
      </c>
      <c r="FJ24" s="256" t="str">
        <f t="shared" si="121"/>
        <v/>
      </c>
      <c r="FK24" s="256" t="str">
        <f t="shared" si="122"/>
        <v/>
      </c>
      <c r="FL24" s="256" t="str">
        <f t="shared" si="123"/>
        <v/>
      </c>
      <c r="FM24" s="256" t="str">
        <f t="shared" si="124"/>
        <v/>
      </c>
      <c r="FN24" s="256" t="str">
        <f>IF(OR(C24="TC",C24=""),"",IF(OR(FJ24="PASS",FJ24="FAIL"),IF(EC24="",SUM(FB24:FF24),SUM(LARGE(FB24:FG24,{1,2,3,4,5}))),""))</f>
        <v/>
      </c>
      <c r="FO24" s="256" t="str">
        <f>IF(AND(FN24="",FK24="PASSED AFTER COMPARTMENT"),IF(EC24="",SUM(FB24:FF24),SUM(LARGE(FB24:FG24,{1,2,3,4,5}))),FN24)</f>
        <v/>
      </c>
      <c r="FP24" s="256" t="str">
        <f t="shared" si="125"/>
        <v/>
      </c>
      <c r="FQ24" s="256" t="str">
        <f t="shared" si="126"/>
        <v/>
      </c>
      <c r="FR24" s="256" t="str">
        <f t="shared" si="127"/>
        <v/>
      </c>
      <c r="FS24" s="256" t="str">
        <f t="shared" si="128"/>
        <v/>
      </c>
      <c r="FT24" s="108" t="str">
        <f t="shared" si="129"/>
        <v/>
      </c>
      <c r="FU24" s="256" t="str">
        <f t="shared" si="130"/>
        <v/>
      </c>
      <c r="FV24" s="109" t="str">
        <f>IF(ATTENDANCE!Q25="","",ATTENDANCE!Q25)</f>
        <v/>
      </c>
      <c r="FW24" s="110" t="str">
        <f t="shared" si="131"/>
        <v/>
      </c>
      <c r="FX24" s="110" t="str">
        <f t="shared" si="132"/>
        <v/>
      </c>
      <c r="FY24" s="365" t="str">
        <f t="shared" si="133"/>
        <v/>
      </c>
      <c r="FZ24" s="108" t="str">
        <f t="shared" si="134"/>
        <v/>
      </c>
      <c r="GA24" s="256" t="str">
        <f>IF(ATTENDANCE!Q25="","",ATTENDANCE!Q25)</f>
        <v/>
      </c>
      <c r="GB24" s="108" t="str">
        <f>IF(ATTENDANCE!Q25="","",ATTENDANCE!$Q25)</f>
        <v/>
      </c>
      <c r="GC24" s="108" t="s">
        <v>231</v>
      </c>
      <c r="GD24" s="60"/>
    </row>
    <row r="25" spans="1:186" ht="15" customHeight="1" x14ac:dyDescent="0.25">
      <c r="A25" s="60"/>
      <c r="B25" s="96">
        <f>IF(DATA!B23="","",DATA!B23)</f>
        <v>19</v>
      </c>
      <c r="C25" s="96" t="str">
        <f>IF(DATA!C23="","",DATA!C23)</f>
        <v/>
      </c>
      <c r="D25" s="96" t="str">
        <f>IF(DATA!D23="","",DATA!D23)</f>
        <v/>
      </c>
      <c r="E25" s="303" t="str">
        <f>IF(DATA!E23="","",DATA!E23)</f>
        <v/>
      </c>
      <c r="F25" s="303" t="str">
        <f>IF(DATA!F23="","",DATA!F23)</f>
        <v/>
      </c>
      <c r="G25" s="303" t="str">
        <f>IF(DATA!G23="","",DATA!G23)</f>
        <v/>
      </c>
      <c r="H25" s="98" t="str">
        <f>IF(DATA!H23="","",DATA!H23)</f>
        <v/>
      </c>
      <c r="I25" s="97" t="str">
        <f>IF(DATA!I23="","",DATA!I23)</f>
        <v/>
      </c>
      <c r="J25" s="97" t="str">
        <f>IF(DATA!J23="","",DATA!J23)</f>
        <v/>
      </c>
      <c r="K25" s="97" t="str">
        <f>IF(DATA!K23="","",DATA!K23)</f>
        <v/>
      </c>
      <c r="L25" s="99" t="str">
        <f>IF(ENGLISH!E25="","",ENGLISH!E25)</f>
        <v/>
      </c>
      <c r="M25" s="100" t="str">
        <f t="shared" si="46"/>
        <v/>
      </c>
      <c r="N25" s="99" t="str">
        <f>IF(ENGLISH!F25="","",ENGLISH!F25)</f>
        <v/>
      </c>
      <c r="O25" s="100" t="str">
        <f t="shared" si="47"/>
        <v/>
      </c>
      <c r="P25" s="99" t="str">
        <f>IF(ENGLISH!G25="","",ENGLISH!G25)</f>
        <v/>
      </c>
      <c r="Q25" s="99" t="str">
        <f t="shared" si="48"/>
        <v/>
      </c>
      <c r="R25" s="100" t="str">
        <f>IFERROR(LARGE((M25,O25,Q25),1),"")</f>
        <v/>
      </c>
      <c r="S25" s="100" t="str">
        <f>IFERROR(LARGE((M25,O25,Q25),2),"")</f>
        <v/>
      </c>
      <c r="T25" s="99" t="str">
        <f t="shared" si="49"/>
        <v/>
      </c>
      <c r="U25" s="100" t="str">
        <f>IF(ENGLISH!H25="","",ENGLISH!H25)</f>
        <v/>
      </c>
      <c r="V25" s="99" t="str">
        <f>IF(ENGLISH!I25="","",ENGLISH!I25)</f>
        <v/>
      </c>
      <c r="W25" s="99" t="str">
        <f>IF(ENGLISH!J25="","",ENGLISH!J25)</f>
        <v/>
      </c>
      <c r="X25" s="99" t="str">
        <f t="shared" si="50"/>
        <v/>
      </c>
      <c r="Y25" s="100" t="str">
        <f>IF(ENGLISH!K25="","",ENGLISH!K25)</f>
        <v/>
      </c>
      <c r="Z25" s="100" t="str">
        <f t="shared" si="51"/>
        <v/>
      </c>
      <c r="AA25" s="101" t="str">
        <f t="shared" si="52"/>
        <v/>
      </c>
      <c r="AB25" s="99" t="str">
        <f t="shared" si="15"/>
        <v/>
      </c>
      <c r="AC25" s="99" t="str">
        <f>IF(ENGLISH!O25="","",ENGLISH!O25)</f>
        <v/>
      </c>
      <c r="AD25" s="99" t="str">
        <f t="shared" si="53"/>
        <v/>
      </c>
      <c r="AE25" s="99" t="str">
        <f t="shared" si="54"/>
        <v/>
      </c>
      <c r="AF25" s="99" t="str">
        <f t="shared" si="55"/>
        <v/>
      </c>
      <c r="AG25" s="102" t="str">
        <f>IF(C25="","",VLOOKUP(C25,'HINDI-SKT'!$D$7:$E$51,2,0))</f>
        <v/>
      </c>
      <c r="AH25" s="102" t="str">
        <f>IF('HINDI-SKT'!F25="","",'HINDI-SKT'!F25)</f>
        <v/>
      </c>
      <c r="AI25" s="103" t="str">
        <f t="shared" si="16"/>
        <v/>
      </c>
      <c r="AJ25" s="102" t="str">
        <f>IF('HINDI-SKT'!G25="","",'HINDI-SKT'!G25)</f>
        <v/>
      </c>
      <c r="AK25" s="103" t="str">
        <f t="shared" si="17"/>
        <v/>
      </c>
      <c r="AL25" s="102" t="str">
        <f>IF('HINDI-SKT'!H25="","",'HINDI-SKT'!H25)</f>
        <v/>
      </c>
      <c r="AM25" s="102" t="str">
        <f t="shared" si="18"/>
        <v/>
      </c>
      <c r="AN25" s="103" t="str">
        <f>IFERROR(LARGE((AI25,AK25,AM25),1),"")</f>
        <v/>
      </c>
      <c r="AO25" s="103" t="str">
        <f>IFERROR(LARGE((AI25,AK25,AM25),2),"")</f>
        <v/>
      </c>
      <c r="AP25" s="102" t="str">
        <f t="shared" si="19"/>
        <v/>
      </c>
      <c r="AQ25" s="103" t="str">
        <f>IF('HINDI-SKT'!I25="","",'HINDI-SKT'!I25)</f>
        <v/>
      </c>
      <c r="AR25" s="102" t="str">
        <f>IF('HINDI-SKT'!J25="","",'HINDI-SKT'!J25)</f>
        <v/>
      </c>
      <c r="AS25" s="102" t="str">
        <f>IF('HINDI-SKT'!K25="","",'HINDI-SKT'!K25)</f>
        <v/>
      </c>
      <c r="AT25" s="102" t="str">
        <f t="shared" si="56"/>
        <v/>
      </c>
      <c r="AU25" s="102" t="str">
        <f>IF('HINDI-SKT'!L25="","",'HINDI-SKT'!L25)</f>
        <v/>
      </c>
      <c r="AV25" s="103" t="str">
        <f t="shared" si="57"/>
        <v/>
      </c>
      <c r="AW25" s="102" t="str">
        <f t="shared" si="58"/>
        <v/>
      </c>
      <c r="AX25" s="102" t="str">
        <f t="shared" si="59"/>
        <v/>
      </c>
      <c r="AY25" s="102" t="str">
        <f>IF('HINDI-SKT'!P25="","",'HINDI-SKT'!P25)</f>
        <v/>
      </c>
      <c r="AZ25" s="102" t="str">
        <f t="shared" si="60"/>
        <v/>
      </c>
      <c r="BA25" s="102" t="str">
        <f t="shared" si="61"/>
        <v/>
      </c>
      <c r="BB25" s="102" t="str">
        <f t="shared" si="62"/>
        <v/>
      </c>
      <c r="BC25" s="99" t="str">
        <f>IF(MATHS!E25="","",MATHS!E25)</f>
        <v/>
      </c>
      <c r="BD25" s="100" t="str">
        <f t="shared" si="22"/>
        <v/>
      </c>
      <c r="BE25" s="99" t="str">
        <f>IF(MATHS!F25="","",MATHS!F25)</f>
        <v/>
      </c>
      <c r="BF25" s="100" t="str">
        <f t="shared" si="23"/>
        <v/>
      </c>
      <c r="BG25" s="99" t="str">
        <f>IF(MATHS!G25="","",MATHS!G25)</f>
        <v/>
      </c>
      <c r="BH25" s="99" t="str">
        <f t="shared" si="24"/>
        <v/>
      </c>
      <c r="BI25" s="100" t="str">
        <f>IFERROR(LARGE((BD25,BF25,BH25),1),"")</f>
        <v/>
      </c>
      <c r="BJ25" s="100" t="str">
        <f>IFERROR(LARGE((BD25,BF25,BH25),2),"")</f>
        <v/>
      </c>
      <c r="BK25" s="99" t="str">
        <f t="shared" si="25"/>
        <v/>
      </c>
      <c r="BL25" s="100" t="str">
        <f>IF(MATHS!H25="","",MATHS!H25)</f>
        <v/>
      </c>
      <c r="BM25" s="99" t="str">
        <f>IF(MATHS!I25="","",MATHS!I25)</f>
        <v/>
      </c>
      <c r="BN25" s="99" t="str">
        <f>IF(MATHS!J25="","",MATHS!J25)</f>
        <v/>
      </c>
      <c r="BO25" s="99" t="str">
        <f t="shared" si="63"/>
        <v/>
      </c>
      <c r="BP25" s="99" t="str">
        <f>IF(MATHS!K25="","",MATHS!K25)</f>
        <v/>
      </c>
      <c r="BQ25" s="100" t="str">
        <f t="shared" si="26"/>
        <v/>
      </c>
      <c r="BR25" s="99" t="str">
        <f t="shared" si="64"/>
        <v/>
      </c>
      <c r="BS25" s="99" t="str">
        <f t="shared" si="27"/>
        <v/>
      </c>
      <c r="BT25" s="99" t="str">
        <f>IF(MATHS!O25="","",MATHS!O25)</f>
        <v/>
      </c>
      <c r="BU25" s="99" t="str">
        <f t="shared" si="65"/>
        <v/>
      </c>
      <c r="BV25" s="99" t="str">
        <f t="shared" si="66"/>
        <v/>
      </c>
      <c r="BW25" s="102" t="str">
        <f t="shared" si="67"/>
        <v/>
      </c>
      <c r="BX25" s="102" t="str">
        <f>IF(SCIENCE!E25="","",SCIENCE!E25)</f>
        <v/>
      </c>
      <c r="BY25" s="103" t="str">
        <f t="shared" si="28"/>
        <v/>
      </c>
      <c r="BZ25" s="102" t="str">
        <f>IF(SCIENCE!F25="","",SCIENCE!F25)</f>
        <v/>
      </c>
      <c r="CA25" s="103" t="str">
        <f t="shared" si="29"/>
        <v/>
      </c>
      <c r="CB25" s="102" t="str">
        <f>IF(SCIENCE!G25="","",SCIENCE!G25)</f>
        <v/>
      </c>
      <c r="CC25" s="102" t="str">
        <f t="shared" si="30"/>
        <v/>
      </c>
      <c r="CD25" s="103" t="str">
        <f>IFERROR(LARGE((BY25,CA25,CC25),1),"")</f>
        <v/>
      </c>
      <c r="CE25" s="103" t="str">
        <f>IFERROR(LARGE((BY25,CA25,CC25),2),"")</f>
        <v/>
      </c>
      <c r="CF25" s="102" t="str">
        <f t="shared" si="31"/>
        <v/>
      </c>
      <c r="CG25" s="103" t="str">
        <f>IF(SCIENCE!H25="","",SCIENCE!H25)</f>
        <v/>
      </c>
      <c r="CH25" s="103" t="str">
        <f>IF(SCIENCE!I25="","",SCIENCE!I25)</f>
        <v/>
      </c>
      <c r="CI25" s="103" t="str">
        <f>IF(SCIENCE!J25="","",SCIENCE!J25)</f>
        <v/>
      </c>
      <c r="CJ25" s="103" t="str">
        <f t="shared" si="68"/>
        <v/>
      </c>
      <c r="CK25" s="103" t="str">
        <f>IF(SCIENCE!K25="","",SCIENCE!K25)</f>
        <v/>
      </c>
      <c r="CL25" s="103" t="str">
        <f t="shared" si="32"/>
        <v/>
      </c>
      <c r="CM25" s="102" t="str">
        <f t="shared" si="69"/>
        <v/>
      </c>
      <c r="CN25" s="102" t="str">
        <f t="shared" si="33"/>
        <v/>
      </c>
      <c r="CO25" s="102" t="str">
        <f>IF(SCIENCE!O25="","",SCIENCE!O25)</f>
        <v/>
      </c>
      <c r="CP25" s="102" t="str">
        <f t="shared" si="70"/>
        <v/>
      </c>
      <c r="CQ25" s="102" t="str">
        <f t="shared" si="71"/>
        <v/>
      </c>
      <c r="CR25" s="102" t="str">
        <f t="shared" si="72"/>
        <v/>
      </c>
      <c r="CS25" s="99" t="str">
        <f>IF(SST!E25="","",SST!E25)</f>
        <v/>
      </c>
      <c r="CT25" s="100" t="str">
        <f t="shared" si="34"/>
        <v/>
      </c>
      <c r="CU25" s="99" t="str">
        <f>IF(SST!F25="","",SST!F25)</f>
        <v/>
      </c>
      <c r="CV25" s="100" t="str">
        <f t="shared" si="35"/>
        <v/>
      </c>
      <c r="CW25" s="99" t="str">
        <f>IF(SST!G25="","",SST!G25)</f>
        <v/>
      </c>
      <c r="CX25" s="99" t="str">
        <f t="shared" si="36"/>
        <v/>
      </c>
      <c r="CY25" s="100" t="str">
        <f>IFERROR(LARGE((CT25,CV25,CX25),1),"")</f>
        <v/>
      </c>
      <c r="CZ25" s="100" t="str">
        <f>IFERROR(LARGE((CT25,CV25,CX25),2),"")</f>
        <v/>
      </c>
      <c r="DA25" s="99" t="str">
        <f t="shared" si="37"/>
        <v/>
      </c>
      <c r="DB25" s="100" t="str">
        <f>IF(SST!H25="","",SST!H25)</f>
        <v/>
      </c>
      <c r="DC25" s="100" t="str">
        <f>IF(SST!I25="","",SST!I25)</f>
        <v/>
      </c>
      <c r="DD25" s="100" t="str">
        <f>IF(SST!J25="","",SST!J25)</f>
        <v/>
      </c>
      <c r="DE25" s="100" t="str">
        <f t="shared" si="73"/>
        <v/>
      </c>
      <c r="DF25" s="100" t="str">
        <f>IF(SST!K25="","",SST!K25)</f>
        <v/>
      </c>
      <c r="DG25" s="100" t="str">
        <f t="shared" si="74"/>
        <v/>
      </c>
      <c r="DH25" s="99" t="str">
        <f t="shared" si="75"/>
        <v/>
      </c>
      <c r="DI25" s="99" t="str">
        <f t="shared" si="38"/>
        <v/>
      </c>
      <c r="DJ25" s="99" t="str">
        <f>IF(SST!O25="","",SST!O25)</f>
        <v/>
      </c>
      <c r="DK25" s="99" t="str">
        <f t="shared" si="76"/>
        <v/>
      </c>
      <c r="DL25" s="99" t="str">
        <f t="shared" si="77"/>
        <v/>
      </c>
      <c r="DM25" s="99" t="str">
        <f t="shared" si="78"/>
        <v/>
      </c>
      <c r="DN25" s="99"/>
      <c r="DO25" s="102" t="str">
        <f>IF(C25="","",IF(VLOOKUP(C25,VOCATIONAL!$D$7:$E$51,2,0)="","",VLOOKUP(C25,VOCATIONAL!$D$7:$E$51,2,0)))</f>
        <v/>
      </c>
      <c r="DP25" s="102" t="str">
        <f>IF(VOCATIONAL!F25="","",VOCATIONAL!F25)</f>
        <v/>
      </c>
      <c r="DQ25" s="102" t="str">
        <f>IF(VOCATIONAL!G25="","",VOCATIONAL!G25)</f>
        <v/>
      </c>
      <c r="DR25" s="102" t="str">
        <f t="shared" si="79"/>
        <v/>
      </c>
      <c r="DS25" s="102" t="str">
        <f t="shared" si="80"/>
        <v/>
      </c>
      <c r="DT25" s="102" t="str">
        <f>IF(VOCATIONAL!K25="","",VOCATIONAL!K25)</f>
        <v/>
      </c>
      <c r="DU25" s="102" t="str">
        <f t="shared" si="81"/>
        <v/>
      </c>
      <c r="DV25" s="102" t="str">
        <f t="shared" si="82"/>
        <v/>
      </c>
      <c r="DW25" s="99"/>
      <c r="DX25" s="104" t="str">
        <f t="shared" si="83"/>
        <v/>
      </c>
      <c r="DY25" s="104" t="str">
        <f t="shared" si="84"/>
        <v/>
      </c>
      <c r="DZ25" s="104" t="str">
        <f t="shared" si="85"/>
        <v/>
      </c>
      <c r="EA25" s="104" t="str">
        <f t="shared" si="86"/>
        <v/>
      </c>
      <c r="EB25" s="104" t="str">
        <f t="shared" si="87"/>
        <v/>
      </c>
      <c r="EC25" s="104" t="str">
        <f t="shared" si="88"/>
        <v/>
      </c>
      <c r="ED25" s="104" t="str">
        <f t="shared" si="89"/>
        <v/>
      </c>
      <c r="EE25" s="104" t="str">
        <f t="shared" si="90"/>
        <v/>
      </c>
      <c r="EF25" s="104" t="str">
        <f t="shared" si="91"/>
        <v/>
      </c>
      <c r="EG25" s="104" t="str">
        <f t="shared" si="92"/>
        <v/>
      </c>
      <c r="EH25" s="104" t="str">
        <f t="shared" si="93"/>
        <v/>
      </c>
      <c r="EI25" s="104" t="str">
        <f t="shared" si="94"/>
        <v/>
      </c>
      <c r="EJ25" s="105" t="str">
        <f t="shared" si="95"/>
        <v/>
      </c>
      <c r="EK25" s="105" t="str">
        <f t="shared" si="96"/>
        <v/>
      </c>
      <c r="EL25" s="105" t="str">
        <f t="shared" si="97"/>
        <v/>
      </c>
      <c r="EM25" s="105" t="str">
        <f t="shared" si="98"/>
        <v/>
      </c>
      <c r="EN25" s="105" t="str">
        <f t="shared" si="99"/>
        <v/>
      </c>
      <c r="EO25" s="363" t="str">
        <f t="shared" si="100"/>
        <v/>
      </c>
      <c r="EP25" s="106" t="str">
        <f t="shared" si="101"/>
        <v/>
      </c>
      <c r="EQ25" s="106" t="str">
        <f t="shared" si="102"/>
        <v/>
      </c>
      <c r="ER25" s="106" t="str">
        <f t="shared" si="103"/>
        <v/>
      </c>
      <c r="ES25" s="106" t="str">
        <f t="shared" si="104"/>
        <v/>
      </c>
      <c r="ET25" s="106" t="str">
        <f t="shared" si="105"/>
        <v/>
      </c>
      <c r="EU25" s="106" t="str">
        <f t="shared" si="106"/>
        <v/>
      </c>
      <c r="EV25" s="92" t="str">
        <f t="shared" si="107"/>
        <v/>
      </c>
      <c r="EW25" s="92" t="str">
        <f t="shared" si="108"/>
        <v/>
      </c>
      <c r="EX25" s="92" t="str">
        <f t="shared" si="109"/>
        <v/>
      </c>
      <c r="EY25" s="92" t="str">
        <f t="shared" si="110"/>
        <v/>
      </c>
      <c r="EZ25" s="92" t="str">
        <f t="shared" si="111"/>
        <v/>
      </c>
      <c r="FA25" s="92" t="str">
        <f t="shared" si="112"/>
        <v/>
      </c>
      <c r="FB25" s="93" t="str">
        <f t="shared" si="113"/>
        <v/>
      </c>
      <c r="FC25" s="93" t="str">
        <f t="shared" si="114"/>
        <v/>
      </c>
      <c r="FD25" s="93" t="str">
        <f t="shared" si="115"/>
        <v/>
      </c>
      <c r="FE25" s="93" t="str">
        <f t="shared" si="116"/>
        <v/>
      </c>
      <c r="FF25" s="93" t="str">
        <f t="shared" si="117"/>
        <v/>
      </c>
      <c r="FG25" s="93" t="str">
        <f t="shared" si="118"/>
        <v/>
      </c>
      <c r="FH25" s="107" t="str">
        <f t="shared" si="119"/>
        <v/>
      </c>
      <c r="FI25" s="107" t="str">
        <f t="shared" si="120"/>
        <v/>
      </c>
      <c r="FJ25" s="256" t="str">
        <f t="shared" si="121"/>
        <v/>
      </c>
      <c r="FK25" s="256" t="str">
        <f t="shared" si="122"/>
        <v/>
      </c>
      <c r="FL25" s="256" t="str">
        <f t="shared" si="123"/>
        <v/>
      </c>
      <c r="FM25" s="256" t="str">
        <f t="shared" si="124"/>
        <v/>
      </c>
      <c r="FN25" s="256" t="str">
        <f>IF(OR(C25="TC",C25=""),"",IF(OR(FJ25="PASS",FJ25="FAIL"),IF(EC25="",SUM(FB25:FF25),SUM(LARGE(FB25:FG25,{1,2,3,4,5}))),""))</f>
        <v/>
      </c>
      <c r="FO25" s="256" t="str">
        <f>IF(AND(FN25="",FK25="PASSED AFTER COMPARTMENT"),IF(EC25="",SUM(FB25:FF25),SUM(LARGE(FB25:FG25,{1,2,3,4,5}))),FN25)</f>
        <v/>
      </c>
      <c r="FP25" s="256" t="str">
        <f t="shared" si="125"/>
        <v/>
      </c>
      <c r="FQ25" s="256" t="str">
        <f t="shared" si="126"/>
        <v/>
      </c>
      <c r="FR25" s="256" t="str">
        <f t="shared" si="127"/>
        <v/>
      </c>
      <c r="FS25" s="256" t="str">
        <f t="shared" si="128"/>
        <v/>
      </c>
      <c r="FT25" s="108" t="str">
        <f t="shared" si="129"/>
        <v/>
      </c>
      <c r="FU25" s="256" t="str">
        <f t="shared" si="130"/>
        <v/>
      </c>
      <c r="FV25" s="109" t="str">
        <f>IF(ATTENDANCE!Q26="","",ATTENDANCE!Q26)</f>
        <v/>
      </c>
      <c r="FW25" s="110" t="str">
        <f t="shared" si="131"/>
        <v/>
      </c>
      <c r="FX25" s="110" t="str">
        <f t="shared" si="132"/>
        <v/>
      </c>
      <c r="FY25" s="365" t="str">
        <f t="shared" si="133"/>
        <v/>
      </c>
      <c r="FZ25" s="108" t="str">
        <f t="shared" si="134"/>
        <v/>
      </c>
      <c r="GA25" s="256" t="str">
        <f>IF(ATTENDANCE!Q26="","",ATTENDANCE!Q26)</f>
        <v/>
      </c>
      <c r="GB25" s="108" t="str">
        <f>IF(ATTENDANCE!Q26="","",ATTENDANCE!$Q26)</f>
        <v/>
      </c>
      <c r="GC25" s="108" t="s">
        <v>232</v>
      </c>
      <c r="GD25" s="60"/>
    </row>
    <row r="26" spans="1:186" ht="15" customHeight="1" x14ac:dyDescent="0.25">
      <c r="A26" s="60"/>
      <c r="B26" s="96">
        <f>IF(DATA!B24="","",DATA!B24)</f>
        <v>20</v>
      </c>
      <c r="C26" s="96" t="str">
        <f>IF(DATA!C24="","",DATA!C24)</f>
        <v/>
      </c>
      <c r="D26" s="96" t="str">
        <f>IF(DATA!D24="","",DATA!D24)</f>
        <v/>
      </c>
      <c r="E26" s="303" t="str">
        <f>IF(DATA!E24="","",DATA!E24)</f>
        <v/>
      </c>
      <c r="F26" s="303" t="str">
        <f>IF(DATA!F24="","",DATA!F24)</f>
        <v/>
      </c>
      <c r="G26" s="303" t="str">
        <f>IF(DATA!G24="","",DATA!G24)</f>
        <v/>
      </c>
      <c r="H26" s="98" t="str">
        <f>IF(DATA!H24="","",DATA!H24)</f>
        <v/>
      </c>
      <c r="I26" s="97" t="str">
        <f>IF(DATA!I24="","",DATA!I24)</f>
        <v/>
      </c>
      <c r="J26" s="97" t="str">
        <f>IF(DATA!J24="","",DATA!J24)</f>
        <v/>
      </c>
      <c r="K26" s="97" t="str">
        <f>IF(DATA!K24="","",DATA!K24)</f>
        <v/>
      </c>
      <c r="L26" s="99" t="str">
        <f>IF(ENGLISH!E26="","",ENGLISH!E26)</f>
        <v/>
      </c>
      <c r="M26" s="100" t="str">
        <f t="shared" si="46"/>
        <v/>
      </c>
      <c r="N26" s="99" t="str">
        <f>IF(ENGLISH!F26="","",ENGLISH!F26)</f>
        <v/>
      </c>
      <c r="O26" s="100" t="str">
        <f t="shared" si="47"/>
        <v/>
      </c>
      <c r="P26" s="99" t="str">
        <f>IF(ENGLISH!G26="","",ENGLISH!G26)</f>
        <v/>
      </c>
      <c r="Q26" s="99" t="str">
        <f t="shared" si="48"/>
        <v/>
      </c>
      <c r="R26" s="100" t="str">
        <f>IFERROR(LARGE((M26,O26,Q26),1),"")</f>
        <v/>
      </c>
      <c r="S26" s="100" t="str">
        <f>IFERROR(LARGE((M26,O26,Q26),2),"")</f>
        <v/>
      </c>
      <c r="T26" s="99" t="str">
        <f t="shared" si="49"/>
        <v/>
      </c>
      <c r="U26" s="100" t="str">
        <f>IF(ENGLISH!H26="","",ENGLISH!H26)</f>
        <v/>
      </c>
      <c r="V26" s="99" t="str">
        <f>IF(ENGLISH!I26="","",ENGLISH!I26)</f>
        <v/>
      </c>
      <c r="W26" s="99" t="str">
        <f>IF(ENGLISH!J26="","",ENGLISH!J26)</f>
        <v/>
      </c>
      <c r="X26" s="99" t="str">
        <f t="shared" si="50"/>
        <v/>
      </c>
      <c r="Y26" s="100" t="str">
        <f>IF(ENGLISH!K26="","",ENGLISH!K26)</f>
        <v/>
      </c>
      <c r="Z26" s="100" t="str">
        <f t="shared" si="51"/>
        <v/>
      </c>
      <c r="AA26" s="101" t="str">
        <f t="shared" si="52"/>
        <v/>
      </c>
      <c r="AB26" s="99" t="str">
        <f t="shared" si="15"/>
        <v/>
      </c>
      <c r="AC26" s="99" t="str">
        <f>IF(ENGLISH!O26="","",ENGLISH!O26)</f>
        <v/>
      </c>
      <c r="AD26" s="99" t="str">
        <f t="shared" si="53"/>
        <v/>
      </c>
      <c r="AE26" s="99" t="str">
        <f t="shared" si="54"/>
        <v/>
      </c>
      <c r="AF26" s="99" t="str">
        <f t="shared" si="55"/>
        <v/>
      </c>
      <c r="AG26" s="102" t="str">
        <f>IF(C26="","",VLOOKUP(C26,'HINDI-SKT'!$D$7:$E$51,2,0))</f>
        <v/>
      </c>
      <c r="AH26" s="102" t="str">
        <f>IF('HINDI-SKT'!F26="","",'HINDI-SKT'!F26)</f>
        <v/>
      </c>
      <c r="AI26" s="103" t="str">
        <f t="shared" si="16"/>
        <v/>
      </c>
      <c r="AJ26" s="102" t="str">
        <f>IF('HINDI-SKT'!G26="","",'HINDI-SKT'!G26)</f>
        <v/>
      </c>
      <c r="AK26" s="103" t="str">
        <f t="shared" si="17"/>
        <v/>
      </c>
      <c r="AL26" s="102" t="str">
        <f>IF('HINDI-SKT'!H26="","",'HINDI-SKT'!H26)</f>
        <v/>
      </c>
      <c r="AM26" s="102" t="str">
        <f t="shared" si="18"/>
        <v/>
      </c>
      <c r="AN26" s="103" t="str">
        <f>IFERROR(LARGE((AI26,AK26,AM26),1),"")</f>
        <v/>
      </c>
      <c r="AO26" s="103" t="str">
        <f>IFERROR(LARGE((AI26,AK26,AM26),2),"")</f>
        <v/>
      </c>
      <c r="AP26" s="102" t="str">
        <f t="shared" si="19"/>
        <v/>
      </c>
      <c r="AQ26" s="103" t="str">
        <f>IF('HINDI-SKT'!I26="","",'HINDI-SKT'!I26)</f>
        <v/>
      </c>
      <c r="AR26" s="102" t="str">
        <f>IF('HINDI-SKT'!J26="","",'HINDI-SKT'!J26)</f>
        <v/>
      </c>
      <c r="AS26" s="102" t="str">
        <f>IF('HINDI-SKT'!K26="","",'HINDI-SKT'!K26)</f>
        <v/>
      </c>
      <c r="AT26" s="102" t="str">
        <f t="shared" si="56"/>
        <v/>
      </c>
      <c r="AU26" s="102" t="str">
        <f>IF('HINDI-SKT'!L26="","",'HINDI-SKT'!L26)</f>
        <v/>
      </c>
      <c r="AV26" s="103" t="str">
        <f t="shared" si="57"/>
        <v/>
      </c>
      <c r="AW26" s="102" t="str">
        <f t="shared" si="58"/>
        <v/>
      </c>
      <c r="AX26" s="102" t="str">
        <f t="shared" si="59"/>
        <v/>
      </c>
      <c r="AY26" s="102" t="str">
        <f>IF('HINDI-SKT'!P26="","",'HINDI-SKT'!P26)</f>
        <v/>
      </c>
      <c r="AZ26" s="102" t="str">
        <f t="shared" si="60"/>
        <v/>
      </c>
      <c r="BA26" s="102" t="str">
        <f t="shared" si="61"/>
        <v/>
      </c>
      <c r="BB26" s="102" t="str">
        <f t="shared" si="62"/>
        <v/>
      </c>
      <c r="BC26" s="99" t="str">
        <f>IF(MATHS!E26="","",MATHS!E26)</f>
        <v/>
      </c>
      <c r="BD26" s="100" t="str">
        <f t="shared" si="22"/>
        <v/>
      </c>
      <c r="BE26" s="99" t="str">
        <f>IF(MATHS!F26="","",MATHS!F26)</f>
        <v/>
      </c>
      <c r="BF26" s="100" t="str">
        <f t="shared" si="23"/>
        <v/>
      </c>
      <c r="BG26" s="99" t="str">
        <f>IF(MATHS!G26="","",MATHS!G26)</f>
        <v/>
      </c>
      <c r="BH26" s="99" t="str">
        <f t="shared" si="24"/>
        <v/>
      </c>
      <c r="BI26" s="100" t="str">
        <f>IFERROR(LARGE((BD26,BF26,BH26),1),"")</f>
        <v/>
      </c>
      <c r="BJ26" s="100" t="str">
        <f>IFERROR(LARGE((BD26,BF26,BH26),2),"")</f>
        <v/>
      </c>
      <c r="BK26" s="99" t="str">
        <f t="shared" si="25"/>
        <v/>
      </c>
      <c r="BL26" s="100" t="str">
        <f>IF(MATHS!H26="","",MATHS!H26)</f>
        <v/>
      </c>
      <c r="BM26" s="99" t="str">
        <f>IF(MATHS!I26="","",MATHS!I26)</f>
        <v/>
      </c>
      <c r="BN26" s="99" t="str">
        <f>IF(MATHS!J26="","",MATHS!J26)</f>
        <v/>
      </c>
      <c r="BO26" s="99" t="str">
        <f t="shared" si="63"/>
        <v/>
      </c>
      <c r="BP26" s="99" t="str">
        <f>IF(MATHS!K26="","",MATHS!K26)</f>
        <v/>
      </c>
      <c r="BQ26" s="100" t="str">
        <f t="shared" si="26"/>
        <v/>
      </c>
      <c r="BR26" s="99" t="str">
        <f t="shared" si="64"/>
        <v/>
      </c>
      <c r="BS26" s="99" t="str">
        <f t="shared" si="27"/>
        <v/>
      </c>
      <c r="BT26" s="99" t="str">
        <f>IF(MATHS!O26="","",MATHS!O26)</f>
        <v/>
      </c>
      <c r="BU26" s="99" t="str">
        <f t="shared" si="65"/>
        <v/>
      </c>
      <c r="BV26" s="99" t="str">
        <f t="shared" si="66"/>
        <v/>
      </c>
      <c r="BW26" s="102" t="str">
        <f t="shared" si="67"/>
        <v/>
      </c>
      <c r="BX26" s="102" t="str">
        <f>IF(SCIENCE!E26="","",SCIENCE!E26)</f>
        <v/>
      </c>
      <c r="BY26" s="103" t="str">
        <f t="shared" si="28"/>
        <v/>
      </c>
      <c r="BZ26" s="102" t="str">
        <f>IF(SCIENCE!F26="","",SCIENCE!F26)</f>
        <v/>
      </c>
      <c r="CA26" s="103" t="str">
        <f t="shared" si="29"/>
        <v/>
      </c>
      <c r="CB26" s="102" t="str">
        <f>IF(SCIENCE!G26="","",SCIENCE!G26)</f>
        <v/>
      </c>
      <c r="CC26" s="102" t="str">
        <f t="shared" si="30"/>
        <v/>
      </c>
      <c r="CD26" s="103" t="str">
        <f>IFERROR(LARGE((BY26,CA26,CC26),1),"")</f>
        <v/>
      </c>
      <c r="CE26" s="103" t="str">
        <f>IFERROR(LARGE((BY26,CA26,CC26),2),"")</f>
        <v/>
      </c>
      <c r="CF26" s="102" t="str">
        <f t="shared" si="31"/>
        <v/>
      </c>
      <c r="CG26" s="103" t="str">
        <f>IF(SCIENCE!H26="","",SCIENCE!H26)</f>
        <v/>
      </c>
      <c r="CH26" s="103" t="str">
        <f>IF(SCIENCE!I26="","",SCIENCE!I26)</f>
        <v/>
      </c>
      <c r="CI26" s="103" t="str">
        <f>IF(SCIENCE!J26="","",SCIENCE!J26)</f>
        <v/>
      </c>
      <c r="CJ26" s="103" t="str">
        <f t="shared" si="68"/>
        <v/>
      </c>
      <c r="CK26" s="103" t="str">
        <f>IF(SCIENCE!K26="","",SCIENCE!K26)</f>
        <v/>
      </c>
      <c r="CL26" s="103" t="str">
        <f t="shared" si="32"/>
        <v/>
      </c>
      <c r="CM26" s="102" t="str">
        <f t="shared" si="69"/>
        <v/>
      </c>
      <c r="CN26" s="102" t="str">
        <f t="shared" si="33"/>
        <v/>
      </c>
      <c r="CO26" s="102" t="str">
        <f>IF(SCIENCE!O26="","",SCIENCE!O26)</f>
        <v/>
      </c>
      <c r="CP26" s="102" t="str">
        <f t="shared" si="70"/>
        <v/>
      </c>
      <c r="CQ26" s="102" t="str">
        <f t="shared" si="71"/>
        <v/>
      </c>
      <c r="CR26" s="102" t="str">
        <f t="shared" si="72"/>
        <v/>
      </c>
      <c r="CS26" s="99" t="str">
        <f>IF(SST!E26="","",SST!E26)</f>
        <v/>
      </c>
      <c r="CT26" s="100" t="str">
        <f t="shared" si="34"/>
        <v/>
      </c>
      <c r="CU26" s="99" t="str">
        <f>IF(SST!F26="","",SST!F26)</f>
        <v/>
      </c>
      <c r="CV26" s="100" t="str">
        <f t="shared" si="35"/>
        <v/>
      </c>
      <c r="CW26" s="99" t="str">
        <f>IF(SST!G26="","",SST!G26)</f>
        <v/>
      </c>
      <c r="CX26" s="99" t="str">
        <f t="shared" si="36"/>
        <v/>
      </c>
      <c r="CY26" s="100" t="str">
        <f>IFERROR(LARGE((CT26,CV26,CX26),1),"")</f>
        <v/>
      </c>
      <c r="CZ26" s="100" t="str">
        <f>IFERROR(LARGE((CT26,CV26,CX26),2),"")</f>
        <v/>
      </c>
      <c r="DA26" s="99" t="str">
        <f t="shared" si="37"/>
        <v/>
      </c>
      <c r="DB26" s="100" t="str">
        <f>IF(SST!H26="","",SST!H26)</f>
        <v/>
      </c>
      <c r="DC26" s="100" t="str">
        <f>IF(SST!I26="","",SST!I26)</f>
        <v/>
      </c>
      <c r="DD26" s="100" t="str">
        <f>IF(SST!J26="","",SST!J26)</f>
        <v/>
      </c>
      <c r="DE26" s="100" t="str">
        <f t="shared" si="73"/>
        <v/>
      </c>
      <c r="DF26" s="100" t="str">
        <f>IF(SST!K26="","",SST!K26)</f>
        <v/>
      </c>
      <c r="DG26" s="100" t="str">
        <f t="shared" si="74"/>
        <v/>
      </c>
      <c r="DH26" s="99" t="str">
        <f t="shared" si="75"/>
        <v/>
      </c>
      <c r="DI26" s="99" t="str">
        <f t="shared" si="38"/>
        <v/>
      </c>
      <c r="DJ26" s="99" t="str">
        <f>IF(SST!O26="","",SST!O26)</f>
        <v/>
      </c>
      <c r="DK26" s="99" t="str">
        <f t="shared" si="76"/>
        <v/>
      </c>
      <c r="DL26" s="99" t="str">
        <f t="shared" si="77"/>
        <v/>
      </c>
      <c r="DM26" s="99" t="str">
        <f t="shared" si="78"/>
        <v/>
      </c>
      <c r="DN26" s="99"/>
      <c r="DO26" s="102" t="str">
        <f>IF(C26="","",IF(VLOOKUP(C26,VOCATIONAL!$D$7:$E$51,2,0)="","",VLOOKUP(C26,VOCATIONAL!$D$7:$E$51,2,0)))</f>
        <v/>
      </c>
      <c r="DP26" s="102" t="str">
        <f>IF(VOCATIONAL!F26="","",VOCATIONAL!F26)</f>
        <v/>
      </c>
      <c r="DQ26" s="102" t="str">
        <f>IF(VOCATIONAL!G26="","",VOCATIONAL!G26)</f>
        <v/>
      </c>
      <c r="DR26" s="102" t="str">
        <f t="shared" si="79"/>
        <v/>
      </c>
      <c r="DS26" s="102" t="str">
        <f t="shared" si="80"/>
        <v/>
      </c>
      <c r="DT26" s="102" t="str">
        <f>IF(VOCATIONAL!K26="","",VOCATIONAL!K26)</f>
        <v/>
      </c>
      <c r="DU26" s="102" t="str">
        <f t="shared" si="81"/>
        <v/>
      </c>
      <c r="DV26" s="102" t="str">
        <f t="shared" si="82"/>
        <v/>
      </c>
      <c r="DW26" s="99"/>
      <c r="DX26" s="104" t="str">
        <f t="shared" si="83"/>
        <v/>
      </c>
      <c r="DY26" s="104" t="str">
        <f t="shared" si="84"/>
        <v/>
      </c>
      <c r="DZ26" s="104" t="str">
        <f t="shared" si="85"/>
        <v/>
      </c>
      <c r="EA26" s="104" t="str">
        <f t="shared" si="86"/>
        <v/>
      </c>
      <c r="EB26" s="104" t="str">
        <f t="shared" si="87"/>
        <v/>
      </c>
      <c r="EC26" s="104" t="str">
        <f t="shared" si="88"/>
        <v/>
      </c>
      <c r="ED26" s="104" t="str">
        <f t="shared" si="89"/>
        <v/>
      </c>
      <c r="EE26" s="104" t="str">
        <f t="shared" si="90"/>
        <v/>
      </c>
      <c r="EF26" s="104" t="str">
        <f t="shared" si="91"/>
        <v/>
      </c>
      <c r="EG26" s="104" t="str">
        <f t="shared" si="92"/>
        <v/>
      </c>
      <c r="EH26" s="104" t="str">
        <f t="shared" si="93"/>
        <v/>
      </c>
      <c r="EI26" s="104" t="str">
        <f t="shared" si="94"/>
        <v/>
      </c>
      <c r="EJ26" s="105" t="str">
        <f t="shared" si="95"/>
        <v/>
      </c>
      <c r="EK26" s="105" t="str">
        <f t="shared" si="96"/>
        <v/>
      </c>
      <c r="EL26" s="105" t="str">
        <f t="shared" si="97"/>
        <v/>
      </c>
      <c r="EM26" s="105" t="str">
        <f t="shared" si="98"/>
        <v/>
      </c>
      <c r="EN26" s="105" t="str">
        <f t="shared" si="99"/>
        <v/>
      </c>
      <c r="EO26" s="363" t="str">
        <f t="shared" si="100"/>
        <v/>
      </c>
      <c r="EP26" s="106" t="str">
        <f t="shared" si="101"/>
        <v/>
      </c>
      <c r="EQ26" s="106" t="str">
        <f t="shared" si="102"/>
        <v/>
      </c>
      <c r="ER26" s="106" t="str">
        <f t="shared" si="103"/>
        <v/>
      </c>
      <c r="ES26" s="106" t="str">
        <f t="shared" si="104"/>
        <v/>
      </c>
      <c r="ET26" s="106" t="str">
        <f t="shared" si="105"/>
        <v/>
      </c>
      <c r="EU26" s="106" t="str">
        <f t="shared" si="106"/>
        <v/>
      </c>
      <c r="EV26" s="92" t="str">
        <f t="shared" si="107"/>
        <v/>
      </c>
      <c r="EW26" s="92" t="str">
        <f t="shared" si="108"/>
        <v/>
      </c>
      <c r="EX26" s="92" t="str">
        <f t="shared" si="109"/>
        <v/>
      </c>
      <c r="EY26" s="92" t="str">
        <f t="shared" si="110"/>
        <v/>
      </c>
      <c r="EZ26" s="92" t="str">
        <f t="shared" si="111"/>
        <v/>
      </c>
      <c r="FA26" s="92" t="str">
        <f t="shared" si="112"/>
        <v/>
      </c>
      <c r="FB26" s="93" t="str">
        <f t="shared" si="113"/>
        <v/>
      </c>
      <c r="FC26" s="93" t="str">
        <f t="shared" si="114"/>
        <v/>
      </c>
      <c r="FD26" s="93" t="str">
        <f t="shared" si="115"/>
        <v/>
      </c>
      <c r="FE26" s="93" t="str">
        <f t="shared" si="116"/>
        <v/>
      </c>
      <c r="FF26" s="93" t="str">
        <f t="shared" si="117"/>
        <v/>
      </c>
      <c r="FG26" s="93" t="str">
        <f t="shared" si="118"/>
        <v/>
      </c>
      <c r="FH26" s="107" t="str">
        <f t="shared" si="119"/>
        <v/>
      </c>
      <c r="FI26" s="107" t="str">
        <f t="shared" si="120"/>
        <v/>
      </c>
      <c r="FJ26" s="256" t="str">
        <f t="shared" si="121"/>
        <v/>
      </c>
      <c r="FK26" s="256" t="str">
        <f t="shared" si="122"/>
        <v/>
      </c>
      <c r="FL26" s="256" t="str">
        <f t="shared" si="123"/>
        <v/>
      </c>
      <c r="FM26" s="256" t="str">
        <f t="shared" si="124"/>
        <v/>
      </c>
      <c r="FN26" s="256" t="str">
        <f>IF(OR(C26="TC",C26=""),"",IF(OR(FJ26="PASS",FJ26="FAIL"),IF(EC26="",SUM(FB26:FF26),SUM(LARGE(FB26:FG26,{1,2,3,4,5}))),""))</f>
        <v/>
      </c>
      <c r="FO26" s="256" t="str">
        <f>IF(AND(FN26="",FK26="PASSED AFTER COMPARTMENT"),IF(EC26="",SUM(FB26:FF26),SUM(LARGE(FB26:FG26,{1,2,3,4,5}))),FN26)</f>
        <v/>
      </c>
      <c r="FP26" s="256" t="str">
        <f t="shared" si="125"/>
        <v/>
      </c>
      <c r="FQ26" s="256" t="str">
        <f t="shared" si="126"/>
        <v/>
      </c>
      <c r="FR26" s="256" t="str">
        <f t="shared" si="127"/>
        <v/>
      </c>
      <c r="FS26" s="256" t="str">
        <f t="shared" si="128"/>
        <v/>
      </c>
      <c r="FT26" s="108" t="str">
        <f t="shared" si="129"/>
        <v/>
      </c>
      <c r="FU26" s="256" t="str">
        <f t="shared" si="130"/>
        <v/>
      </c>
      <c r="FV26" s="109" t="str">
        <f>IF(ATTENDANCE!Q27="","",ATTENDANCE!Q27)</f>
        <v/>
      </c>
      <c r="FW26" s="110" t="str">
        <f t="shared" si="131"/>
        <v/>
      </c>
      <c r="FX26" s="110" t="str">
        <f t="shared" si="132"/>
        <v/>
      </c>
      <c r="FY26" s="365" t="str">
        <f t="shared" si="133"/>
        <v/>
      </c>
      <c r="FZ26" s="108" t="str">
        <f t="shared" si="134"/>
        <v/>
      </c>
      <c r="GA26" s="256" t="str">
        <f>IF(ATTENDANCE!Q27="","",ATTENDANCE!Q27)</f>
        <v/>
      </c>
      <c r="GB26" s="108" t="str">
        <f>IF(ATTENDANCE!Q27="","",ATTENDANCE!$Q27)</f>
        <v/>
      </c>
      <c r="GC26" s="108" t="s">
        <v>230</v>
      </c>
      <c r="GD26" s="60"/>
    </row>
    <row r="27" spans="1:186" ht="15" customHeight="1" x14ac:dyDescent="0.25">
      <c r="A27" s="60"/>
      <c r="B27" s="96">
        <f>IF(DATA!B25="","",DATA!B25)</f>
        <v>21</v>
      </c>
      <c r="C27" s="96" t="str">
        <f>IF(DATA!C25="","",DATA!C25)</f>
        <v/>
      </c>
      <c r="D27" s="96" t="str">
        <f>IF(DATA!D25="","",DATA!D25)</f>
        <v/>
      </c>
      <c r="E27" s="303" t="str">
        <f>IF(DATA!E25="","",DATA!E25)</f>
        <v/>
      </c>
      <c r="F27" s="303" t="str">
        <f>IF(DATA!F25="","",DATA!F25)</f>
        <v/>
      </c>
      <c r="G27" s="303" t="str">
        <f>IF(DATA!G25="","",DATA!G25)</f>
        <v/>
      </c>
      <c r="H27" s="98" t="str">
        <f>IF(DATA!H25="","",DATA!H25)</f>
        <v/>
      </c>
      <c r="I27" s="97" t="str">
        <f>IF(DATA!I25="","",DATA!I25)</f>
        <v/>
      </c>
      <c r="J27" s="97" t="str">
        <f>IF(DATA!J25="","",DATA!J25)</f>
        <v/>
      </c>
      <c r="K27" s="97" t="str">
        <f>IF(DATA!K25="","",DATA!K25)</f>
        <v/>
      </c>
      <c r="L27" s="99" t="str">
        <f>IF(ENGLISH!E27="","",ENGLISH!E27)</f>
        <v/>
      </c>
      <c r="M27" s="100" t="str">
        <f t="shared" si="46"/>
        <v/>
      </c>
      <c r="N27" s="99" t="str">
        <f>IF(ENGLISH!F27="","",ENGLISH!F27)</f>
        <v/>
      </c>
      <c r="O27" s="100" t="str">
        <f t="shared" si="47"/>
        <v/>
      </c>
      <c r="P27" s="99" t="str">
        <f>IF(ENGLISH!G27="","",ENGLISH!G27)</f>
        <v/>
      </c>
      <c r="Q27" s="99" t="str">
        <f t="shared" si="48"/>
        <v/>
      </c>
      <c r="R27" s="100" t="str">
        <f>IFERROR(LARGE((M27,O27,Q27),1),"")</f>
        <v/>
      </c>
      <c r="S27" s="100" t="str">
        <f>IFERROR(LARGE((M27,O27,Q27),2),"")</f>
        <v/>
      </c>
      <c r="T27" s="99" t="str">
        <f t="shared" si="49"/>
        <v/>
      </c>
      <c r="U27" s="100" t="str">
        <f>IF(ENGLISH!H27="","",ENGLISH!H27)</f>
        <v/>
      </c>
      <c r="V27" s="99" t="str">
        <f>IF(ENGLISH!I27="","",ENGLISH!I27)</f>
        <v/>
      </c>
      <c r="W27" s="99" t="str">
        <f>IF(ENGLISH!J27="","",ENGLISH!J27)</f>
        <v/>
      </c>
      <c r="X27" s="99" t="str">
        <f t="shared" si="50"/>
        <v/>
      </c>
      <c r="Y27" s="100" t="str">
        <f>IF(ENGLISH!K27="","",ENGLISH!K27)</f>
        <v/>
      </c>
      <c r="Z27" s="100" t="str">
        <f t="shared" si="51"/>
        <v/>
      </c>
      <c r="AA27" s="101" t="str">
        <f t="shared" si="52"/>
        <v/>
      </c>
      <c r="AB27" s="99" t="str">
        <f t="shared" si="15"/>
        <v/>
      </c>
      <c r="AC27" s="99" t="str">
        <f>IF(ENGLISH!O27="","",ENGLISH!O27)</f>
        <v/>
      </c>
      <c r="AD27" s="99" t="str">
        <f t="shared" si="53"/>
        <v/>
      </c>
      <c r="AE27" s="99" t="str">
        <f t="shared" si="54"/>
        <v/>
      </c>
      <c r="AF27" s="99" t="str">
        <f t="shared" si="55"/>
        <v/>
      </c>
      <c r="AG27" s="102" t="str">
        <f>IF(C27="","",VLOOKUP(C27,'HINDI-SKT'!$D$7:$E$51,2,0))</f>
        <v/>
      </c>
      <c r="AH27" s="102" t="str">
        <f>IF('HINDI-SKT'!F27="","",'HINDI-SKT'!F27)</f>
        <v/>
      </c>
      <c r="AI27" s="103" t="str">
        <f t="shared" si="16"/>
        <v/>
      </c>
      <c r="AJ27" s="102" t="str">
        <f>IF('HINDI-SKT'!G27="","",'HINDI-SKT'!G27)</f>
        <v/>
      </c>
      <c r="AK27" s="103" t="str">
        <f t="shared" si="17"/>
        <v/>
      </c>
      <c r="AL27" s="102" t="str">
        <f>IF('HINDI-SKT'!H27="","",'HINDI-SKT'!H27)</f>
        <v/>
      </c>
      <c r="AM27" s="102" t="str">
        <f t="shared" si="18"/>
        <v/>
      </c>
      <c r="AN27" s="103" t="str">
        <f>IFERROR(LARGE((AI27,AK27,AM27),1),"")</f>
        <v/>
      </c>
      <c r="AO27" s="103" t="str">
        <f>IFERROR(LARGE((AI27,AK27,AM27),2),"")</f>
        <v/>
      </c>
      <c r="AP27" s="102" t="str">
        <f t="shared" si="19"/>
        <v/>
      </c>
      <c r="AQ27" s="103" t="str">
        <f>IF('HINDI-SKT'!I27="","",'HINDI-SKT'!I27)</f>
        <v/>
      </c>
      <c r="AR27" s="102" t="str">
        <f>IF('HINDI-SKT'!J27="","",'HINDI-SKT'!J27)</f>
        <v/>
      </c>
      <c r="AS27" s="102" t="str">
        <f>IF('HINDI-SKT'!K27="","",'HINDI-SKT'!K27)</f>
        <v/>
      </c>
      <c r="AT27" s="102" t="str">
        <f t="shared" si="56"/>
        <v/>
      </c>
      <c r="AU27" s="102" t="str">
        <f>IF('HINDI-SKT'!L27="","",'HINDI-SKT'!L27)</f>
        <v/>
      </c>
      <c r="AV27" s="103" t="str">
        <f t="shared" si="57"/>
        <v/>
      </c>
      <c r="AW27" s="102" t="str">
        <f t="shared" si="58"/>
        <v/>
      </c>
      <c r="AX27" s="102" t="str">
        <f t="shared" si="59"/>
        <v/>
      </c>
      <c r="AY27" s="102" t="str">
        <f>IF('HINDI-SKT'!P27="","",'HINDI-SKT'!P27)</f>
        <v/>
      </c>
      <c r="AZ27" s="102" t="str">
        <f t="shared" si="60"/>
        <v/>
      </c>
      <c r="BA27" s="102" t="str">
        <f t="shared" si="61"/>
        <v/>
      </c>
      <c r="BB27" s="102" t="str">
        <f t="shared" si="62"/>
        <v/>
      </c>
      <c r="BC27" s="99" t="str">
        <f>IF(MATHS!E27="","",MATHS!E27)</f>
        <v/>
      </c>
      <c r="BD27" s="100" t="str">
        <f t="shared" si="22"/>
        <v/>
      </c>
      <c r="BE27" s="99" t="str">
        <f>IF(MATHS!F27="","",MATHS!F27)</f>
        <v/>
      </c>
      <c r="BF27" s="100" t="str">
        <f t="shared" si="23"/>
        <v/>
      </c>
      <c r="BG27" s="99" t="str">
        <f>IF(MATHS!G27="","",MATHS!G27)</f>
        <v/>
      </c>
      <c r="BH27" s="99" t="str">
        <f t="shared" si="24"/>
        <v/>
      </c>
      <c r="BI27" s="100" t="str">
        <f>IFERROR(LARGE((BD27,BF27,BH27),1),"")</f>
        <v/>
      </c>
      <c r="BJ27" s="100" t="str">
        <f>IFERROR(LARGE((BD27,BF27,BH27),2),"")</f>
        <v/>
      </c>
      <c r="BK27" s="99" t="str">
        <f t="shared" si="25"/>
        <v/>
      </c>
      <c r="BL27" s="100" t="str">
        <f>IF(MATHS!H27="","",MATHS!H27)</f>
        <v/>
      </c>
      <c r="BM27" s="99" t="str">
        <f>IF(MATHS!I27="","",MATHS!I27)</f>
        <v/>
      </c>
      <c r="BN27" s="99" t="str">
        <f>IF(MATHS!J27="","",MATHS!J27)</f>
        <v/>
      </c>
      <c r="BO27" s="99" t="str">
        <f t="shared" si="63"/>
        <v/>
      </c>
      <c r="BP27" s="99" t="str">
        <f>IF(MATHS!K27="","",MATHS!K27)</f>
        <v/>
      </c>
      <c r="BQ27" s="100" t="str">
        <f t="shared" si="26"/>
        <v/>
      </c>
      <c r="BR27" s="99" t="str">
        <f t="shared" si="64"/>
        <v/>
      </c>
      <c r="BS27" s="99" t="str">
        <f t="shared" si="27"/>
        <v/>
      </c>
      <c r="BT27" s="99" t="str">
        <f>IF(MATHS!O27="","",MATHS!O27)</f>
        <v/>
      </c>
      <c r="BU27" s="99" t="str">
        <f t="shared" si="65"/>
        <v/>
      </c>
      <c r="BV27" s="99" t="str">
        <f t="shared" si="66"/>
        <v/>
      </c>
      <c r="BW27" s="102" t="str">
        <f t="shared" si="67"/>
        <v/>
      </c>
      <c r="BX27" s="102" t="str">
        <f>IF(SCIENCE!E27="","",SCIENCE!E27)</f>
        <v/>
      </c>
      <c r="BY27" s="103" t="str">
        <f t="shared" si="28"/>
        <v/>
      </c>
      <c r="BZ27" s="102" t="str">
        <f>IF(SCIENCE!F27="","",SCIENCE!F27)</f>
        <v/>
      </c>
      <c r="CA27" s="103" t="str">
        <f t="shared" si="29"/>
        <v/>
      </c>
      <c r="CB27" s="102" t="str">
        <f>IF(SCIENCE!G27="","",SCIENCE!G27)</f>
        <v/>
      </c>
      <c r="CC27" s="102" t="str">
        <f t="shared" si="30"/>
        <v/>
      </c>
      <c r="CD27" s="103" t="str">
        <f>IFERROR(LARGE((BY27,CA27,CC27),1),"")</f>
        <v/>
      </c>
      <c r="CE27" s="103" t="str">
        <f>IFERROR(LARGE((BY27,CA27,CC27),2),"")</f>
        <v/>
      </c>
      <c r="CF27" s="102" t="str">
        <f t="shared" si="31"/>
        <v/>
      </c>
      <c r="CG27" s="103" t="str">
        <f>IF(SCIENCE!H27="","",SCIENCE!H27)</f>
        <v/>
      </c>
      <c r="CH27" s="103" t="str">
        <f>IF(SCIENCE!I27="","",SCIENCE!I27)</f>
        <v/>
      </c>
      <c r="CI27" s="103" t="str">
        <f>IF(SCIENCE!J27="","",SCIENCE!J27)</f>
        <v/>
      </c>
      <c r="CJ27" s="103" t="str">
        <f t="shared" si="68"/>
        <v/>
      </c>
      <c r="CK27" s="103" t="str">
        <f>IF(SCIENCE!K27="","",SCIENCE!K27)</f>
        <v/>
      </c>
      <c r="CL27" s="103" t="str">
        <f t="shared" si="32"/>
        <v/>
      </c>
      <c r="CM27" s="102" t="str">
        <f t="shared" si="69"/>
        <v/>
      </c>
      <c r="CN27" s="102" t="str">
        <f t="shared" si="33"/>
        <v/>
      </c>
      <c r="CO27" s="102" t="str">
        <f>IF(SCIENCE!O27="","",SCIENCE!O27)</f>
        <v/>
      </c>
      <c r="CP27" s="102" t="str">
        <f t="shared" si="70"/>
        <v/>
      </c>
      <c r="CQ27" s="102" t="str">
        <f t="shared" si="71"/>
        <v/>
      </c>
      <c r="CR27" s="102" t="str">
        <f t="shared" si="72"/>
        <v/>
      </c>
      <c r="CS27" s="99" t="str">
        <f>IF(SST!E27="","",SST!E27)</f>
        <v/>
      </c>
      <c r="CT27" s="100" t="str">
        <f t="shared" si="34"/>
        <v/>
      </c>
      <c r="CU27" s="99" t="str">
        <f>IF(SST!F27="","",SST!F27)</f>
        <v/>
      </c>
      <c r="CV27" s="100" t="str">
        <f t="shared" si="35"/>
        <v/>
      </c>
      <c r="CW27" s="99" t="str">
        <f>IF(SST!G27="","",SST!G27)</f>
        <v/>
      </c>
      <c r="CX27" s="99" t="str">
        <f t="shared" si="36"/>
        <v/>
      </c>
      <c r="CY27" s="100" t="str">
        <f>IFERROR(LARGE((CT27,CV27,CX27),1),"")</f>
        <v/>
      </c>
      <c r="CZ27" s="100" t="str">
        <f>IFERROR(LARGE((CT27,CV27,CX27),2),"")</f>
        <v/>
      </c>
      <c r="DA27" s="99" t="str">
        <f t="shared" si="37"/>
        <v/>
      </c>
      <c r="DB27" s="100" t="str">
        <f>IF(SST!H27="","",SST!H27)</f>
        <v/>
      </c>
      <c r="DC27" s="100" t="str">
        <f>IF(SST!I27="","",SST!I27)</f>
        <v/>
      </c>
      <c r="DD27" s="100" t="str">
        <f>IF(SST!J27="","",SST!J27)</f>
        <v/>
      </c>
      <c r="DE27" s="100" t="str">
        <f t="shared" si="73"/>
        <v/>
      </c>
      <c r="DF27" s="100" t="str">
        <f>IF(SST!K27="","",SST!K27)</f>
        <v/>
      </c>
      <c r="DG27" s="100" t="str">
        <f t="shared" si="74"/>
        <v/>
      </c>
      <c r="DH27" s="99" t="str">
        <f t="shared" si="75"/>
        <v/>
      </c>
      <c r="DI27" s="99" t="str">
        <f t="shared" si="38"/>
        <v/>
      </c>
      <c r="DJ27" s="99" t="str">
        <f>IF(SST!O27="","",SST!O27)</f>
        <v/>
      </c>
      <c r="DK27" s="99" t="str">
        <f t="shared" si="76"/>
        <v/>
      </c>
      <c r="DL27" s="99" t="str">
        <f t="shared" si="77"/>
        <v/>
      </c>
      <c r="DM27" s="99" t="str">
        <f t="shared" si="78"/>
        <v/>
      </c>
      <c r="DN27" s="99"/>
      <c r="DO27" s="102" t="str">
        <f>IF(C27="","",IF(VLOOKUP(C27,VOCATIONAL!$D$7:$E$51,2,0)="","",VLOOKUP(C27,VOCATIONAL!$D$7:$E$51,2,0)))</f>
        <v/>
      </c>
      <c r="DP27" s="102" t="str">
        <f>IF(VOCATIONAL!F27="","",VOCATIONAL!F27)</f>
        <v/>
      </c>
      <c r="DQ27" s="102" t="str">
        <f>IF(VOCATIONAL!G27="","",VOCATIONAL!G27)</f>
        <v/>
      </c>
      <c r="DR27" s="102" t="str">
        <f t="shared" si="79"/>
        <v/>
      </c>
      <c r="DS27" s="102" t="str">
        <f t="shared" si="80"/>
        <v/>
      </c>
      <c r="DT27" s="102" t="str">
        <f>IF(VOCATIONAL!K27="","",VOCATIONAL!K27)</f>
        <v/>
      </c>
      <c r="DU27" s="102" t="str">
        <f t="shared" si="81"/>
        <v/>
      </c>
      <c r="DV27" s="102" t="str">
        <f t="shared" si="82"/>
        <v/>
      </c>
      <c r="DW27" s="99"/>
      <c r="DX27" s="104" t="str">
        <f t="shared" si="83"/>
        <v/>
      </c>
      <c r="DY27" s="104" t="str">
        <f t="shared" si="84"/>
        <v/>
      </c>
      <c r="DZ27" s="104" t="str">
        <f t="shared" si="85"/>
        <v/>
      </c>
      <c r="EA27" s="104" t="str">
        <f t="shared" si="86"/>
        <v/>
      </c>
      <c r="EB27" s="104" t="str">
        <f t="shared" si="87"/>
        <v/>
      </c>
      <c r="EC27" s="104" t="str">
        <f t="shared" si="88"/>
        <v/>
      </c>
      <c r="ED27" s="104" t="str">
        <f t="shared" si="89"/>
        <v/>
      </c>
      <c r="EE27" s="104" t="str">
        <f t="shared" si="90"/>
        <v/>
      </c>
      <c r="EF27" s="104" t="str">
        <f t="shared" si="91"/>
        <v/>
      </c>
      <c r="EG27" s="104" t="str">
        <f t="shared" si="92"/>
        <v/>
      </c>
      <c r="EH27" s="104" t="str">
        <f t="shared" si="93"/>
        <v/>
      </c>
      <c r="EI27" s="104" t="str">
        <f t="shared" si="94"/>
        <v/>
      </c>
      <c r="EJ27" s="105" t="str">
        <f t="shared" si="95"/>
        <v/>
      </c>
      <c r="EK27" s="105" t="str">
        <f t="shared" si="96"/>
        <v/>
      </c>
      <c r="EL27" s="105" t="str">
        <f t="shared" si="97"/>
        <v/>
      </c>
      <c r="EM27" s="105" t="str">
        <f t="shared" si="98"/>
        <v/>
      </c>
      <c r="EN27" s="105" t="str">
        <f t="shared" si="99"/>
        <v/>
      </c>
      <c r="EO27" s="363" t="str">
        <f t="shared" si="100"/>
        <v/>
      </c>
      <c r="EP27" s="106" t="str">
        <f t="shared" si="101"/>
        <v/>
      </c>
      <c r="EQ27" s="106" t="str">
        <f t="shared" si="102"/>
        <v/>
      </c>
      <c r="ER27" s="106" t="str">
        <f t="shared" si="103"/>
        <v/>
      </c>
      <c r="ES27" s="106" t="str">
        <f t="shared" si="104"/>
        <v/>
      </c>
      <c r="ET27" s="106" t="str">
        <f t="shared" si="105"/>
        <v/>
      </c>
      <c r="EU27" s="106" t="str">
        <f t="shared" si="106"/>
        <v/>
      </c>
      <c r="EV27" s="92" t="str">
        <f t="shared" si="107"/>
        <v/>
      </c>
      <c r="EW27" s="92" t="str">
        <f t="shared" si="108"/>
        <v/>
      </c>
      <c r="EX27" s="92" t="str">
        <f t="shared" si="109"/>
        <v/>
      </c>
      <c r="EY27" s="92" t="str">
        <f t="shared" si="110"/>
        <v/>
      </c>
      <c r="EZ27" s="92" t="str">
        <f t="shared" si="111"/>
        <v/>
      </c>
      <c r="FA27" s="92" t="str">
        <f t="shared" si="112"/>
        <v/>
      </c>
      <c r="FB27" s="93" t="str">
        <f t="shared" si="113"/>
        <v/>
      </c>
      <c r="FC27" s="93" t="str">
        <f t="shared" si="114"/>
        <v/>
      </c>
      <c r="FD27" s="93" t="str">
        <f t="shared" si="115"/>
        <v/>
      </c>
      <c r="FE27" s="93" t="str">
        <f t="shared" si="116"/>
        <v/>
      </c>
      <c r="FF27" s="93" t="str">
        <f t="shared" si="117"/>
        <v/>
      </c>
      <c r="FG27" s="93" t="str">
        <f t="shared" si="118"/>
        <v/>
      </c>
      <c r="FH27" s="107" t="str">
        <f t="shared" si="119"/>
        <v/>
      </c>
      <c r="FI27" s="107" t="str">
        <f t="shared" si="120"/>
        <v/>
      </c>
      <c r="FJ27" s="256" t="str">
        <f t="shared" si="121"/>
        <v/>
      </c>
      <c r="FK27" s="256" t="str">
        <f t="shared" si="122"/>
        <v/>
      </c>
      <c r="FL27" s="256" t="str">
        <f t="shared" si="123"/>
        <v/>
      </c>
      <c r="FM27" s="256" t="str">
        <f t="shared" si="124"/>
        <v/>
      </c>
      <c r="FN27" s="256" t="str">
        <f>IF(OR(C27="TC",C27=""),"",IF(OR(FJ27="PASS",FJ27="FAIL"),IF(EC27="",SUM(FB27:FF27),SUM(LARGE(FB27:FG27,{1,2,3,4,5}))),""))</f>
        <v/>
      </c>
      <c r="FO27" s="256" t="str">
        <f>IF(AND(FN27="",FK27="PASSED AFTER COMPARTMENT"),IF(EC27="",SUM(FB27:FF27),SUM(LARGE(FB27:FG27,{1,2,3,4,5}))),FN27)</f>
        <v/>
      </c>
      <c r="FP27" s="256" t="str">
        <f t="shared" si="125"/>
        <v/>
      </c>
      <c r="FQ27" s="256" t="str">
        <f t="shared" si="126"/>
        <v/>
      </c>
      <c r="FR27" s="256" t="str">
        <f t="shared" si="127"/>
        <v/>
      </c>
      <c r="FS27" s="256" t="str">
        <f t="shared" si="128"/>
        <v/>
      </c>
      <c r="FT27" s="108" t="str">
        <f t="shared" si="129"/>
        <v/>
      </c>
      <c r="FU27" s="256" t="str">
        <f t="shared" si="130"/>
        <v/>
      </c>
      <c r="FV27" s="109" t="str">
        <f>IF(ATTENDANCE!Q28="","",ATTENDANCE!Q28)</f>
        <v/>
      </c>
      <c r="FW27" s="110" t="str">
        <f t="shared" si="131"/>
        <v/>
      </c>
      <c r="FX27" s="110" t="str">
        <f t="shared" si="132"/>
        <v/>
      </c>
      <c r="FY27" s="365" t="str">
        <f t="shared" si="133"/>
        <v/>
      </c>
      <c r="FZ27" s="108" t="str">
        <f t="shared" si="134"/>
        <v/>
      </c>
      <c r="GA27" s="256" t="str">
        <f>IF(ATTENDANCE!Q28="","",ATTENDANCE!Q28)</f>
        <v/>
      </c>
      <c r="GB27" s="108" t="str">
        <f>IF(ATTENDANCE!Q28="","",ATTENDANCE!$Q28)</f>
        <v/>
      </c>
      <c r="GC27" s="108" t="s">
        <v>229</v>
      </c>
      <c r="GD27" s="60"/>
    </row>
    <row r="28" spans="1:186" ht="15" customHeight="1" x14ac:dyDescent="0.25">
      <c r="A28" s="60"/>
      <c r="B28" s="96">
        <f>IF(DATA!B26="","",DATA!B26)</f>
        <v>22</v>
      </c>
      <c r="C28" s="96" t="str">
        <f>IF(DATA!C26="","",DATA!C26)</f>
        <v/>
      </c>
      <c r="D28" s="96" t="str">
        <f>IF(DATA!D26="","",DATA!D26)</f>
        <v/>
      </c>
      <c r="E28" s="303" t="str">
        <f>IF(DATA!E26="","",DATA!E26)</f>
        <v/>
      </c>
      <c r="F28" s="303" t="str">
        <f>IF(DATA!F26="","",DATA!F26)</f>
        <v/>
      </c>
      <c r="G28" s="303" t="str">
        <f>IF(DATA!G26="","",DATA!G26)</f>
        <v/>
      </c>
      <c r="H28" s="98" t="str">
        <f>IF(DATA!H26="","",DATA!H26)</f>
        <v/>
      </c>
      <c r="I28" s="97" t="str">
        <f>IF(DATA!I26="","",DATA!I26)</f>
        <v/>
      </c>
      <c r="J28" s="97" t="str">
        <f>IF(DATA!J26="","",DATA!J26)</f>
        <v/>
      </c>
      <c r="K28" s="97" t="str">
        <f>IF(DATA!K26="","",DATA!K26)</f>
        <v/>
      </c>
      <c r="L28" s="99" t="str">
        <f>IF(ENGLISH!E28="","",ENGLISH!E28)</f>
        <v/>
      </c>
      <c r="M28" s="100" t="str">
        <f t="shared" si="46"/>
        <v/>
      </c>
      <c r="N28" s="99" t="str">
        <f>IF(ENGLISH!F28="","",ENGLISH!F28)</f>
        <v/>
      </c>
      <c r="O28" s="100" t="str">
        <f t="shared" si="47"/>
        <v/>
      </c>
      <c r="P28" s="99" t="str">
        <f>IF(ENGLISH!G28="","",ENGLISH!G28)</f>
        <v/>
      </c>
      <c r="Q28" s="99" t="str">
        <f t="shared" si="48"/>
        <v/>
      </c>
      <c r="R28" s="100" t="str">
        <f>IFERROR(LARGE((M28,O28,Q28),1),"")</f>
        <v/>
      </c>
      <c r="S28" s="100" t="str">
        <f>IFERROR(LARGE((M28,O28,Q28),2),"")</f>
        <v/>
      </c>
      <c r="T28" s="99" t="str">
        <f t="shared" si="49"/>
        <v/>
      </c>
      <c r="U28" s="100" t="str">
        <f>IF(ENGLISH!H28="","",ENGLISH!H28)</f>
        <v/>
      </c>
      <c r="V28" s="99" t="str">
        <f>IF(ENGLISH!I28="","",ENGLISH!I28)</f>
        <v/>
      </c>
      <c r="W28" s="99" t="str">
        <f>IF(ENGLISH!J28="","",ENGLISH!J28)</f>
        <v/>
      </c>
      <c r="X28" s="99" t="str">
        <f t="shared" si="50"/>
        <v/>
      </c>
      <c r="Y28" s="100" t="str">
        <f>IF(ENGLISH!K28="","",ENGLISH!K28)</f>
        <v/>
      </c>
      <c r="Z28" s="100" t="str">
        <f t="shared" si="51"/>
        <v/>
      </c>
      <c r="AA28" s="101" t="str">
        <f t="shared" si="52"/>
        <v/>
      </c>
      <c r="AB28" s="99" t="str">
        <f t="shared" si="15"/>
        <v/>
      </c>
      <c r="AC28" s="99" t="str">
        <f>IF(ENGLISH!O28="","",ENGLISH!O28)</f>
        <v/>
      </c>
      <c r="AD28" s="99" t="str">
        <f t="shared" si="53"/>
        <v/>
      </c>
      <c r="AE28" s="99" t="str">
        <f t="shared" si="54"/>
        <v/>
      </c>
      <c r="AF28" s="99" t="str">
        <f t="shared" si="55"/>
        <v/>
      </c>
      <c r="AG28" s="102" t="str">
        <f>IF(C28="","",VLOOKUP(C28,'HINDI-SKT'!$D$7:$E$51,2,0))</f>
        <v/>
      </c>
      <c r="AH28" s="102" t="str">
        <f>IF('HINDI-SKT'!F28="","",'HINDI-SKT'!F28)</f>
        <v/>
      </c>
      <c r="AI28" s="103" t="str">
        <f t="shared" si="16"/>
        <v/>
      </c>
      <c r="AJ28" s="102" t="str">
        <f>IF('HINDI-SKT'!G28="","",'HINDI-SKT'!G28)</f>
        <v/>
      </c>
      <c r="AK28" s="103" t="str">
        <f t="shared" si="17"/>
        <v/>
      </c>
      <c r="AL28" s="102" t="str">
        <f>IF('HINDI-SKT'!H28="","",'HINDI-SKT'!H28)</f>
        <v/>
      </c>
      <c r="AM28" s="102" t="str">
        <f t="shared" si="18"/>
        <v/>
      </c>
      <c r="AN28" s="103" t="str">
        <f>IFERROR(LARGE((AI28,AK28,AM28),1),"")</f>
        <v/>
      </c>
      <c r="AO28" s="103" t="str">
        <f>IFERROR(LARGE((AI28,AK28,AM28),2),"")</f>
        <v/>
      </c>
      <c r="AP28" s="102" t="str">
        <f t="shared" si="19"/>
        <v/>
      </c>
      <c r="AQ28" s="103" t="str">
        <f>IF('HINDI-SKT'!I28="","",'HINDI-SKT'!I28)</f>
        <v/>
      </c>
      <c r="AR28" s="102" t="str">
        <f>IF('HINDI-SKT'!J28="","",'HINDI-SKT'!J28)</f>
        <v/>
      </c>
      <c r="AS28" s="102" t="str">
        <f>IF('HINDI-SKT'!K28="","",'HINDI-SKT'!K28)</f>
        <v/>
      </c>
      <c r="AT28" s="102" t="str">
        <f t="shared" si="56"/>
        <v/>
      </c>
      <c r="AU28" s="102" t="str">
        <f>IF('HINDI-SKT'!L28="","",'HINDI-SKT'!L28)</f>
        <v/>
      </c>
      <c r="AV28" s="103" t="str">
        <f t="shared" si="57"/>
        <v/>
      </c>
      <c r="AW28" s="102" t="str">
        <f t="shared" si="58"/>
        <v/>
      </c>
      <c r="AX28" s="102" t="str">
        <f t="shared" si="59"/>
        <v/>
      </c>
      <c r="AY28" s="102" t="str">
        <f>IF('HINDI-SKT'!P28="","",'HINDI-SKT'!P28)</f>
        <v/>
      </c>
      <c r="AZ28" s="102" t="str">
        <f t="shared" si="60"/>
        <v/>
      </c>
      <c r="BA28" s="102" t="str">
        <f t="shared" si="61"/>
        <v/>
      </c>
      <c r="BB28" s="102" t="str">
        <f t="shared" si="62"/>
        <v/>
      </c>
      <c r="BC28" s="99" t="str">
        <f>IF(MATHS!E28="","",MATHS!E28)</f>
        <v/>
      </c>
      <c r="BD28" s="100" t="str">
        <f t="shared" si="22"/>
        <v/>
      </c>
      <c r="BE28" s="99" t="str">
        <f>IF(MATHS!F28="","",MATHS!F28)</f>
        <v/>
      </c>
      <c r="BF28" s="100" t="str">
        <f t="shared" si="23"/>
        <v/>
      </c>
      <c r="BG28" s="99" t="str">
        <f>IF(MATHS!G28="","",MATHS!G28)</f>
        <v/>
      </c>
      <c r="BH28" s="99" t="str">
        <f t="shared" si="24"/>
        <v/>
      </c>
      <c r="BI28" s="100" t="str">
        <f>IFERROR(LARGE((BD28,BF28,BH28),1),"")</f>
        <v/>
      </c>
      <c r="BJ28" s="100" t="str">
        <f>IFERROR(LARGE((BD28,BF28,BH28),2),"")</f>
        <v/>
      </c>
      <c r="BK28" s="99" t="str">
        <f t="shared" si="25"/>
        <v/>
      </c>
      <c r="BL28" s="100" t="str">
        <f>IF(MATHS!H28="","",MATHS!H28)</f>
        <v/>
      </c>
      <c r="BM28" s="99" t="str">
        <f>IF(MATHS!I28="","",MATHS!I28)</f>
        <v/>
      </c>
      <c r="BN28" s="99" t="str">
        <f>IF(MATHS!J28="","",MATHS!J28)</f>
        <v/>
      </c>
      <c r="BO28" s="99" t="str">
        <f t="shared" si="63"/>
        <v/>
      </c>
      <c r="BP28" s="99" t="str">
        <f>IF(MATHS!K28="","",MATHS!K28)</f>
        <v/>
      </c>
      <c r="BQ28" s="100" t="str">
        <f t="shared" si="26"/>
        <v/>
      </c>
      <c r="BR28" s="99" t="str">
        <f t="shared" si="64"/>
        <v/>
      </c>
      <c r="BS28" s="99" t="str">
        <f t="shared" si="27"/>
        <v/>
      </c>
      <c r="BT28" s="99" t="str">
        <f>IF(MATHS!O28="","",MATHS!O28)</f>
        <v/>
      </c>
      <c r="BU28" s="99" t="str">
        <f t="shared" si="65"/>
        <v/>
      </c>
      <c r="BV28" s="99" t="str">
        <f t="shared" si="66"/>
        <v/>
      </c>
      <c r="BW28" s="102" t="str">
        <f t="shared" si="67"/>
        <v/>
      </c>
      <c r="BX28" s="102" t="str">
        <f>IF(SCIENCE!E28="","",SCIENCE!E28)</f>
        <v/>
      </c>
      <c r="BY28" s="103" t="str">
        <f t="shared" si="28"/>
        <v/>
      </c>
      <c r="BZ28" s="102" t="str">
        <f>IF(SCIENCE!F28="","",SCIENCE!F28)</f>
        <v/>
      </c>
      <c r="CA28" s="103" t="str">
        <f t="shared" si="29"/>
        <v/>
      </c>
      <c r="CB28" s="102" t="str">
        <f>IF(SCIENCE!G28="","",SCIENCE!G28)</f>
        <v/>
      </c>
      <c r="CC28" s="102" t="str">
        <f t="shared" si="30"/>
        <v/>
      </c>
      <c r="CD28" s="103" t="str">
        <f>IFERROR(LARGE((BY28,CA28,CC28),1),"")</f>
        <v/>
      </c>
      <c r="CE28" s="103" t="str">
        <f>IFERROR(LARGE((BY28,CA28,CC28),2),"")</f>
        <v/>
      </c>
      <c r="CF28" s="102" t="str">
        <f t="shared" si="31"/>
        <v/>
      </c>
      <c r="CG28" s="103" t="str">
        <f>IF(SCIENCE!H28="","",SCIENCE!H28)</f>
        <v/>
      </c>
      <c r="CH28" s="103" t="str">
        <f>IF(SCIENCE!I28="","",SCIENCE!I28)</f>
        <v/>
      </c>
      <c r="CI28" s="103" t="str">
        <f>IF(SCIENCE!J28="","",SCIENCE!J28)</f>
        <v/>
      </c>
      <c r="CJ28" s="103" t="str">
        <f t="shared" si="68"/>
        <v/>
      </c>
      <c r="CK28" s="103" t="str">
        <f>IF(SCIENCE!K28="","",SCIENCE!K28)</f>
        <v/>
      </c>
      <c r="CL28" s="103" t="str">
        <f t="shared" si="32"/>
        <v/>
      </c>
      <c r="CM28" s="102" t="str">
        <f t="shared" si="69"/>
        <v/>
      </c>
      <c r="CN28" s="102" t="str">
        <f t="shared" si="33"/>
        <v/>
      </c>
      <c r="CO28" s="102" t="str">
        <f>IF(SCIENCE!O28="","",SCIENCE!O28)</f>
        <v/>
      </c>
      <c r="CP28" s="102" t="str">
        <f t="shared" si="70"/>
        <v/>
      </c>
      <c r="CQ28" s="102" t="str">
        <f t="shared" si="71"/>
        <v/>
      </c>
      <c r="CR28" s="102" t="str">
        <f t="shared" si="72"/>
        <v/>
      </c>
      <c r="CS28" s="99" t="str">
        <f>IF(SST!E28="","",SST!E28)</f>
        <v/>
      </c>
      <c r="CT28" s="100" t="str">
        <f t="shared" si="34"/>
        <v/>
      </c>
      <c r="CU28" s="99" t="str">
        <f>IF(SST!F28="","",SST!F28)</f>
        <v/>
      </c>
      <c r="CV28" s="100" t="str">
        <f t="shared" si="35"/>
        <v/>
      </c>
      <c r="CW28" s="99" t="str">
        <f>IF(SST!G28="","",SST!G28)</f>
        <v/>
      </c>
      <c r="CX28" s="99" t="str">
        <f t="shared" si="36"/>
        <v/>
      </c>
      <c r="CY28" s="100" t="str">
        <f>IFERROR(LARGE((CT28,CV28,CX28),1),"")</f>
        <v/>
      </c>
      <c r="CZ28" s="100" t="str">
        <f>IFERROR(LARGE((CT28,CV28,CX28),2),"")</f>
        <v/>
      </c>
      <c r="DA28" s="99" t="str">
        <f t="shared" si="37"/>
        <v/>
      </c>
      <c r="DB28" s="100" t="str">
        <f>IF(SST!H28="","",SST!H28)</f>
        <v/>
      </c>
      <c r="DC28" s="100" t="str">
        <f>IF(SST!I28="","",SST!I28)</f>
        <v/>
      </c>
      <c r="DD28" s="100" t="str">
        <f>IF(SST!J28="","",SST!J28)</f>
        <v/>
      </c>
      <c r="DE28" s="100" t="str">
        <f t="shared" si="73"/>
        <v/>
      </c>
      <c r="DF28" s="100" t="str">
        <f>IF(SST!K28="","",SST!K28)</f>
        <v/>
      </c>
      <c r="DG28" s="100" t="str">
        <f t="shared" si="74"/>
        <v/>
      </c>
      <c r="DH28" s="99" t="str">
        <f t="shared" si="75"/>
        <v/>
      </c>
      <c r="DI28" s="99" t="str">
        <f t="shared" si="38"/>
        <v/>
      </c>
      <c r="DJ28" s="99" t="str">
        <f>IF(SST!O28="","",SST!O28)</f>
        <v/>
      </c>
      <c r="DK28" s="99" t="str">
        <f t="shared" si="76"/>
        <v/>
      </c>
      <c r="DL28" s="99" t="str">
        <f t="shared" si="77"/>
        <v/>
      </c>
      <c r="DM28" s="99" t="str">
        <f t="shared" si="78"/>
        <v/>
      </c>
      <c r="DN28" s="99"/>
      <c r="DO28" s="102" t="str">
        <f>IF(C28="","",IF(VLOOKUP(C28,VOCATIONAL!$D$7:$E$51,2,0)="","",VLOOKUP(C28,VOCATIONAL!$D$7:$E$51,2,0)))</f>
        <v/>
      </c>
      <c r="DP28" s="102" t="str">
        <f>IF(VOCATIONAL!F28="","",VOCATIONAL!F28)</f>
        <v/>
      </c>
      <c r="DQ28" s="102" t="str">
        <f>IF(VOCATIONAL!G28="","",VOCATIONAL!G28)</f>
        <v/>
      </c>
      <c r="DR28" s="102" t="str">
        <f t="shared" si="79"/>
        <v/>
      </c>
      <c r="DS28" s="102" t="str">
        <f t="shared" si="80"/>
        <v/>
      </c>
      <c r="DT28" s="102" t="str">
        <f>IF(VOCATIONAL!K28="","",VOCATIONAL!K28)</f>
        <v/>
      </c>
      <c r="DU28" s="102" t="str">
        <f t="shared" si="81"/>
        <v/>
      </c>
      <c r="DV28" s="102" t="str">
        <f t="shared" si="82"/>
        <v/>
      </c>
      <c r="DW28" s="99"/>
      <c r="DX28" s="104" t="str">
        <f t="shared" si="83"/>
        <v/>
      </c>
      <c r="DY28" s="104" t="str">
        <f t="shared" si="84"/>
        <v/>
      </c>
      <c r="DZ28" s="104" t="str">
        <f t="shared" si="85"/>
        <v/>
      </c>
      <c r="EA28" s="104" t="str">
        <f t="shared" si="86"/>
        <v/>
      </c>
      <c r="EB28" s="104" t="str">
        <f t="shared" si="87"/>
        <v/>
      </c>
      <c r="EC28" s="104" t="str">
        <f t="shared" si="88"/>
        <v/>
      </c>
      <c r="ED28" s="104" t="str">
        <f t="shared" si="89"/>
        <v/>
      </c>
      <c r="EE28" s="104" t="str">
        <f t="shared" si="90"/>
        <v/>
      </c>
      <c r="EF28" s="104" t="str">
        <f t="shared" si="91"/>
        <v/>
      </c>
      <c r="EG28" s="104" t="str">
        <f t="shared" si="92"/>
        <v/>
      </c>
      <c r="EH28" s="104" t="str">
        <f t="shared" si="93"/>
        <v/>
      </c>
      <c r="EI28" s="104" t="str">
        <f t="shared" si="94"/>
        <v/>
      </c>
      <c r="EJ28" s="105" t="str">
        <f t="shared" si="95"/>
        <v/>
      </c>
      <c r="EK28" s="105" t="str">
        <f t="shared" si="96"/>
        <v/>
      </c>
      <c r="EL28" s="105" t="str">
        <f t="shared" si="97"/>
        <v/>
      </c>
      <c r="EM28" s="105" t="str">
        <f t="shared" si="98"/>
        <v/>
      </c>
      <c r="EN28" s="105" t="str">
        <f t="shared" si="99"/>
        <v/>
      </c>
      <c r="EO28" s="363" t="str">
        <f t="shared" si="100"/>
        <v/>
      </c>
      <c r="EP28" s="106" t="str">
        <f t="shared" si="101"/>
        <v/>
      </c>
      <c r="EQ28" s="106" t="str">
        <f t="shared" si="102"/>
        <v/>
      </c>
      <c r="ER28" s="106" t="str">
        <f t="shared" si="103"/>
        <v/>
      </c>
      <c r="ES28" s="106" t="str">
        <f t="shared" si="104"/>
        <v/>
      </c>
      <c r="ET28" s="106" t="str">
        <f t="shared" si="105"/>
        <v/>
      </c>
      <c r="EU28" s="106" t="str">
        <f t="shared" si="106"/>
        <v/>
      </c>
      <c r="EV28" s="92" t="str">
        <f t="shared" si="107"/>
        <v/>
      </c>
      <c r="EW28" s="92" t="str">
        <f t="shared" si="108"/>
        <v/>
      </c>
      <c r="EX28" s="92" t="str">
        <f t="shared" si="109"/>
        <v/>
      </c>
      <c r="EY28" s="92" t="str">
        <f t="shared" si="110"/>
        <v/>
      </c>
      <c r="EZ28" s="92" t="str">
        <f t="shared" si="111"/>
        <v/>
      </c>
      <c r="FA28" s="92" t="str">
        <f t="shared" si="112"/>
        <v/>
      </c>
      <c r="FB28" s="93" t="str">
        <f t="shared" si="113"/>
        <v/>
      </c>
      <c r="FC28" s="93" t="str">
        <f t="shared" si="114"/>
        <v/>
      </c>
      <c r="FD28" s="93" t="str">
        <f t="shared" si="115"/>
        <v/>
      </c>
      <c r="FE28" s="93" t="str">
        <f t="shared" si="116"/>
        <v/>
      </c>
      <c r="FF28" s="93" t="str">
        <f t="shared" si="117"/>
        <v/>
      </c>
      <c r="FG28" s="93" t="str">
        <f t="shared" si="118"/>
        <v/>
      </c>
      <c r="FH28" s="107" t="str">
        <f t="shared" si="119"/>
        <v/>
      </c>
      <c r="FI28" s="107" t="str">
        <f t="shared" si="120"/>
        <v/>
      </c>
      <c r="FJ28" s="256" t="str">
        <f t="shared" si="121"/>
        <v/>
      </c>
      <c r="FK28" s="256" t="str">
        <f t="shared" si="122"/>
        <v/>
      </c>
      <c r="FL28" s="256" t="str">
        <f t="shared" si="123"/>
        <v/>
      </c>
      <c r="FM28" s="256" t="str">
        <f t="shared" si="124"/>
        <v/>
      </c>
      <c r="FN28" s="256" t="str">
        <f>IF(OR(C28="TC",C28=""),"",IF(OR(FJ28="PASS",FJ28="FAIL"),IF(EC28="",SUM(FB28:FF28),SUM(LARGE(FB28:FG28,{1,2,3,4,5}))),""))</f>
        <v/>
      </c>
      <c r="FO28" s="256" t="str">
        <f>IF(AND(FN28="",FK28="PASSED AFTER COMPARTMENT"),IF(EC28="",SUM(FB28:FF28),SUM(LARGE(FB28:FG28,{1,2,3,4,5}))),FN28)</f>
        <v/>
      </c>
      <c r="FP28" s="256" t="str">
        <f t="shared" si="125"/>
        <v/>
      </c>
      <c r="FQ28" s="256" t="str">
        <f t="shared" si="126"/>
        <v/>
      </c>
      <c r="FR28" s="256" t="str">
        <f t="shared" si="127"/>
        <v/>
      </c>
      <c r="FS28" s="256" t="str">
        <f t="shared" si="128"/>
        <v/>
      </c>
      <c r="FT28" s="108" t="str">
        <f t="shared" si="129"/>
        <v/>
      </c>
      <c r="FU28" s="256" t="str">
        <f t="shared" si="130"/>
        <v/>
      </c>
      <c r="FV28" s="109" t="str">
        <f>IF(ATTENDANCE!Q29="","",ATTENDANCE!Q29)</f>
        <v/>
      </c>
      <c r="FW28" s="110" t="str">
        <f t="shared" si="131"/>
        <v/>
      </c>
      <c r="FX28" s="110" t="str">
        <f t="shared" si="132"/>
        <v/>
      </c>
      <c r="FY28" s="365" t="str">
        <f t="shared" si="133"/>
        <v/>
      </c>
      <c r="FZ28" s="108" t="str">
        <f t="shared" si="134"/>
        <v/>
      </c>
      <c r="GA28" s="256" t="str">
        <f>IF(ATTENDANCE!Q29="","",ATTENDANCE!Q29)</f>
        <v/>
      </c>
      <c r="GB28" s="108" t="str">
        <f>IF(ATTENDANCE!Q29="","",ATTENDANCE!$Q29)</f>
        <v/>
      </c>
      <c r="GC28" s="108" t="s">
        <v>233</v>
      </c>
      <c r="GD28" s="60"/>
    </row>
    <row r="29" spans="1:186" ht="15" customHeight="1" x14ac:dyDescent="0.25">
      <c r="A29" s="60"/>
      <c r="B29" s="96">
        <f>IF(DATA!B27="","",DATA!B27)</f>
        <v>23</v>
      </c>
      <c r="C29" s="96" t="str">
        <f>IF(DATA!C27="","",DATA!C27)</f>
        <v/>
      </c>
      <c r="D29" s="96" t="str">
        <f>IF(DATA!D27="","",DATA!D27)</f>
        <v/>
      </c>
      <c r="E29" s="303" t="str">
        <f>IF(DATA!E27="","",DATA!E27)</f>
        <v/>
      </c>
      <c r="F29" s="303" t="str">
        <f>IF(DATA!F27="","",DATA!F27)</f>
        <v/>
      </c>
      <c r="G29" s="303" t="str">
        <f>IF(DATA!G27="","",DATA!G27)</f>
        <v/>
      </c>
      <c r="H29" s="98" t="str">
        <f>IF(DATA!H27="","",DATA!H27)</f>
        <v/>
      </c>
      <c r="I29" s="97" t="str">
        <f>IF(DATA!I27="","",DATA!I27)</f>
        <v/>
      </c>
      <c r="J29" s="97" t="str">
        <f>IF(DATA!J27="","",DATA!J27)</f>
        <v/>
      </c>
      <c r="K29" s="97" t="str">
        <f>IF(DATA!K27="","",DATA!K27)</f>
        <v/>
      </c>
      <c r="L29" s="99" t="str">
        <f>IF(ENGLISH!E29="","",ENGLISH!E29)</f>
        <v/>
      </c>
      <c r="M29" s="100" t="str">
        <f t="shared" si="46"/>
        <v/>
      </c>
      <c r="N29" s="99" t="str">
        <f>IF(ENGLISH!F29="","",ENGLISH!F29)</f>
        <v/>
      </c>
      <c r="O29" s="100" t="str">
        <f t="shared" si="47"/>
        <v/>
      </c>
      <c r="P29" s="99" t="str">
        <f>IF(ENGLISH!G29="","",ENGLISH!G29)</f>
        <v/>
      </c>
      <c r="Q29" s="99" t="str">
        <f t="shared" si="48"/>
        <v/>
      </c>
      <c r="R29" s="100" t="str">
        <f>IFERROR(LARGE((M29,O29,Q29),1),"")</f>
        <v/>
      </c>
      <c r="S29" s="100" t="str">
        <f>IFERROR(LARGE((M29,O29,Q29),2),"")</f>
        <v/>
      </c>
      <c r="T29" s="99" t="str">
        <f t="shared" si="49"/>
        <v/>
      </c>
      <c r="U29" s="100" t="str">
        <f>IF(ENGLISH!H29="","",ENGLISH!H29)</f>
        <v/>
      </c>
      <c r="V29" s="99" t="str">
        <f>IF(ENGLISH!I29="","",ENGLISH!I29)</f>
        <v/>
      </c>
      <c r="W29" s="99" t="str">
        <f>IF(ENGLISH!J29="","",ENGLISH!J29)</f>
        <v/>
      </c>
      <c r="X29" s="99" t="str">
        <f t="shared" si="50"/>
        <v/>
      </c>
      <c r="Y29" s="100" t="str">
        <f>IF(ENGLISH!K29="","",ENGLISH!K29)</f>
        <v/>
      </c>
      <c r="Z29" s="100" t="str">
        <f t="shared" si="51"/>
        <v/>
      </c>
      <c r="AA29" s="101" t="str">
        <f t="shared" si="52"/>
        <v/>
      </c>
      <c r="AB29" s="99" t="str">
        <f t="shared" si="15"/>
        <v/>
      </c>
      <c r="AC29" s="99" t="str">
        <f>IF(ENGLISH!O29="","",ENGLISH!O29)</f>
        <v/>
      </c>
      <c r="AD29" s="99" t="str">
        <f t="shared" si="53"/>
        <v/>
      </c>
      <c r="AE29" s="99" t="str">
        <f t="shared" si="54"/>
        <v/>
      </c>
      <c r="AF29" s="99" t="str">
        <f t="shared" si="55"/>
        <v/>
      </c>
      <c r="AG29" s="102" t="str">
        <f>IF(C29="","",VLOOKUP(C29,'HINDI-SKT'!$D$7:$E$51,2,0))</f>
        <v/>
      </c>
      <c r="AH29" s="102" t="str">
        <f>IF('HINDI-SKT'!F29="","",'HINDI-SKT'!F29)</f>
        <v/>
      </c>
      <c r="AI29" s="103" t="str">
        <f t="shared" si="16"/>
        <v/>
      </c>
      <c r="AJ29" s="102" t="str">
        <f>IF('HINDI-SKT'!G29="","",'HINDI-SKT'!G29)</f>
        <v/>
      </c>
      <c r="AK29" s="103" t="str">
        <f t="shared" si="17"/>
        <v/>
      </c>
      <c r="AL29" s="102" t="str">
        <f>IF('HINDI-SKT'!H29="","",'HINDI-SKT'!H29)</f>
        <v/>
      </c>
      <c r="AM29" s="102" t="str">
        <f t="shared" si="18"/>
        <v/>
      </c>
      <c r="AN29" s="103" t="str">
        <f>IFERROR(LARGE((AI29,AK29,AM29),1),"")</f>
        <v/>
      </c>
      <c r="AO29" s="103" t="str">
        <f>IFERROR(LARGE((AI29,AK29,AM29),2),"")</f>
        <v/>
      </c>
      <c r="AP29" s="102" t="str">
        <f t="shared" si="19"/>
        <v/>
      </c>
      <c r="AQ29" s="103" t="str">
        <f>IF('HINDI-SKT'!I29="","",'HINDI-SKT'!I29)</f>
        <v/>
      </c>
      <c r="AR29" s="102" t="str">
        <f>IF('HINDI-SKT'!J29="","",'HINDI-SKT'!J29)</f>
        <v/>
      </c>
      <c r="AS29" s="102" t="str">
        <f>IF('HINDI-SKT'!K29="","",'HINDI-SKT'!K29)</f>
        <v/>
      </c>
      <c r="AT29" s="102" t="str">
        <f t="shared" si="56"/>
        <v/>
      </c>
      <c r="AU29" s="102" t="str">
        <f>IF('HINDI-SKT'!L29="","",'HINDI-SKT'!L29)</f>
        <v/>
      </c>
      <c r="AV29" s="103" t="str">
        <f t="shared" si="57"/>
        <v/>
      </c>
      <c r="AW29" s="102" t="str">
        <f t="shared" si="58"/>
        <v/>
      </c>
      <c r="AX29" s="102" t="str">
        <f t="shared" si="59"/>
        <v/>
      </c>
      <c r="AY29" s="102" t="str">
        <f>IF('HINDI-SKT'!P29="","",'HINDI-SKT'!P29)</f>
        <v/>
      </c>
      <c r="AZ29" s="102" t="str">
        <f t="shared" si="60"/>
        <v/>
      </c>
      <c r="BA29" s="102" t="str">
        <f t="shared" si="61"/>
        <v/>
      </c>
      <c r="BB29" s="102" t="str">
        <f t="shared" si="62"/>
        <v/>
      </c>
      <c r="BC29" s="99" t="str">
        <f>IF(MATHS!E29="","",MATHS!E29)</f>
        <v/>
      </c>
      <c r="BD29" s="100" t="str">
        <f t="shared" si="22"/>
        <v/>
      </c>
      <c r="BE29" s="99" t="str">
        <f>IF(MATHS!F29="","",MATHS!F29)</f>
        <v/>
      </c>
      <c r="BF29" s="100" t="str">
        <f t="shared" si="23"/>
        <v/>
      </c>
      <c r="BG29" s="99" t="str">
        <f>IF(MATHS!G29="","",MATHS!G29)</f>
        <v/>
      </c>
      <c r="BH29" s="99" t="str">
        <f t="shared" si="24"/>
        <v/>
      </c>
      <c r="BI29" s="100" t="str">
        <f>IFERROR(LARGE((BD29,BF29,BH29),1),"")</f>
        <v/>
      </c>
      <c r="BJ29" s="100" t="str">
        <f>IFERROR(LARGE((BD29,BF29,BH29),2),"")</f>
        <v/>
      </c>
      <c r="BK29" s="99" t="str">
        <f t="shared" si="25"/>
        <v/>
      </c>
      <c r="BL29" s="100" t="str">
        <f>IF(MATHS!H29="","",MATHS!H29)</f>
        <v/>
      </c>
      <c r="BM29" s="99" t="str">
        <f>IF(MATHS!I29="","",MATHS!I29)</f>
        <v/>
      </c>
      <c r="BN29" s="99" t="str">
        <f>IF(MATHS!J29="","",MATHS!J29)</f>
        <v/>
      </c>
      <c r="BO29" s="99" t="str">
        <f t="shared" si="63"/>
        <v/>
      </c>
      <c r="BP29" s="99" t="str">
        <f>IF(MATHS!K29="","",MATHS!K29)</f>
        <v/>
      </c>
      <c r="BQ29" s="100" t="str">
        <f t="shared" si="26"/>
        <v/>
      </c>
      <c r="BR29" s="99" t="str">
        <f t="shared" si="64"/>
        <v/>
      </c>
      <c r="BS29" s="99" t="str">
        <f t="shared" si="27"/>
        <v/>
      </c>
      <c r="BT29" s="99" t="str">
        <f>IF(MATHS!O29="","",MATHS!O29)</f>
        <v/>
      </c>
      <c r="BU29" s="99" t="str">
        <f t="shared" si="65"/>
        <v/>
      </c>
      <c r="BV29" s="99" t="str">
        <f t="shared" si="66"/>
        <v/>
      </c>
      <c r="BW29" s="102" t="str">
        <f t="shared" si="67"/>
        <v/>
      </c>
      <c r="BX29" s="102" t="str">
        <f>IF(SCIENCE!E29="","",SCIENCE!E29)</f>
        <v/>
      </c>
      <c r="BY29" s="103" t="str">
        <f t="shared" si="28"/>
        <v/>
      </c>
      <c r="BZ29" s="102" t="str">
        <f>IF(SCIENCE!F29="","",SCIENCE!F29)</f>
        <v/>
      </c>
      <c r="CA29" s="103" t="str">
        <f t="shared" si="29"/>
        <v/>
      </c>
      <c r="CB29" s="102" t="str">
        <f>IF(SCIENCE!G29="","",SCIENCE!G29)</f>
        <v/>
      </c>
      <c r="CC29" s="102" t="str">
        <f t="shared" si="30"/>
        <v/>
      </c>
      <c r="CD29" s="103" t="str">
        <f>IFERROR(LARGE((BY29,CA29,CC29),1),"")</f>
        <v/>
      </c>
      <c r="CE29" s="103" t="str">
        <f>IFERROR(LARGE((BY29,CA29,CC29),2),"")</f>
        <v/>
      </c>
      <c r="CF29" s="102" t="str">
        <f t="shared" si="31"/>
        <v/>
      </c>
      <c r="CG29" s="103" t="str">
        <f>IF(SCIENCE!H29="","",SCIENCE!H29)</f>
        <v/>
      </c>
      <c r="CH29" s="103" t="str">
        <f>IF(SCIENCE!I29="","",SCIENCE!I29)</f>
        <v/>
      </c>
      <c r="CI29" s="103" t="str">
        <f>IF(SCIENCE!J29="","",SCIENCE!J29)</f>
        <v/>
      </c>
      <c r="CJ29" s="103" t="str">
        <f t="shared" si="68"/>
        <v/>
      </c>
      <c r="CK29" s="103" t="str">
        <f>IF(SCIENCE!K29="","",SCIENCE!K29)</f>
        <v/>
      </c>
      <c r="CL29" s="103" t="str">
        <f t="shared" si="32"/>
        <v/>
      </c>
      <c r="CM29" s="102" t="str">
        <f t="shared" si="69"/>
        <v/>
      </c>
      <c r="CN29" s="102" t="str">
        <f t="shared" si="33"/>
        <v/>
      </c>
      <c r="CO29" s="102" t="str">
        <f>IF(SCIENCE!O29="","",SCIENCE!O29)</f>
        <v/>
      </c>
      <c r="CP29" s="102" t="str">
        <f t="shared" si="70"/>
        <v/>
      </c>
      <c r="CQ29" s="102" t="str">
        <f t="shared" si="71"/>
        <v/>
      </c>
      <c r="CR29" s="102" t="str">
        <f t="shared" si="72"/>
        <v/>
      </c>
      <c r="CS29" s="99" t="str">
        <f>IF(SST!E29="","",SST!E29)</f>
        <v/>
      </c>
      <c r="CT29" s="100" t="str">
        <f t="shared" si="34"/>
        <v/>
      </c>
      <c r="CU29" s="99" t="str">
        <f>IF(SST!F29="","",SST!F29)</f>
        <v/>
      </c>
      <c r="CV29" s="100" t="str">
        <f t="shared" si="35"/>
        <v/>
      </c>
      <c r="CW29" s="99" t="str">
        <f>IF(SST!G29="","",SST!G29)</f>
        <v/>
      </c>
      <c r="CX29" s="99" t="str">
        <f t="shared" si="36"/>
        <v/>
      </c>
      <c r="CY29" s="100" t="str">
        <f>IFERROR(LARGE((CT29,CV29,CX29),1),"")</f>
        <v/>
      </c>
      <c r="CZ29" s="100" t="str">
        <f>IFERROR(LARGE((CT29,CV29,CX29),2),"")</f>
        <v/>
      </c>
      <c r="DA29" s="99" t="str">
        <f t="shared" si="37"/>
        <v/>
      </c>
      <c r="DB29" s="100" t="str">
        <f>IF(SST!H29="","",SST!H29)</f>
        <v/>
      </c>
      <c r="DC29" s="100" t="str">
        <f>IF(SST!I29="","",SST!I29)</f>
        <v/>
      </c>
      <c r="DD29" s="100" t="str">
        <f>IF(SST!J29="","",SST!J29)</f>
        <v/>
      </c>
      <c r="DE29" s="100" t="str">
        <f t="shared" si="73"/>
        <v/>
      </c>
      <c r="DF29" s="100" t="str">
        <f>IF(SST!K29="","",SST!K29)</f>
        <v/>
      </c>
      <c r="DG29" s="100" t="str">
        <f t="shared" si="74"/>
        <v/>
      </c>
      <c r="DH29" s="99" t="str">
        <f t="shared" si="75"/>
        <v/>
      </c>
      <c r="DI29" s="99" t="str">
        <f t="shared" si="38"/>
        <v/>
      </c>
      <c r="DJ29" s="99" t="str">
        <f>IF(SST!O29="","",SST!O29)</f>
        <v/>
      </c>
      <c r="DK29" s="99" t="str">
        <f t="shared" si="76"/>
        <v/>
      </c>
      <c r="DL29" s="99" t="str">
        <f t="shared" si="77"/>
        <v/>
      </c>
      <c r="DM29" s="99" t="str">
        <f t="shared" si="78"/>
        <v/>
      </c>
      <c r="DN29" s="99"/>
      <c r="DO29" s="102" t="str">
        <f>IF(C29="","",IF(VLOOKUP(C29,VOCATIONAL!$D$7:$E$51,2,0)="","",VLOOKUP(C29,VOCATIONAL!$D$7:$E$51,2,0)))</f>
        <v/>
      </c>
      <c r="DP29" s="102" t="str">
        <f>IF(VOCATIONAL!F29="","",VOCATIONAL!F29)</f>
        <v/>
      </c>
      <c r="DQ29" s="102" t="str">
        <f>IF(VOCATIONAL!G29="","",VOCATIONAL!G29)</f>
        <v/>
      </c>
      <c r="DR29" s="102" t="str">
        <f t="shared" si="79"/>
        <v/>
      </c>
      <c r="DS29" s="102" t="str">
        <f t="shared" si="80"/>
        <v/>
      </c>
      <c r="DT29" s="102" t="str">
        <f>IF(VOCATIONAL!K29="","",VOCATIONAL!K29)</f>
        <v/>
      </c>
      <c r="DU29" s="102" t="str">
        <f t="shared" si="81"/>
        <v/>
      </c>
      <c r="DV29" s="102" t="str">
        <f t="shared" si="82"/>
        <v/>
      </c>
      <c r="DW29" s="99"/>
      <c r="DX29" s="104" t="str">
        <f t="shared" si="83"/>
        <v/>
      </c>
      <c r="DY29" s="104" t="str">
        <f t="shared" si="84"/>
        <v/>
      </c>
      <c r="DZ29" s="104" t="str">
        <f t="shared" si="85"/>
        <v/>
      </c>
      <c r="EA29" s="104" t="str">
        <f t="shared" si="86"/>
        <v/>
      </c>
      <c r="EB29" s="104" t="str">
        <f t="shared" si="87"/>
        <v/>
      </c>
      <c r="EC29" s="104" t="str">
        <f t="shared" si="88"/>
        <v/>
      </c>
      <c r="ED29" s="104" t="str">
        <f t="shared" si="89"/>
        <v/>
      </c>
      <c r="EE29" s="104" t="str">
        <f t="shared" si="90"/>
        <v/>
      </c>
      <c r="EF29" s="104" t="str">
        <f t="shared" si="91"/>
        <v/>
      </c>
      <c r="EG29" s="104" t="str">
        <f t="shared" si="92"/>
        <v/>
      </c>
      <c r="EH29" s="104" t="str">
        <f t="shared" si="93"/>
        <v/>
      </c>
      <c r="EI29" s="104" t="str">
        <f t="shared" si="94"/>
        <v/>
      </c>
      <c r="EJ29" s="105" t="str">
        <f t="shared" si="95"/>
        <v/>
      </c>
      <c r="EK29" s="105" t="str">
        <f t="shared" si="96"/>
        <v/>
      </c>
      <c r="EL29" s="105" t="str">
        <f t="shared" si="97"/>
        <v/>
      </c>
      <c r="EM29" s="105" t="str">
        <f t="shared" si="98"/>
        <v/>
      </c>
      <c r="EN29" s="105" t="str">
        <f t="shared" si="99"/>
        <v/>
      </c>
      <c r="EO29" s="363" t="str">
        <f t="shared" si="100"/>
        <v/>
      </c>
      <c r="EP29" s="106" t="str">
        <f t="shared" si="101"/>
        <v/>
      </c>
      <c r="EQ29" s="106" t="str">
        <f t="shared" si="102"/>
        <v/>
      </c>
      <c r="ER29" s="106" t="str">
        <f t="shared" si="103"/>
        <v/>
      </c>
      <c r="ES29" s="106" t="str">
        <f t="shared" si="104"/>
        <v/>
      </c>
      <c r="ET29" s="106" t="str">
        <f t="shared" si="105"/>
        <v/>
      </c>
      <c r="EU29" s="106" t="str">
        <f t="shared" si="106"/>
        <v/>
      </c>
      <c r="EV29" s="92" t="str">
        <f t="shared" si="107"/>
        <v/>
      </c>
      <c r="EW29" s="92" t="str">
        <f t="shared" si="108"/>
        <v/>
      </c>
      <c r="EX29" s="92" t="str">
        <f t="shared" si="109"/>
        <v/>
      </c>
      <c r="EY29" s="92" t="str">
        <f t="shared" si="110"/>
        <v/>
      </c>
      <c r="EZ29" s="92" t="str">
        <f t="shared" si="111"/>
        <v/>
      </c>
      <c r="FA29" s="92" t="str">
        <f t="shared" si="112"/>
        <v/>
      </c>
      <c r="FB29" s="93" t="str">
        <f t="shared" si="113"/>
        <v/>
      </c>
      <c r="FC29" s="93" t="str">
        <f t="shared" si="114"/>
        <v/>
      </c>
      <c r="FD29" s="93" t="str">
        <f t="shared" si="115"/>
        <v/>
      </c>
      <c r="FE29" s="93" t="str">
        <f t="shared" si="116"/>
        <v/>
      </c>
      <c r="FF29" s="93" t="str">
        <f t="shared" si="117"/>
        <v/>
      </c>
      <c r="FG29" s="93" t="str">
        <f t="shared" si="118"/>
        <v/>
      </c>
      <c r="FH29" s="107" t="str">
        <f t="shared" si="119"/>
        <v/>
      </c>
      <c r="FI29" s="107" t="str">
        <f t="shared" si="120"/>
        <v/>
      </c>
      <c r="FJ29" s="256" t="str">
        <f t="shared" si="121"/>
        <v/>
      </c>
      <c r="FK29" s="256" t="str">
        <f t="shared" si="122"/>
        <v/>
      </c>
      <c r="FL29" s="256" t="str">
        <f t="shared" si="123"/>
        <v/>
      </c>
      <c r="FM29" s="256" t="str">
        <f t="shared" si="124"/>
        <v/>
      </c>
      <c r="FN29" s="256" t="str">
        <f>IF(OR(C29="TC",C29=""),"",IF(OR(FJ29="PASS",FJ29="FAIL"),IF(EC29="",SUM(FB29:FF29),SUM(LARGE(FB29:FG29,{1,2,3,4,5}))),""))</f>
        <v/>
      </c>
      <c r="FO29" s="256" t="str">
        <f>IF(AND(FN29="",FK29="PASSED AFTER COMPARTMENT"),IF(EC29="",SUM(FB29:FF29),SUM(LARGE(FB29:FG29,{1,2,3,4,5}))),FN29)</f>
        <v/>
      </c>
      <c r="FP29" s="256" t="str">
        <f t="shared" si="125"/>
        <v/>
      </c>
      <c r="FQ29" s="256" t="str">
        <f t="shared" si="126"/>
        <v/>
      </c>
      <c r="FR29" s="256" t="str">
        <f t="shared" si="127"/>
        <v/>
      </c>
      <c r="FS29" s="256" t="str">
        <f t="shared" si="128"/>
        <v/>
      </c>
      <c r="FT29" s="108" t="str">
        <f t="shared" si="129"/>
        <v/>
      </c>
      <c r="FU29" s="256" t="str">
        <f t="shared" si="130"/>
        <v/>
      </c>
      <c r="FV29" s="109" t="str">
        <f>IF(ATTENDANCE!Q30="","",ATTENDANCE!Q30)</f>
        <v/>
      </c>
      <c r="FW29" s="110" t="str">
        <f t="shared" si="131"/>
        <v/>
      </c>
      <c r="FX29" s="110" t="str">
        <f t="shared" si="132"/>
        <v/>
      </c>
      <c r="FY29" s="365" t="str">
        <f t="shared" si="133"/>
        <v/>
      </c>
      <c r="FZ29" s="108" t="str">
        <f t="shared" si="134"/>
        <v/>
      </c>
      <c r="GA29" s="256" t="str">
        <f>IF(ATTENDANCE!Q30="","",ATTENDANCE!Q30)</f>
        <v/>
      </c>
      <c r="GB29" s="108" t="str">
        <f>IF(ATTENDANCE!Q30="","",ATTENDANCE!$Q30)</f>
        <v/>
      </c>
      <c r="GC29" s="108" t="s">
        <v>230</v>
      </c>
      <c r="GD29" s="60"/>
    </row>
    <row r="30" spans="1:186" ht="15" customHeight="1" x14ac:dyDescent="0.25">
      <c r="A30" s="60"/>
      <c r="B30" s="96">
        <f>IF(DATA!B28="","",DATA!B28)</f>
        <v>24</v>
      </c>
      <c r="C30" s="96" t="str">
        <f>IF(DATA!C28="","",DATA!C28)</f>
        <v/>
      </c>
      <c r="D30" s="96" t="str">
        <f>IF(DATA!D28="","",DATA!D28)</f>
        <v/>
      </c>
      <c r="E30" s="303" t="str">
        <f>IF(DATA!E28="","",DATA!E28)</f>
        <v/>
      </c>
      <c r="F30" s="303" t="str">
        <f>IF(DATA!F28="","",DATA!F28)</f>
        <v/>
      </c>
      <c r="G30" s="303" t="str">
        <f>IF(DATA!G28="","",DATA!G28)</f>
        <v/>
      </c>
      <c r="H30" s="98" t="str">
        <f>IF(DATA!H28="","",DATA!H28)</f>
        <v/>
      </c>
      <c r="I30" s="97" t="str">
        <f>IF(DATA!I28="","",DATA!I28)</f>
        <v/>
      </c>
      <c r="J30" s="97" t="str">
        <f>IF(DATA!J28="","",DATA!J28)</f>
        <v/>
      </c>
      <c r="K30" s="97" t="str">
        <f>IF(DATA!K28="","",DATA!K28)</f>
        <v/>
      </c>
      <c r="L30" s="99" t="str">
        <f>IF(ENGLISH!E30="","",ENGLISH!E30)</f>
        <v/>
      </c>
      <c r="M30" s="100" t="str">
        <f t="shared" si="46"/>
        <v/>
      </c>
      <c r="N30" s="99" t="str">
        <f>IF(ENGLISH!F30="","",ENGLISH!F30)</f>
        <v/>
      </c>
      <c r="O30" s="100" t="str">
        <f t="shared" si="47"/>
        <v/>
      </c>
      <c r="P30" s="99" t="str">
        <f>IF(ENGLISH!G30="","",ENGLISH!G30)</f>
        <v/>
      </c>
      <c r="Q30" s="99" t="str">
        <f t="shared" si="48"/>
        <v/>
      </c>
      <c r="R30" s="100" t="str">
        <f>IFERROR(LARGE((M30,O30,Q30),1),"")</f>
        <v/>
      </c>
      <c r="S30" s="100" t="str">
        <f>IFERROR(LARGE((M30,O30,Q30),2),"")</f>
        <v/>
      </c>
      <c r="T30" s="99" t="str">
        <f t="shared" si="49"/>
        <v/>
      </c>
      <c r="U30" s="100" t="str">
        <f>IF(ENGLISH!H30="","",ENGLISH!H30)</f>
        <v/>
      </c>
      <c r="V30" s="99" t="str">
        <f>IF(ENGLISH!I30="","",ENGLISH!I30)</f>
        <v/>
      </c>
      <c r="W30" s="99" t="str">
        <f>IF(ENGLISH!J30="","",ENGLISH!J30)</f>
        <v/>
      </c>
      <c r="X30" s="99" t="str">
        <f t="shared" si="50"/>
        <v/>
      </c>
      <c r="Y30" s="100" t="str">
        <f>IF(ENGLISH!K30="","",ENGLISH!K30)</f>
        <v/>
      </c>
      <c r="Z30" s="100" t="str">
        <f t="shared" si="51"/>
        <v/>
      </c>
      <c r="AA30" s="101" t="str">
        <f t="shared" si="52"/>
        <v/>
      </c>
      <c r="AB30" s="99" t="str">
        <f t="shared" si="15"/>
        <v/>
      </c>
      <c r="AC30" s="99" t="str">
        <f>IF(ENGLISH!O30="","",ENGLISH!O30)</f>
        <v/>
      </c>
      <c r="AD30" s="99" t="str">
        <f t="shared" si="53"/>
        <v/>
      </c>
      <c r="AE30" s="99" t="str">
        <f t="shared" si="54"/>
        <v/>
      </c>
      <c r="AF30" s="99" t="str">
        <f t="shared" si="55"/>
        <v/>
      </c>
      <c r="AG30" s="102" t="str">
        <f>IF(C30="","",VLOOKUP(C30,'HINDI-SKT'!$D$7:$E$51,2,0))</f>
        <v/>
      </c>
      <c r="AH30" s="102" t="str">
        <f>IF('HINDI-SKT'!F30="","",'HINDI-SKT'!F30)</f>
        <v/>
      </c>
      <c r="AI30" s="103" t="str">
        <f t="shared" si="16"/>
        <v/>
      </c>
      <c r="AJ30" s="102" t="str">
        <f>IF('HINDI-SKT'!G30="","",'HINDI-SKT'!G30)</f>
        <v/>
      </c>
      <c r="AK30" s="103" t="str">
        <f t="shared" si="17"/>
        <v/>
      </c>
      <c r="AL30" s="102" t="str">
        <f>IF('HINDI-SKT'!H30="","",'HINDI-SKT'!H30)</f>
        <v/>
      </c>
      <c r="AM30" s="102" t="str">
        <f t="shared" si="18"/>
        <v/>
      </c>
      <c r="AN30" s="103" t="str">
        <f>IFERROR(LARGE((AI30,AK30,AM30),1),"")</f>
        <v/>
      </c>
      <c r="AO30" s="103" t="str">
        <f>IFERROR(LARGE((AI30,AK30,AM30),2),"")</f>
        <v/>
      </c>
      <c r="AP30" s="102" t="str">
        <f t="shared" si="19"/>
        <v/>
      </c>
      <c r="AQ30" s="103" t="str">
        <f>IF('HINDI-SKT'!I30="","",'HINDI-SKT'!I30)</f>
        <v/>
      </c>
      <c r="AR30" s="102" t="str">
        <f>IF('HINDI-SKT'!J30="","",'HINDI-SKT'!J30)</f>
        <v/>
      </c>
      <c r="AS30" s="102" t="str">
        <f>IF('HINDI-SKT'!K30="","",'HINDI-SKT'!K30)</f>
        <v/>
      </c>
      <c r="AT30" s="102" t="str">
        <f t="shared" si="56"/>
        <v/>
      </c>
      <c r="AU30" s="102" t="str">
        <f>IF('HINDI-SKT'!L30="","",'HINDI-SKT'!L30)</f>
        <v/>
      </c>
      <c r="AV30" s="103" t="str">
        <f t="shared" si="57"/>
        <v/>
      </c>
      <c r="AW30" s="102" t="str">
        <f t="shared" si="58"/>
        <v/>
      </c>
      <c r="AX30" s="102" t="str">
        <f t="shared" si="59"/>
        <v/>
      </c>
      <c r="AY30" s="102" t="str">
        <f>IF('HINDI-SKT'!P30="","",'HINDI-SKT'!P30)</f>
        <v/>
      </c>
      <c r="AZ30" s="102" t="str">
        <f t="shared" si="60"/>
        <v/>
      </c>
      <c r="BA30" s="102" t="str">
        <f t="shared" si="61"/>
        <v/>
      </c>
      <c r="BB30" s="102" t="str">
        <f t="shared" si="62"/>
        <v/>
      </c>
      <c r="BC30" s="99" t="str">
        <f>IF(MATHS!E30="","",MATHS!E30)</f>
        <v/>
      </c>
      <c r="BD30" s="100" t="str">
        <f t="shared" si="22"/>
        <v/>
      </c>
      <c r="BE30" s="99" t="str">
        <f>IF(MATHS!F30="","",MATHS!F30)</f>
        <v/>
      </c>
      <c r="BF30" s="100" t="str">
        <f t="shared" si="23"/>
        <v/>
      </c>
      <c r="BG30" s="99" t="str">
        <f>IF(MATHS!G30="","",MATHS!G30)</f>
        <v/>
      </c>
      <c r="BH30" s="99" t="str">
        <f t="shared" si="24"/>
        <v/>
      </c>
      <c r="BI30" s="100" t="str">
        <f>IFERROR(LARGE((BD30,BF30,BH30),1),"")</f>
        <v/>
      </c>
      <c r="BJ30" s="100" t="str">
        <f>IFERROR(LARGE((BD30,BF30,BH30),2),"")</f>
        <v/>
      </c>
      <c r="BK30" s="99" t="str">
        <f t="shared" si="25"/>
        <v/>
      </c>
      <c r="BL30" s="100" t="str">
        <f>IF(MATHS!H30="","",MATHS!H30)</f>
        <v/>
      </c>
      <c r="BM30" s="99" t="str">
        <f>IF(MATHS!I30="","",MATHS!I30)</f>
        <v/>
      </c>
      <c r="BN30" s="99" t="str">
        <f>IF(MATHS!J30="","",MATHS!J30)</f>
        <v/>
      </c>
      <c r="BO30" s="99" t="str">
        <f t="shared" si="63"/>
        <v/>
      </c>
      <c r="BP30" s="99" t="str">
        <f>IF(MATHS!K30="","",MATHS!K30)</f>
        <v/>
      </c>
      <c r="BQ30" s="100" t="str">
        <f t="shared" si="26"/>
        <v/>
      </c>
      <c r="BR30" s="99" t="str">
        <f t="shared" si="64"/>
        <v/>
      </c>
      <c r="BS30" s="99" t="str">
        <f t="shared" si="27"/>
        <v/>
      </c>
      <c r="BT30" s="99" t="str">
        <f>IF(MATHS!O30="","",MATHS!O30)</f>
        <v/>
      </c>
      <c r="BU30" s="99" t="str">
        <f t="shared" si="65"/>
        <v/>
      </c>
      <c r="BV30" s="99" t="str">
        <f t="shared" si="66"/>
        <v/>
      </c>
      <c r="BW30" s="102" t="str">
        <f t="shared" si="67"/>
        <v/>
      </c>
      <c r="BX30" s="102" t="str">
        <f>IF(SCIENCE!E30="","",SCIENCE!E30)</f>
        <v/>
      </c>
      <c r="BY30" s="103" t="str">
        <f t="shared" si="28"/>
        <v/>
      </c>
      <c r="BZ30" s="102" t="str">
        <f>IF(SCIENCE!F30="","",SCIENCE!F30)</f>
        <v/>
      </c>
      <c r="CA30" s="103" t="str">
        <f t="shared" si="29"/>
        <v/>
      </c>
      <c r="CB30" s="102" t="str">
        <f>IF(SCIENCE!G30="","",SCIENCE!G30)</f>
        <v/>
      </c>
      <c r="CC30" s="102" t="str">
        <f t="shared" si="30"/>
        <v/>
      </c>
      <c r="CD30" s="103" t="str">
        <f>IFERROR(LARGE((BY30,CA30,CC30),1),"")</f>
        <v/>
      </c>
      <c r="CE30" s="103" t="str">
        <f>IFERROR(LARGE((BY30,CA30,CC30),2),"")</f>
        <v/>
      </c>
      <c r="CF30" s="102" t="str">
        <f t="shared" si="31"/>
        <v/>
      </c>
      <c r="CG30" s="103" t="str">
        <f>IF(SCIENCE!H30="","",SCIENCE!H30)</f>
        <v/>
      </c>
      <c r="CH30" s="103" t="str">
        <f>IF(SCIENCE!I30="","",SCIENCE!I30)</f>
        <v/>
      </c>
      <c r="CI30" s="103" t="str">
        <f>IF(SCIENCE!J30="","",SCIENCE!J30)</f>
        <v/>
      </c>
      <c r="CJ30" s="103" t="str">
        <f t="shared" si="68"/>
        <v/>
      </c>
      <c r="CK30" s="103" t="str">
        <f>IF(SCIENCE!K30="","",SCIENCE!K30)</f>
        <v/>
      </c>
      <c r="CL30" s="103" t="str">
        <f t="shared" si="32"/>
        <v/>
      </c>
      <c r="CM30" s="102" t="str">
        <f t="shared" si="69"/>
        <v/>
      </c>
      <c r="CN30" s="102" t="str">
        <f t="shared" si="33"/>
        <v/>
      </c>
      <c r="CO30" s="102" t="str">
        <f>IF(SCIENCE!O30="","",SCIENCE!O30)</f>
        <v/>
      </c>
      <c r="CP30" s="102" t="str">
        <f t="shared" si="70"/>
        <v/>
      </c>
      <c r="CQ30" s="102" t="str">
        <f t="shared" si="71"/>
        <v/>
      </c>
      <c r="CR30" s="102" t="str">
        <f t="shared" si="72"/>
        <v/>
      </c>
      <c r="CS30" s="99" t="str">
        <f>IF(SST!E30="","",SST!E30)</f>
        <v/>
      </c>
      <c r="CT30" s="100" t="str">
        <f t="shared" si="34"/>
        <v/>
      </c>
      <c r="CU30" s="99" t="str">
        <f>IF(SST!F30="","",SST!F30)</f>
        <v/>
      </c>
      <c r="CV30" s="100" t="str">
        <f t="shared" si="35"/>
        <v/>
      </c>
      <c r="CW30" s="99" t="str">
        <f>IF(SST!G30="","",SST!G30)</f>
        <v/>
      </c>
      <c r="CX30" s="99" t="str">
        <f t="shared" si="36"/>
        <v/>
      </c>
      <c r="CY30" s="100" t="str">
        <f>IFERROR(LARGE((CT30,CV30,CX30),1),"")</f>
        <v/>
      </c>
      <c r="CZ30" s="100" t="str">
        <f>IFERROR(LARGE((CT30,CV30,CX30),2),"")</f>
        <v/>
      </c>
      <c r="DA30" s="99" t="str">
        <f t="shared" si="37"/>
        <v/>
      </c>
      <c r="DB30" s="100" t="str">
        <f>IF(SST!H30="","",SST!H30)</f>
        <v/>
      </c>
      <c r="DC30" s="100" t="str">
        <f>IF(SST!I30="","",SST!I30)</f>
        <v/>
      </c>
      <c r="DD30" s="100" t="str">
        <f>IF(SST!J30="","",SST!J30)</f>
        <v/>
      </c>
      <c r="DE30" s="100" t="str">
        <f t="shared" si="73"/>
        <v/>
      </c>
      <c r="DF30" s="100" t="str">
        <f>IF(SST!K30="","",SST!K30)</f>
        <v/>
      </c>
      <c r="DG30" s="100" t="str">
        <f t="shared" si="74"/>
        <v/>
      </c>
      <c r="DH30" s="99" t="str">
        <f t="shared" si="75"/>
        <v/>
      </c>
      <c r="DI30" s="99" t="str">
        <f t="shared" si="38"/>
        <v/>
      </c>
      <c r="DJ30" s="99" t="str">
        <f>IF(SST!O30="","",SST!O30)</f>
        <v/>
      </c>
      <c r="DK30" s="99" t="str">
        <f t="shared" si="76"/>
        <v/>
      </c>
      <c r="DL30" s="99" t="str">
        <f t="shared" si="77"/>
        <v/>
      </c>
      <c r="DM30" s="99" t="str">
        <f t="shared" si="78"/>
        <v/>
      </c>
      <c r="DN30" s="99"/>
      <c r="DO30" s="102" t="str">
        <f>IF(C30="","",IF(VLOOKUP(C30,VOCATIONAL!$D$7:$E$51,2,0)="","",VLOOKUP(C30,VOCATIONAL!$D$7:$E$51,2,0)))</f>
        <v/>
      </c>
      <c r="DP30" s="102" t="str">
        <f>IF(VOCATIONAL!F30="","",VOCATIONAL!F30)</f>
        <v/>
      </c>
      <c r="DQ30" s="102" t="str">
        <f>IF(VOCATIONAL!G30="","",VOCATIONAL!G30)</f>
        <v/>
      </c>
      <c r="DR30" s="102" t="str">
        <f t="shared" si="79"/>
        <v/>
      </c>
      <c r="DS30" s="102" t="str">
        <f t="shared" si="80"/>
        <v/>
      </c>
      <c r="DT30" s="102" t="str">
        <f>IF(VOCATIONAL!K30="","",VOCATIONAL!K30)</f>
        <v/>
      </c>
      <c r="DU30" s="102" t="str">
        <f t="shared" si="81"/>
        <v/>
      </c>
      <c r="DV30" s="102" t="str">
        <f t="shared" si="82"/>
        <v/>
      </c>
      <c r="DW30" s="99"/>
      <c r="DX30" s="104" t="str">
        <f t="shared" si="83"/>
        <v/>
      </c>
      <c r="DY30" s="104" t="str">
        <f t="shared" si="84"/>
        <v/>
      </c>
      <c r="DZ30" s="104" t="str">
        <f t="shared" si="85"/>
        <v/>
      </c>
      <c r="EA30" s="104" t="str">
        <f t="shared" si="86"/>
        <v/>
      </c>
      <c r="EB30" s="104" t="str">
        <f t="shared" si="87"/>
        <v/>
      </c>
      <c r="EC30" s="104" t="str">
        <f t="shared" si="88"/>
        <v/>
      </c>
      <c r="ED30" s="104" t="str">
        <f t="shared" si="89"/>
        <v/>
      </c>
      <c r="EE30" s="104" t="str">
        <f t="shared" si="90"/>
        <v/>
      </c>
      <c r="EF30" s="104" t="str">
        <f t="shared" si="91"/>
        <v/>
      </c>
      <c r="EG30" s="104" t="str">
        <f t="shared" si="92"/>
        <v/>
      </c>
      <c r="EH30" s="104" t="str">
        <f t="shared" si="93"/>
        <v/>
      </c>
      <c r="EI30" s="104" t="str">
        <f t="shared" si="94"/>
        <v/>
      </c>
      <c r="EJ30" s="105" t="str">
        <f t="shared" si="95"/>
        <v/>
      </c>
      <c r="EK30" s="105" t="str">
        <f t="shared" si="96"/>
        <v/>
      </c>
      <c r="EL30" s="105" t="str">
        <f t="shared" si="97"/>
        <v/>
      </c>
      <c r="EM30" s="105" t="str">
        <f t="shared" si="98"/>
        <v/>
      </c>
      <c r="EN30" s="105" t="str">
        <f t="shared" si="99"/>
        <v/>
      </c>
      <c r="EO30" s="363" t="str">
        <f t="shared" si="100"/>
        <v/>
      </c>
      <c r="EP30" s="106" t="str">
        <f t="shared" si="101"/>
        <v/>
      </c>
      <c r="EQ30" s="106" t="str">
        <f t="shared" si="102"/>
        <v/>
      </c>
      <c r="ER30" s="106" t="str">
        <f t="shared" si="103"/>
        <v/>
      </c>
      <c r="ES30" s="106" t="str">
        <f t="shared" si="104"/>
        <v/>
      </c>
      <c r="ET30" s="106" t="str">
        <f t="shared" si="105"/>
        <v/>
      </c>
      <c r="EU30" s="106" t="str">
        <f t="shared" si="106"/>
        <v/>
      </c>
      <c r="EV30" s="92" t="str">
        <f t="shared" si="107"/>
        <v/>
      </c>
      <c r="EW30" s="92" t="str">
        <f t="shared" si="108"/>
        <v/>
      </c>
      <c r="EX30" s="92" t="str">
        <f t="shared" si="109"/>
        <v/>
      </c>
      <c r="EY30" s="92" t="str">
        <f t="shared" si="110"/>
        <v/>
      </c>
      <c r="EZ30" s="92" t="str">
        <f t="shared" si="111"/>
        <v/>
      </c>
      <c r="FA30" s="92" t="str">
        <f t="shared" si="112"/>
        <v/>
      </c>
      <c r="FB30" s="93" t="str">
        <f t="shared" si="113"/>
        <v/>
      </c>
      <c r="FC30" s="93" t="str">
        <f t="shared" si="114"/>
        <v/>
      </c>
      <c r="FD30" s="93" t="str">
        <f t="shared" si="115"/>
        <v/>
      </c>
      <c r="FE30" s="93" t="str">
        <f t="shared" si="116"/>
        <v/>
      </c>
      <c r="FF30" s="93" t="str">
        <f t="shared" si="117"/>
        <v/>
      </c>
      <c r="FG30" s="93" t="str">
        <f t="shared" si="118"/>
        <v/>
      </c>
      <c r="FH30" s="107" t="str">
        <f t="shared" si="119"/>
        <v/>
      </c>
      <c r="FI30" s="107" t="str">
        <f t="shared" si="120"/>
        <v/>
      </c>
      <c r="FJ30" s="256" t="str">
        <f t="shared" si="121"/>
        <v/>
      </c>
      <c r="FK30" s="256" t="str">
        <f t="shared" si="122"/>
        <v/>
      </c>
      <c r="FL30" s="256" t="str">
        <f t="shared" si="123"/>
        <v/>
      </c>
      <c r="FM30" s="256" t="str">
        <f t="shared" si="124"/>
        <v/>
      </c>
      <c r="FN30" s="256" t="str">
        <f>IF(OR(C30="TC",C30=""),"",IF(OR(FJ30="PASS",FJ30="FAIL"),IF(EC30="",SUM(FB30:FF30),SUM(LARGE(FB30:FG30,{1,2,3,4,5}))),""))</f>
        <v/>
      </c>
      <c r="FO30" s="256" t="str">
        <f>IF(AND(FN30="",FK30="PASSED AFTER COMPARTMENT"),IF(EC30="",SUM(FB30:FF30),SUM(LARGE(FB30:FG30,{1,2,3,4,5}))),FN30)</f>
        <v/>
      </c>
      <c r="FP30" s="256" t="str">
        <f t="shared" si="125"/>
        <v/>
      </c>
      <c r="FQ30" s="256" t="str">
        <f t="shared" si="126"/>
        <v/>
      </c>
      <c r="FR30" s="256" t="str">
        <f t="shared" si="127"/>
        <v/>
      </c>
      <c r="FS30" s="256" t="str">
        <f t="shared" si="128"/>
        <v/>
      </c>
      <c r="FT30" s="108" t="str">
        <f t="shared" si="129"/>
        <v/>
      </c>
      <c r="FU30" s="256" t="str">
        <f t="shared" si="130"/>
        <v/>
      </c>
      <c r="FV30" s="109" t="str">
        <f>IF(ATTENDANCE!Q31="","",ATTENDANCE!Q31)</f>
        <v/>
      </c>
      <c r="FW30" s="110" t="str">
        <f t="shared" si="131"/>
        <v/>
      </c>
      <c r="FX30" s="110" t="str">
        <f t="shared" si="132"/>
        <v/>
      </c>
      <c r="FY30" s="365" t="str">
        <f t="shared" si="133"/>
        <v/>
      </c>
      <c r="FZ30" s="108" t="str">
        <f t="shared" si="134"/>
        <v/>
      </c>
      <c r="GA30" s="256" t="str">
        <f>IF(ATTENDANCE!Q31="","",ATTENDANCE!Q31)</f>
        <v/>
      </c>
      <c r="GB30" s="108" t="str">
        <f>IF(ATTENDANCE!Q31="","",ATTENDANCE!$Q31)</f>
        <v/>
      </c>
      <c r="GC30" s="108" t="s">
        <v>232</v>
      </c>
      <c r="GD30" s="60"/>
    </row>
    <row r="31" spans="1:186" ht="15" customHeight="1" x14ac:dyDescent="0.25">
      <c r="A31" s="60"/>
      <c r="B31" s="96">
        <f>IF(DATA!B29="","",DATA!B29)</f>
        <v>25</v>
      </c>
      <c r="C31" s="96" t="str">
        <f>IF(DATA!C29="","",DATA!C29)</f>
        <v/>
      </c>
      <c r="D31" s="96" t="str">
        <f>IF(DATA!D29="","",DATA!D29)</f>
        <v/>
      </c>
      <c r="E31" s="303" t="str">
        <f>IF(DATA!E29="","",DATA!E29)</f>
        <v/>
      </c>
      <c r="F31" s="303" t="str">
        <f>IF(DATA!F29="","",DATA!F29)</f>
        <v/>
      </c>
      <c r="G31" s="303" t="str">
        <f>IF(DATA!G29="","",DATA!G29)</f>
        <v/>
      </c>
      <c r="H31" s="98" t="str">
        <f>IF(DATA!H29="","",DATA!H29)</f>
        <v/>
      </c>
      <c r="I31" s="97" t="str">
        <f>IF(DATA!I29="","",DATA!I29)</f>
        <v/>
      </c>
      <c r="J31" s="97" t="str">
        <f>IF(DATA!J29="","",DATA!J29)</f>
        <v/>
      </c>
      <c r="K31" s="97" t="str">
        <f>IF(DATA!K29="","",DATA!K29)</f>
        <v/>
      </c>
      <c r="L31" s="99" t="str">
        <f>IF(ENGLISH!E31="","",ENGLISH!E31)</f>
        <v/>
      </c>
      <c r="M31" s="100" t="str">
        <f t="shared" si="46"/>
        <v/>
      </c>
      <c r="N31" s="99" t="str">
        <f>IF(ENGLISH!F31="","",ENGLISH!F31)</f>
        <v/>
      </c>
      <c r="O31" s="100" t="str">
        <f t="shared" si="47"/>
        <v/>
      </c>
      <c r="P31" s="99" t="str">
        <f>IF(ENGLISH!G31="","",ENGLISH!G31)</f>
        <v/>
      </c>
      <c r="Q31" s="99" t="str">
        <f t="shared" si="48"/>
        <v/>
      </c>
      <c r="R31" s="100" t="str">
        <f>IFERROR(LARGE((M31,O31,Q31),1),"")</f>
        <v/>
      </c>
      <c r="S31" s="100" t="str">
        <f>IFERROR(LARGE((M31,O31,Q31),2),"")</f>
        <v/>
      </c>
      <c r="T31" s="99" t="str">
        <f t="shared" si="49"/>
        <v/>
      </c>
      <c r="U31" s="100" t="str">
        <f>IF(ENGLISH!H31="","",ENGLISH!H31)</f>
        <v/>
      </c>
      <c r="V31" s="99" t="str">
        <f>IF(ENGLISH!I31="","",ENGLISH!I31)</f>
        <v/>
      </c>
      <c r="W31" s="99" t="str">
        <f>IF(ENGLISH!J31="","",ENGLISH!J31)</f>
        <v/>
      </c>
      <c r="X31" s="99" t="str">
        <f t="shared" si="50"/>
        <v/>
      </c>
      <c r="Y31" s="100" t="str">
        <f>IF(ENGLISH!K31="","",ENGLISH!K31)</f>
        <v/>
      </c>
      <c r="Z31" s="100" t="str">
        <f t="shared" si="51"/>
        <v/>
      </c>
      <c r="AA31" s="101" t="str">
        <f t="shared" si="52"/>
        <v/>
      </c>
      <c r="AB31" s="99" t="str">
        <f t="shared" si="15"/>
        <v/>
      </c>
      <c r="AC31" s="99" t="str">
        <f>IF(ENGLISH!O31="","",ENGLISH!O31)</f>
        <v/>
      </c>
      <c r="AD31" s="99" t="str">
        <f t="shared" si="53"/>
        <v/>
      </c>
      <c r="AE31" s="99" t="str">
        <f t="shared" si="54"/>
        <v/>
      </c>
      <c r="AF31" s="99" t="str">
        <f t="shared" si="55"/>
        <v/>
      </c>
      <c r="AG31" s="102" t="str">
        <f>IF(C31="","",VLOOKUP(C31,'HINDI-SKT'!$D$7:$E$51,2,0))</f>
        <v/>
      </c>
      <c r="AH31" s="102" t="str">
        <f>IF('HINDI-SKT'!F31="","",'HINDI-SKT'!F31)</f>
        <v/>
      </c>
      <c r="AI31" s="103" t="str">
        <f t="shared" si="16"/>
        <v/>
      </c>
      <c r="AJ31" s="102" t="str">
        <f>IF('HINDI-SKT'!G31="","",'HINDI-SKT'!G31)</f>
        <v/>
      </c>
      <c r="AK31" s="103" t="str">
        <f t="shared" si="17"/>
        <v/>
      </c>
      <c r="AL31" s="102" t="str">
        <f>IF('HINDI-SKT'!H31="","",'HINDI-SKT'!H31)</f>
        <v/>
      </c>
      <c r="AM31" s="102" t="str">
        <f t="shared" si="18"/>
        <v/>
      </c>
      <c r="AN31" s="103" t="str">
        <f>IFERROR(LARGE((AI31,AK31,AM31),1),"")</f>
        <v/>
      </c>
      <c r="AO31" s="103" t="str">
        <f>IFERROR(LARGE((AI31,AK31,AM31),2),"")</f>
        <v/>
      </c>
      <c r="AP31" s="102" t="str">
        <f t="shared" si="19"/>
        <v/>
      </c>
      <c r="AQ31" s="103" t="str">
        <f>IF('HINDI-SKT'!I31="","",'HINDI-SKT'!I31)</f>
        <v/>
      </c>
      <c r="AR31" s="102" t="str">
        <f>IF('HINDI-SKT'!J31="","",'HINDI-SKT'!J31)</f>
        <v/>
      </c>
      <c r="AS31" s="102" t="str">
        <f>IF('HINDI-SKT'!K31="","",'HINDI-SKT'!K31)</f>
        <v/>
      </c>
      <c r="AT31" s="102" t="str">
        <f t="shared" si="56"/>
        <v/>
      </c>
      <c r="AU31" s="102" t="str">
        <f>IF('HINDI-SKT'!L31="","",'HINDI-SKT'!L31)</f>
        <v/>
      </c>
      <c r="AV31" s="103" t="str">
        <f t="shared" si="57"/>
        <v/>
      </c>
      <c r="AW31" s="102" t="str">
        <f t="shared" si="58"/>
        <v/>
      </c>
      <c r="AX31" s="102" t="str">
        <f t="shared" si="59"/>
        <v/>
      </c>
      <c r="AY31" s="102" t="str">
        <f>IF('HINDI-SKT'!P31="","",'HINDI-SKT'!P31)</f>
        <v/>
      </c>
      <c r="AZ31" s="102" t="str">
        <f t="shared" si="60"/>
        <v/>
      </c>
      <c r="BA31" s="102" t="str">
        <f t="shared" si="61"/>
        <v/>
      </c>
      <c r="BB31" s="102" t="str">
        <f t="shared" si="62"/>
        <v/>
      </c>
      <c r="BC31" s="99" t="str">
        <f>IF(MATHS!E31="","",MATHS!E31)</f>
        <v/>
      </c>
      <c r="BD31" s="100" t="str">
        <f t="shared" si="22"/>
        <v/>
      </c>
      <c r="BE31" s="99" t="str">
        <f>IF(MATHS!F31="","",MATHS!F31)</f>
        <v/>
      </c>
      <c r="BF31" s="100" t="str">
        <f t="shared" si="23"/>
        <v/>
      </c>
      <c r="BG31" s="99" t="str">
        <f>IF(MATHS!G31="","",MATHS!G31)</f>
        <v/>
      </c>
      <c r="BH31" s="99" t="str">
        <f t="shared" si="24"/>
        <v/>
      </c>
      <c r="BI31" s="100" t="str">
        <f>IFERROR(LARGE((BD31,BF31,BH31),1),"")</f>
        <v/>
      </c>
      <c r="BJ31" s="100" t="str">
        <f>IFERROR(LARGE((BD31,BF31,BH31),2),"")</f>
        <v/>
      </c>
      <c r="BK31" s="99" t="str">
        <f t="shared" si="25"/>
        <v/>
      </c>
      <c r="BL31" s="100" t="str">
        <f>IF(MATHS!H31="","",MATHS!H31)</f>
        <v/>
      </c>
      <c r="BM31" s="99" t="str">
        <f>IF(MATHS!I31="","",MATHS!I31)</f>
        <v/>
      </c>
      <c r="BN31" s="99" t="str">
        <f>IF(MATHS!J31="","",MATHS!J31)</f>
        <v/>
      </c>
      <c r="BO31" s="99" t="str">
        <f t="shared" si="63"/>
        <v/>
      </c>
      <c r="BP31" s="99" t="str">
        <f>IF(MATHS!K31="","",MATHS!K31)</f>
        <v/>
      </c>
      <c r="BQ31" s="100" t="str">
        <f t="shared" si="26"/>
        <v/>
      </c>
      <c r="BR31" s="99" t="str">
        <f t="shared" si="64"/>
        <v/>
      </c>
      <c r="BS31" s="99" t="str">
        <f t="shared" si="27"/>
        <v/>
      </c>
      <c r="BT31" s="99" t="str">
        <f>IF(MATHS!O31="","",MATHS!O31)</f>
        <v/>
      </c>
      <c r="BU31" s="99" t="str">
        <f t="shared" si="65"/>
        <v/>
      </c>
      <c r="BV31" s="99" t="str">
        <f t="shared" si="66"/>
        <v/>
      </c>
      <c r="BW31" s="102" t="str">
        <f t="shared" si="67"/>
        <v/>
      </c>
      <c r="BX31" s="102" t="str">
        <f>IF(SCIENCE!E31="","",SCIENCE!E31)</f>
        <v/>
      </c>
      <c r="BY31" s="103" t="str">
        <f t="shared" si="28"/>
        <v/>
      </c>
      <c r="BZ31" s="102" t="str">
        <f>IF(SCIENCE!F31="","",SCIENCE!F31)</f>
        <v/>
      </c>
      <c r="CA31" s="103" t="str">
        <f t="shared" si="29"/>
        <v/>
      </c>
      <c r="CB31" s="102" t="str">
        <f>IF(SCIENCE!G31="","",SCIENCE!G31)</f>
        <v/>
      </c>
      <c r="CC31" s="102" t="str">
        <f t="shared" si="30"/>
        <v/>
      </c>
      <c r="CD31" s="103" t="str">
        <f>IFERROR(LARGE((BY31,CA31,CC31),1),"")</f>
        <v/>
      </c>
      <c r="CE31" s="103" t="str">
        <f>IFERROR(LARGE((BY31,CA31,CC31),2),"")</f>
        <v/>
      </c>
      <c r="CF31" s="102" t="str">
        <f t="shared" si="31"/>
        <v/>
      </c>
      <c r="CG31" s="103" t="str">
        <f>IF(SCIENCE!H31="","",SCIENCE!H31)</f>
        <v/>
      </c>
      <c r="CH31" s="103" t="str">
        <f>IF(SCIENCE!I31="","",SCIENCE!I31)</f>
        <v/>
      </c>
      <c r="CI31" s="103" t="str">
        <f>IF(SCIENCE!J31="","",SCIENCE!J31)</f>
        <v/>
      </c>
      <c r="CJ31" s="103" t="str">
        <f t="shared" si="68"/>
        <v/>
      </c>
      <c r="CK31" s="103" t="str">
        <f>IF(SCIENCE!K31="","",SCIENCE!K31)</f>
        <v/>
      </c>
      <c r="CL31" s="103" t="str">
        <f t="shared" si="32"/>
        <v/>
      </c>
      <c r="CM31" s="102" t="str">
        <f t="shared" si="69"/>
        <v/>
      </c>
      <c r="CN31" s="102" t="str">
        <f t="shared" si="33"/>
        <v/>
      </c>
      <c r="CO31" s="102" t="str">
        <f>IF(SCIENCE!O31="","",SCIENCE!O31)</f>
        <v/>
      </c>
      <c r="CP31" s="102" t="str">
        <f t="shared" si="70"/>
        <v/>
      </c>
      <c r="CQ31" s="102" t="str">
        <f t="shared" si="71"/>
        <v/>
      </c>
      <c r="CR31" s="102" t="str">
        <f t="shared" si="72"/>
        <v/>
      </c>
      <c r="CS31" s="99" t="str">
        <f>IF(SST!E31="","",SST!E31)</f>
        <v/>
      </c>
      <c r="CT31" s="100" t="str">
        <f t="shared" si="34"/>
        <v/>
      </c>
      <c r="CU31" s="99" t="str">
        <f>IF(SST!F31="","",SST!F31)</f>
        <v/>
      </c>
      <c r="CV31" s="100" t="str">
        <f t="shared" si="35"/>
        <v/>
      </c>
      <c r="CW31" s="99" t="str">
        <f>IF(SST!G31="","",SST!G31)</f>
        <v/>
      </c>
      <c r="CX31" s="99" t="str">
        <f t="shared" si="36"/>
        <v/>
      </c>
      <c r="CY31" s="100" t="str">
        <f>IFERROR(LARGE((CT31,CV31,CX31),1),"")</f>
        <v/>
      </c>
      <c r="CZ31" s="100" t="str">
        <f>IFERROR(LARGE((CT31,CV31,CX31),2),"")</f>
        <v/>
      </c>
      <c r="DA31" s="99" t="str">
        <f t="shared" si="37"/>
        <v/>
      </c>
      <c r="DB31" s="100" t="str">
        <f>IF(SST!H31="","",SST!H31)</f>
        <v/>
      </c>
      <c r="DC31" s="100" t="str">
        <f>IF(SST!I31="","",SST!I31)</f>
        <v/>
      </c>
      <c r="DD31" s="100" t="str">
        <f>IF(SST!J31="","",SST!J31)</f>
        <v/>
      </c>
      <c r="DE31" s="100" t="str">
        <f t="shared" si="73"/>
        <v/>
      </c>
      <c r="DF31" s="100" t="str">
        <f>IF(SST!K31="","",SST!K31)</f>
        <v/>
      </c>
      <c r="DG31" s="100" t="str">
        <f t="shared" si="74"/>
        <v/>
      </c>
      <c r="DH31" s="99" t="str">
        <f t="shared" si="75"/>
        <v/>
      </c>
      <c r="DI31" s="99" t="str">
        <f t="shared" si="38"/>
        <v/>
      </c>
      <c r="DJ31" s="99" t="str">
        <f>IF(SST!O31="","",SST!O31)</f>
        <v/>
      </c>
      <c r="DK31" s="99" t="str">
        <f t="shared" si="76"/>
        <v/>
      </c>
      <c r="DL31" s="99" t="str">
        <f t="shared" si="77"/>
        <v/>
      </c>
      <c r="DM31" s="99" t="str">
        <f t="shared" si="78"/>
        <v/>
      </c>
      <c r="DN31" s="99"/>
      <c r="DO31" s="102" t="str">
        <f>IF(C31="","",IF(VLOOKUP(C31,VOCATIONAL!$D$7:$E$51,2,0)="","",VLOOKUP(C31,VOCATIONAL!$D$7:$E$51,2,0)))</f>
        <v/>
      </c>
      <c r="DP31" s="102" t="str">
        <f>IF(VOCATIONAL!F31="","",VOCATIONAL!F31)</f>
        <v/>
      </c>
      <c r="DQ31" s="102" t="str">
        <f>IF(VOCATIONAL!G31="","",VOCATIONAL!G31)</f>
        <v/>
      </c>
      <c r="DR31" s="102" t="str">
        <f t="shared" si="79"/>
        <v/>
      </c>
      <c r="DS31" s="102" t="str">
        <f t="shared" si="80"/>
        <v/>
      </c>
      <c r="DT31" s="102" t="str">
        <f>IF(VOCATIONAL!K31="","",VOCATIONAL!K31)</f>
        <v/>
      </c>
      <c r="DU31" s="102" t="str">
        <f t="shared" si="81"/>
        <v/>
      </c>
      <c r="DV31" s="102" t="str">
        <f t="shared" si="82"/>
        <v/>
      </c>
      <c r="DW31" s="99"/>
      <c r="DX31" s="104" t="str">
        <f t="shared" si="83"/>
        <v/>
      </c>
      <c r="DY31" s="104" t="str">
        <f t="shared" si="84"/>
        <v/>
      </c>
      <c r="DZ31" s="104" t="str">
        <f t="shared" si="85"/>
        <v/>
      </c>
      <c r="EA31" s="104" t="str">
        <f t="shared" si="86"/>
        <v/>
      </c>
      <c r="EB31" s="104" t="str">
        <f t="shared" si="87"/>
        <v/>
      </c>
      <c r="EC31" s="104" t="str">
        <f t="shared" si="88"/>
        <v/>
      </c>
      <c r="ED31" s="104" t="str">
        <f t="shared" si="89"/>
        <v/>
      </c>
      <c r="EE31" s="104" t="str">
        <f t="shared" si="90"/>
        <v/>
      </c>
      <c r="EF31" s="104" t="str">
        <f t="shared" si="91"/>
        <v/>
      </c>
      <c r="EG31" s="104" t="str">
        <f t="shared" si="92"/>
        <v/>
      </c>
      <c r="EH31" s="104" t="str">
        <f t="shared" si="93"/>
        <v/>
      </c>
      <c r="EI31" s="104" t="str">
        <f t="shared" si="94"/>
        <v/>
      </c>
      <c r="EJ31" s="105" t="str">
        <f t="shared" si="95"/>
        <v/>
      </c>
      <c r="EK31" s="105" t="str">
        <f t="shared" si="96"/>
        <v/>
      </c>
      <c r="EL31" s="105" t="str">
        <f t="shared" si="97"/>
        <v/>
      </c>
      <c r="EM31" s="105" t="str">
        <f t="shared" si="98"/>
        <v/>
      </c>
      <c r="EN31" s="105" t="str">
        <f t="shared" si="99"/>
        <v/>
      </c>
      <c r="EO31" s="363" t="str">
        <f t="shared" si="100"/>
        <v/>
      </c>
      <c r="EP31" s="106" t="str">
        <f t="shared" si="101"/>
        <v/>
      </c>
      <c r="EQ31" s="106" t="str">
        <f t="shared" si="102"/>
        <v/>
      </c>
      <c r="ER31" s="106" t="str">
        <f t="shared" si="103"/>
        <v/>
      </c>
      <c r="ES31" s="106" t="str">
        <f t="shared" si="104"/>
        <v/>
      </c>
      <c r="ET31" s="106" t="str">
        <f t="shared" si="105"/>
        <v/>
      </c>
      <c r="EU31" s="106" t="str">
        <f t="shared" si="106"/>
        <v/>
      </c>
      <c r="EV31" s="92" t="str">
        <f t="shared" si="107"/>
        <v/>
      </c>
      <c r="EW31" s="92" t="str">
        <f t="shared" si="108"/>
        <v/>
      </c>
      <c r="EX31" s="92" t="str">
        <f t="shared" si="109"/>
        <v/>
      </c>
      <c r="EY31" s="92" t="str">
        <f t="shared" si="110"/>
        <v/>
      </c>
      <c r="EZ31" s="92" t="str">
        <f t="shared" si="111"/>
        <v/>
      </c>
      <c r="FA31" s="92" t="str">
        <f t="shared" si="112"/>
        <v/>
      </c>
      <c r="FB31" s="93" t="str">
        <f t="shared" si="113"/>
        <v/>
      </c>
      <c r="FC31" s="93" t="str">
        <f t="shared" si="114"/>
        <v/>
      </c>
      <c r="FD31" s="93" t="str">
        <f t="shared" si="115"/>
        <v/>
      </c>
      <c r="FE31" s="93" t="str">
        <f t="shared" si="116"/>
        <v/>
      </c>
      <c r="FF31" s="93" t="str">
        <f t="shared" si="117"/>
        <v/>
      </c>
      <c r="FG31" s="93" t="str">
        <f t="shared" si="118"/>
        <v/>
      </c>
      <c r="FH31" s="107" t="str">
        <f t="shared" si="119"/>
        <v/>
      </c>
      <c r="FI31" s="107" t="str">
        <f t="shared" si="120"/>
        <v/>
      </c>
      <c r="FJ31" s="256" t="str">
        <f t="shared" si="121"/>
        <v/>
      </c>
      <c r="FK31" s="256" t="str">
        <f t="shared" si="122"/>
        <v/>
      </c>
      <c r="FL31" s="256" t="str">
        <f t="shared" si="123"/>
        <v/>
      </c>
      <c r="FM31" s="256" t="str">
        <f t="shared" si="124"/>
        <v/>
      </c>
      <c r="FN31" s="256" t="str">
        <f>IF(OR(C31="TC",C31=""),"",IF(OR(FJ31="PASS",FJ31="FAIL"),IF(EC31="",SUM(FB31:FF31),SUM(LARGE(FB31:FG31,{1,2,3,4,5}))),""))</f>
        <v/>
      </c>
      <c r="FO31" s="256" t="str">
        <f>IF(AND(FN31="",FK31="PASSED AFTER COMPARTMENT"),IF(EC31="",SUM(FB31:FF31),SUM(LARGE(FB31:FG31,{1,2,3,4,5}))),FN31)</f>
        <v/>
      </c>
      <c r="FP31" s="256" t="str">
        <f t="shared" si="125"/>
        <v/>
      </c>
      <c r="FQ31" s="256" t="str">
        <f t="shared" si="126"/>
        <v/>
      </c>
      <c r="FR31" s="256" t="str">
        <f t="shared" si="127"/>
        <v/>
      </c>
      <c r="FS31" s="256" t="str">
        <f t="shared" si="128"/>
        <v/>
      </c>
      <c r="FT31" s="108" t="str">
        <f t="shared" si="129"/>
        <v/>
      </c>
      <c r="FU31" s="256" t="str">
        <f t="shared" si="130"/>
        <v/>
      </c>
      <c r="FV31" s="109" t="str">
        <f>IF(ATTENDANCE!Q32="","",ATTENDANCE!Q32)</f>
        <v/>
      </c>
      <c r="FW31" s="110" t="str">
        <f t="shared" si="131"/>
        <v/>
      </c>
      <c r="FX31" s="110" t="str">
        <f t="shared" si="132"/>
        <v/>
      </c>
      <c r="FY31" s="365" t="str">
        <f t="shared" si="133"/>
        <v/>
      </c>
      <c r="FZ31" s="108" t="str">
        <f t="shared" si="134"/>
        <v/>
      </c>
      <c r="GA31" s="256" t="str">
        <f>IF(ATTENDANCE!Q32="","",ATTENDANCE!Q32)</f>
        <v/>
      </c>
      <c r="GB31" s="108" t="str">
        <f>IF(ATTENDANCE!Q32="","",ATTENDANCE!$Q32)</f>
        <v/>
      </c>
      <c r="GC31" s="108" t="s">
        <v>233</v>
      </c>
      <c r="GD31" s="60"/>
    </row>
    <row r="32" spans="1:186" ht="15" customHeight="1" x14ac:dyDescent="0.25">
      <c r="A32" s="60"/>
      <c r="B32" s="96">
        <f>IF(DATA!B30="","",DATA!B30)</f>
        <v>26</v>
      </c>
      <c r="C32" s="96" t="str">
        <f>IF(DATA!C30="","",DATA!C30)</f>
        <v/>
      </c>
      <c r="D32" s="96" t="str">
        <f>IF(DATA!D30="","",DATA!D30)</f>
        <v/>
      </c>
      <c r="E32" s="303" t="str">
        <f>IF(DATA!E30="","",DATA!E30)</f>
        <v/>
      </c>
      <c r="F32" s="303" t="str">
        <f>IF(DATA!F30="","",DATA!F30)</f>
        <v/>
      </c>
      <c r="G32" s="303" t="str">
        <f>IF(DATA!G30="","",DATA!G30)</f>
        <v/>
      </c>
      <c r="H32" s="98" t="str">
        <f>IF(DATA!H30="","",DATA!H30)</f>
        <v/>
      </c>
      <c r="I32" s="97" t="str">
        <f>IF(DATA!I30="","",DATA!I30)</f>
        <v/>
      </c>
      <c r="J32" s="97" t="str">
        <f>IF(DATA!J30="","",DATA!J30)</f>
        <v/>
      </c>
      <c r="K32" s="97" t="str">
        <f>IF(DATA!K30="","",DATA!K30)</f>
        <v/>
      </c>
      <c r="L32" s="99" t="str">
        <f>IF(ENGLISH!E32="","",ENGLISH!E32)</f>
        <v/>
      </c>
      <c r="M32" s="100" t="str">
        <f t="shared" si="46"/>
        <v/>
      </c>
      <c r="N32" s="99" t="str">
        <f>IF(ENGLISH!F32="","",ENGLISH!F32)</f>
        <v/>
      </c>
      <c r="O32" s="100" t="str">
        <f t="shared" si="47"/>
        <v/>
      </c>
      <c r="P32" s="99" t="str">
        <f>IF(ENGLISH!G32="","",ENGLISH!G32)</f>
        <v/>
      </c>
      <c r="Q32" s="99" t="str">
        <f t="shared" si="48"/>
        <v/>
      </c>
      <c r="R32" s="100" t="str">
        <f>IFERROR(LARGE((M32,O32,Q32),1),"")</f>
        <v/>
      </c>
      <c r="S32" s="100" t="str">
        <f>IFERROR(LARGE((M32,O32,Q32),2),"")</f>
        <v/>
      </c>
      <c r="T32" s="99" t="str">
        <f t="shared" si="49"/>
        <v/>
      </c>
      <c r="U32" s="100" t="str">
        <f>IF(ENGLISH!H32="","",ENGLISH!H32)</f>
        <v/>
      </c>
      <c r="V32" s="99" t="str">
        <f>IF(ENGLISH!I32="","",ENGLISH!I32)</f>
        <v/>
      </c>
      <c r="W32" s="99" t="str">
        <f>IF(ENGLISH!J32="","",ENGLISH!J32)</f>
        <v/>
      </c>
      <c r="X32" s="99" t="str">
        <f t="shared" si="50"/>
        <v/>
      </c>
      <c r="Y32" s="100" t="str">
        <f>IF(ENGLISH!K32="","",ENGLISH!K32)</f>
        <v/>
      </c>
      <c r="Z32" s="100" t="str">
        <f t="shared" si="51"/>
        <v/>
      </c>
      <c r="AA32" s="101" t="str">
        <f t="shared" si="52"/>
        <v/>
      </c>
      <c r="AB32" s="99" t="str">
        <f t="shared" si="15"/>
        <v/>
      </c>
      <c r="AC32" s="99" t="str">
        <f>IF(ENGLISH!O32="","",ENGLISH!O32)</f>
        <v/>
      </c>
      <c r="AD32" s="99" t="str">
        <f t="shared" si="53"/>
        <v/>
      </c>
      <c r="AE32" s="99" t="str">
        <f t="shared" si="54"/>
        <v/>
      </c>
      <c r="AF32" s="99" t="str">
        <f t="shared" si="55"/>
        <v/>
      </c>
      <c r="AG32" s="102" t="str">
        <f>IF(C32="","",VLOOKUP(C32,'HINDI-SKT'!$D$7:$E$51,2,0))</f>
        <v/>
      </c>
      <c r="AH32" s="102" t="str">
        <f>IF('HINDI-SKT'!F32="","",'HINDI-SKT'!F32)</f>
        <v/>
      </c>
      <c r="AI32" s="103" t="str">
        <f t="shared" si="16"/>
        <v/>
      </c>
      <c r="AJ32" s="102" t="str">
        <f>IF('HINDI-SKT'!G32="","",'HINDI-SKT'!G32)</f>
        <v/>
      </c>
      <c r="AK32" s="103" t="str">
        <f t="shared" si="17"/>
        <v/>
      </c>
      <c r="AL32" s="102" t="str">
        <f>IF('HINDI-SKT'!H32="","",'HINDI-SKT'!H32)</f>
        <v/>
      </c>
      <c r="AM32" s="102" t="str">
        <f t="shared" si="18"/>
        <v/>
      </c>
      <c r="AN32" s="103" t="str">
        <f>IFERROR(LARGE((AI32,AK32,AM32),1),"")</f>
        <v/>
      </c>
      <c r="AO32" s="103" t="str">
        <f>IFERROR(LARGE((AI32,AK32,AM32),2),"")</f>
        <v/>
      </c>
      <c r="AP32" s="102" t="str">
        <f t="shared" si="19"/>
        <v/>
      </c>
      <c r="AQ32" s="103" t="str">
        <f>IF('HINDI-SKT'!I32="","",'HINDI-SKT'!I32)</f>
        <v/>
      </c>
      <c r="AR32" s="102" t="str">
        <f>IF('HINDI-SKT'!J32="","",'HINDI-SKT'!J32)</f>
        <v/>
      </c>
      <c r="AS32" s="102" t="str">
        <f>IF('HINDI-SKT'!K32="","",'HINDI-SKT'!K32)</f>
        <v/>
      </c>
      <c r="AT32" s="102" t="str">
        <f t="shared" si="56"/>
        <v/>
      </c>
      <c r="AU32" s="102" t="str">
        <f>IF('HINDI-SKT'!L32="","",'HINDI-SKT'!L32)</f>
        <v/>
      </c>
      <c r="AV32" s="103" t="str">
        <f t="shared" si="57"/>
        <v/>
      </c>
      <c r="AW32" s="102" t="str">
        <f t="shared" si="58"/>
        <v/>
      </c>
      <c r="AX32" s="102" t="str">
        <f t="shared" si="59"/>
        <v/>
      </c>
      <c r="AY32" s="102" t="str">
        <f>IF('HINDI-SKT'!P32="","",'HINDI-SKT'!P32)</f>
        <v/>
      </c>
      <c r="AZ32" s="102" t="str">
        <f t="shared" si="60"/>
        <v/>
      </c>
      <c r="BA32" s="102" t="str">
        <f t="shared" si="61"/>
        <v/>
      </c>
      <c r="BB32" s="102" t="str">
        <f t="shared" si="62"/>
        <v/>
      </c>
      <c r="BC32" s="99" t="str">
        <f>IF(MATHS!E32="","",MATHS!E32)</f>
        <v/>
      </c>
      <c r="BD32" s="100" t="str">
        <f t="shared" si="22"/>
        <v/>
      </c>
      <c r="BE32" s="99" t="str">
        <f>IF(MATHS!F32="","",MATHS!F32)</f>
        <v/>
      </c>
      <c r="BF32" s="100" t="str">
        <f t="shared" si="23"/>
        <v/>
      </c>
      <c r="BG32" s="99" t="str">
        <f>IF(MATHS!G32="","",MATHS!G32)</f>
        <v/>
      </c>
      <c r="BH32" s="99" t="str">
        <f t="shared" si="24"/>
        <v/>
      </c>
      <c r="BI32" s="100" t="str">
        <f>IFERROR(LARGE((BD32,BF32,BH32),1),"")</f>
        <v/>
      </c>
      <c r="BJ32" s="100" t="str">
        <f>IFERROR(LARGE((BD32,BF32,BH32),2),"")</f>
        <v/>
      </c>
      <c r="BK32" s="99" t="str">
        <f t="shared" si="25"/>
        <v/>
      </c>
      <c r="BL32" s="100" t="str">
        <f>IF(MATHS!H32="","",MATHS!H32)</f>
        <v/>
      </c>
      <c r="BM32" s="99" t="str">
        <f>IF(MATHS!I32="","",MATHS!I32)</f>
        <v/>
      </c>
      <c r="BN32" s="99" t="str">
        <f>IF(MATHS!J32="","",MATHS!J32)</f>
        <v/>
      </c>
      <c r="BO32" s="99" t="str">
        <f t="shared" si="63"/>
        <v/>
      </c>
      <c r="BP32" s="99" t="str">
        <f>IF(MATHS!K32="","",MATHS!K32)</f>
        <v/>
      </c>
      <c r="BQ32" s="100" t="str">
        <f t="shared" si="26"/>
        <v/>
      </c>
      <c r="BR32" s="99" t="str">
        <f t="shared" si="64"/>
        <v/>
      </c>
      <c r="BS32" s="99" t="str">
        <f t="shared" si="27"/>
        <v/>
      </c>
      <c r="BT32" s="99" t="str">
        <f>IF(MATHS!O32="","",MATHS!O32)</f>
        <v/>
      </c>
      <c r="BU32" s="99" t="str">
        <f t="shared" si="65"/>
        <v/>
      </c>
      <c r="BV32" s="99" t="str">
        <f t="shared" si="66"/>
        <v/>
      </c>
      <c r="BW32" s="102" t="str">
        <f t="shared" si="67"/>
        <v/>
      </c>
      <c r="BX32" s="102" t="str">
        <f>IF(SCIENCE!E32="","",SCIENCE!E32)</f>
        <v/>
      </c>
      <c r="BY32" s="103" t="str">
        <f t="shared" si="28"/>
        <v/>
      </c>
      <c r="BZ32" s="102" t="str">
        <f>IF(SCIENCE!F32="","",SCIENCE!F32)</f>
        <v/>
      </c>
      <c r="CA32" s="103" t="str">
        <f t="shared" si="29"/>
        <v/>
      </c>
      <c r="CB32" s="102" t="str">
        <f>IF(SCIENCE!G32="","",SCIENCE!G32)</f>
        <v/>
      </c>
      <c r="CC32" s="102" t="str">
        <f t="shared" si="30"/>
        <v/>
      </c>
      <c r="CD32" s="103" t="str">
        <f>IFERROR(LARGE((BY32,CA32,CC32),1),"")</f>
        <v/>
      </c>
      <c r="CE32" s="103" t="str">
        <f>IFERROR(LARGE((BY32,CA32,CC32),2),"")</f>
        <v/>
      </c>
      <c r="CF32" s="102" t="str">
        <f t="shared" si="31"/>
        <v/>
      </c>
      <c r="CG32" s="103" t="str">
        <f>IF(SCIENCE!H32="","",SCIENCE!H32)</f>
        <v/>
      </c>
      <c r="CH32" s="103" t="str">
        <f>IF(SCIENCE!I32="","",SCIENCE!I32)</f>
        <v/>
      </c>
      <c r="CI32" s="103" t="str">
        <f>IF(SCIENCE!J32="","",SCIENCE!J32)</f>
        <v/>
      </c>
      <c r="CJ32" s="103" t="str">
        <f t="shared" si="68"/>
        <v/>
      </c>
      <c r="CK32" s="103" t="str">
        <f>IF(SCIENCE!K32="","",SCIENCE!K32)</f>
        <v/>
      </c>
      <c r="CL32" s="103" t="str">
        <f t="shared" si="32"/>
        <v/>
      </c>
      <c r="CM32" s="102" t="str">
        <f t="shared" si="69"/>
        <v/>
      </c>
      <c r="CN32" s="102" t="str">
        <f t="shared" si="33"/>
        <v/>
      </c>
      <c r="CO32" s="102" t="str">
        <f>IF(SCIENCE!O32="","",SCIENCE!O32)</f>
        <v/>
      </c>
      <c r="CP32" s="102" t="str">
        <f t="shared" si="70"/>
        <v/>
      </c>
      <c r="CQ32" s="102" t="str">
        <f t="shared" si="71"/>
        <v/>
      </c>
      <c r="CR32" s="102" t="str">
        <f t="shared" si="72"/>
        <v/>
      </c>
      <c r="CS32" s="99" t="str">
        <f>IF(SST!E32="","",SST!E32)</f>
        <v/>
      </c>
      <c r="CT32" s="100" t="str">
        <f t="shared" si="34"/>
        <v/>
      </c>
      <c r="CU32" s="99" t="str">
        <f>IF(SST!F32="","",SST!F32)</f>
        <v/>
      </c>
      <c r="CV32" s="100" t="str">
        <f t="shared" si="35"/>
        <v/>
      </c>
      <c r="CW32" s="99" t="str">
        <f>IF(SST!G32="","",SST!G32)</f>
        <v/>
      </c>
      <c r="CX32" s="99" t="str">
        <f t="shared" si="36"/>
        <v/>
      </c>
      <c r="CY32" s="100" t="str">
        <f>IFERROR(LARGE((CT32,CV32,CX32),1),"")</f>
        <v/>
      </c>
      <c r="CZ32" s="100" t="str">
        <f>IFERROR(LARGE((CT32,CV32,CX32),2),"")</f>
        <v/>
      </c>
      <c r="DA32" s="99" t="str">
        <f t="shared" si="37"/>
        <v/>
      </c>
      <c r="DB32" s="100" t="str">
        <f>IF(SST!H32="","",SST!H32)</f>
        <v/>
      </c>
      <c r="DC32" s="100" t="str">
        <f>IF(SST!I32="","",SST!I32)</f>
        <v/>
      </c>
      <c r="DD32" s="100" t="str">
        <f>IF(SST!J32="","",SST!J32)</f>
        <v/>
      </c>
      <c r="DE32" s="100" t="str">
        <f t="shared" si="73"/>
        <v/>
      </c>
      <c r="DF32" s="100" t="str">
        <f>IF(SST!K32="","",SST!K32)</f>
        <v/>
      </c>
      <c r="DG32" s="100" t="str">
        <f t="shared" si="74"/>
        <v/>
      </c>
      <c r="DH32" s="99" t="str">
        <f t="shared" si="75"/>
        <v/>
      </c>
      <c r="DI32" s="99" t="str">
        <f t="shared" si="38"/>
        <v/>
      </c>
      <c r="DJ32" s="99" t="str">
        <f>IF(SST!O32="","",SST!O32)</f>
        <v/>
      </c>
      <c r="DK32" s="99" t="str">
        <f t="shared" si="76"/>
        <v/>
      </c>
      <c r="DL32" s="99" t="str">
        <f t="shared" si="77"/>
        <v/>
      </c>
      <c r="DM32" s="99" t="str">
        <f t="shared" si="78"/>
        <v/>
      </c>
      <c r="DN32" s="99"/>
      <c r="DO32" s="102" t="str">
        <f>IF(C32="","",IF(VLOOKUP(C32,VOCATIONAL!$D$7:$E$51,2,0)="","",VLOOKUP(C32,VOCATIONAL!$D$7:$E$51,2,0)))</f>
        <v/>
      </c>
      <c r="DP32" s="102" t="str">
        <f>IF(VOCATIONAL!F32="","",VOCATIONAL!F32)</f>
        <v/>
      </c>
      <c r="DQ32" s="102" t="str">
        <f>IF(VOCATIONAL!G32="","",VOCATIONAL!G32)</f>
        <v/>
      </c>
      <c r="DR32" s="102" t="str">
        <f t="shared" si="79"/>
        <v/>
      </c>
      <c r="DS32" s="102" t="str">
        <f t="shared" si="80"/>
        <v/>
      </c>
      <c r="DT32" s="102" t="str">
        <f>IF(VOCATIONAL!K32="","",VOCATIONAL!K32)</f>
        <v/>
      </c>
      <c r="DU32" s="102" t="str">
        <f t="shared" si="81"/>
        <v/>
      </c>
      <c r="DV32" s="102" t="str">
        <f t="shared" si="82"/>
        <v/>
      </c>
      <c r="DW32" s="99"/>
      <c r="DX32" s="104" t="str">
        <f t="shared" si="83"/>
        <v/>
      </c>
      <c r="DY32" s="104" t="str">
        <f t="shared" si="84"/>
        <v/>
      </c>
      <c r="DZ32" s="104" t="str">
        <f t="shared" si="85"/>
        <v/>
      </c>
      <c r="EA32" s="104" t="str">
        <f t="shared" si="86"/>
        <v/>
      </c>
      <c r="EB32" s="104" t="str">
        <f t="shared" si="87"/>
        <v/>
      </c>
      <c r="EC32" s="104" t="str">
        <f t="shared" si="88"/>
        <v/>
      </c>
      <c r="ED32" s="104" t="str">
        <f t="shared" si="89"/>
        <v/>
      </c>
      <c r="EE32" s="104" t="str">
        <f t="shared" si="90"/>
        <v/>
      </c>
      <c r="EF32" s="104" t="str">
        <f t="shared" si="91"/>
        <v/>
      </c>
      <c r="EG32" s="104" t="str">
        <f t="shared" si="92"/>
        <v/>
      </c>
      <c r="EH32" s="104" t="str">
        <f t="shared" si="93"/>
        <v/>
      </c>
      <c r="EI32" s="104" t="str">
        <f t="shared" si="94"/>
        <v/>
      </c>
      <c r="EJ32" s="105" t="str">
        <f t="shared" si="95"/>
        <v/>
      </c>
      <c r="EK32" s="105" t="str">
        <f t="shared" si="96"/>
        <v/>
      </c>
      <c r="EL32" s="105" t="str">
        <f t="shared" si="97"/>
        <v/>
      </c>
      <c r="EM32" s="105" t="str">
        <f t="shared" si="98"/>
        <v/>
      </c>
      <c r="EN32" s="105" t="str">
        <f t="shared" si="99"/>
        <v/>
      </c>
      <c r="EO32" s="363" t="str">
        <f t="shared" si="100"/>
        <v/>
      </c>
      <c r="EP32" s="106" t="str">
        <f t="shared" si="101"/>
        <v/>
      </c>
      <c r="EQ32" s="106" t="str">
        <f t="shared" si="102"/>
        <v/>
      </c>
      <c r="ER32" s="106" t="str">
        <f t="shared" si="103"/>
        <v/>
      </c>
      <c r="ES32" s="106" t="str">
        <f t="shared" si="104"/>
        <v/>
      </c>
      <c r="ET32" s="106" t="str">
        <f t="shared" si="105"/>
        <v/>
      </c>
      <c r="EU32" s="106" t="str">
        <f t="shared" si="106"/>
        <v/>
      </c>
      <c r="EV32" s="92" t="str">
        <f t="shared" si="107"/>
        <v/>
      </c>
      <c r="EW32" s="92" t="str">
        <f t="shared" si="108"/>
        <v/>
      </c>
      <c r="EX32" s="92" t="str">
        <f t="shared" si="109"/>
        <v/>
      </c>
      <c r="EY32" s="92" t="str">
        <f t="shared" si="110"/>
        <v/>
      </c>
      <c r="EZ32" s="92" t="str">
        <f t="shared" si="111"/>
        <v/>
      </c>
      <c r="FA32" s="92" t="str">
        <f t="shared" si="112"/>
        <v/>
      </c>
      <c r="FB32" s="93" t="str">
        <f t="shared" si="113"/>
        <v/>
      </c>
      <c r="FC32" s="93" t="str">
        <f t="shared" si="114"/>
        <v/>
      </c>
      <c r="FD32" s="93" t="str">
        <f t="shared" si="115"/>
        <v/>
      </c>
      <c r="FE32" s="93" t="str">
        <f t="shared" si="116"/>
        <v/>
      </c>
      <c r="FF32" s="93" t="str">
        <f t="shared" si="117"/>
        <v/>
      </c>
      <c r="FG32" s="93" t="str">
        <f t="shared" si="118"/>
        <v/>
      </c>
      <c r="FH32" s="107" t="str">
        <f t="shared" si="119"/>
        <v/>
      </c>
      <c r="FI32" s="107" t="str">
        <f t="shared" si="120"/>
        <v/>
      </c>
      <c r="FJ32" s="256" t="str">
        <f t="shared" si="121"/>
        <v/>
      </c>
      <c r="FK32" s="256" t="str">
        <f t="shared" si="122"/>
        <v/>
      </c>
      <c r="FL32" s="256" t="str">
        <f t="shared" si="123"/>
        <v/>
      </c>
      <c r="FM32" s="256" t="str">
        <f t="shared" si="124"/>
        <v/>
      </c>
      <c r="FN32" s="256" t="str">
        <f>IF(OR(C32="TC",C32=""),"",IF(OR(FJ32="PASS",FJ32="FAIL"),IF(EC32="",SUM(FB32:FF32),SUM(LARGE(FB32:FG32,{1,2,3,4,5}))),""))</f>
        <v/>
      </c>
      <c r="FO32" s="256" t="str">
        <f>IF(AND(FN32="",FK32="PASSED AFTER COMPARTMENT"),IF(EC32="",SUM(FB32:FF32),SUM(LARGE(FB32:FG32,{1,2,3,4,5}))),FN32)</f>
        <v/>
      </c>
      <c r="FP32" s="256" t="str">
        <f t="shared" si="125"/>
        <v/>
      </c>
      <c r="FQ32" s="256" t="str">
        <f t="shared" si="126"/>
        <v/>
      </c>
      <c r="FR32" s="256" t="str">
        <f t="shared" si="127"/>
        <v/>
      </c>
      <c r="FS32" s="256" t="str">
        <f t="shared" si="128"/>
        <v/>
      </c>
      <c r="FT32" s="108" t="str">
        <f t="shared" si="129"/>
        <v/>
      </c>
      <c r="FU32" s="256" t="str">
        <f t="shared" si="130"/>
        <v/>
      </c>
      <c r="FV32" s="109" t="str">
        <f>IF(ATTENDANCE!Q33="","",ATTENDANCE!Q33)</f>
        <v/>
      </c>
      <c r="FW32" s="110" t="str">
        <f t="shared" si="131"/>
        <v/>
      </c>
      <c r="FX32" s="110" t="str">
        <f t="shared" si="132"/>
        <v/>
      </c>
      <c r="FY32" s="365" t="str">
        <f t="shared" si="133"/>
        <v/>
      </c>
      <c r="FZ32" s="108" t="str">
        <f t="shared" si="134"/>
        <v/>
      </c>
      <c r="GA32" s="256" t="str">
        <f>IF(ATTENDANCE!Q33="","",ATTENDANCE!Q33)</f>
        <v/>
      </c>
      <c r="GB32" s="108" t="str">
        <f>IF(ATTENDANCE!Q33="","",ATTENDANCE!$Q33)</f>
        <v/>
      </c>
      <c r="GC32" s="108" t="s">
        <v>230</v>
      </c>
      <c r="GD32" s="60"/>
    </row>
    <row r="33" spans="1:186" ht="15" customHeight="1" x14ac:dyDescent="0.25">
      <c r="A33" s="60"/>
      <c r="B33" s="96">
        <f>IF(DATA!B31="","",DATA!B31)</f>
        <v>27</v>
      </c>
      <c r="C33" s="96" t="str">
        <f>IF(DATA!C31="","",DATA!C31)</f>
        <v/>
      </c>
      <c r="D33" s="96" t="str">
        <f>IF(DATA!D31="","",DATA!D31)</f>
        <v/>
      </c>
      <c r="E33" s="303" t="str">
        <f>IF(DATA!E31="","",DATA!E31)</f>
        <v/>
      </c>
      <c r="F33" s="303" t="str">
        <f>IF(DATA!F31="","",DATA!F31)</f>
        <v/>
      </c>
      <c r="G33" s="303" t="str">
        <f>IF(DATA!G31="","",DATA!G31)</f>
        <v/>
      </c>
      <c r="H33" s="98" t="str">
        <f>IF(DATA!H31="","",DATA!H31)</f>
        <v/>
      </c>
      <c r="I33" s="97" t="str">
        <f>IF(DATA!I31="","",DATA!I31)</f>
        <v/>
      </c>
      <c r="J33" s="97" t="str">
        <f>IF(DATA!J31="","",DATA!J31)</f>
        <v/>
      </c>
      <c r="K33" s="97" t="str">
        <f>IF(DATA!K31="","",DATA!K31)</f>
        <v/>
      </c>
      <c r="L33" s="99" t="str">
        <f>IF(ENGLISH!E33="","",ENGLISH!E33)</f>
        <v/>
      </c>
      <c r="M33" s="100" t="str">
        <f t="shared" si="46"/>
        <v/>
      </c>
      <c r="N33" s="99" t="str">
        <f>IF(ENGLISH!F33="","",ENGLISH!F33)</f>
        <v/>
      </c>
      <c r="O33" s="100" t="str">
        <f t="shared" si="47"/>
        <v/>
      </c>
      <c r="P33" s="99" t="str">
        <f>IF(ENGLISH!G33="","",ENGLISH!G33)</f>
        <v/>
      </c>
      <c r="Q33" s="99" t="str">
        <f t="shared" si="48"/>
        <v/>
      </c>
      <c r="R33" s="100" t="str">
        <f>IFERROR(LARGE((M33,O33,Q33),1),"")</f>
        <v/>
      </c>
      <c r="S33" s="100" t="str">
        <f>IFERROR(LARGE((M33,O33,Q33),2),"")</f>
        <v/>
      </c>
      <c r="T33" s="99" t="str">
        <f t="shared" si="49"/>
        <v/>
      </c>
      <c r="U33" s="100" t="str">
        <f>IF(ENGLISH!H33="","",ENGLISH!H33)</f>
        <v/>
      </c>
      <c r="V33" s="99" t="str">
        <f>IF(ENGLISH!I33="","",ENGLISH!I33)</f>
        <v/>
      </c>
      <c r="W33" s="99" t="str">
        <f>IF(ENGLISH!J33="","",ENGLISH!J33)</f>
        <v/>
      </c>
      <c r="X33" s="99" t="str">
        <f t="shared" si="50"/>
        <v/>
      </c>
      <c r="Y33" s="100" t="str">
        <f>IF(ENGLISH!K33="","",ENGLISH!K33)</f>
        <v/>
      </c>
      <c r="Z33" s="100" t="str">
        <f t="shared" si="51"/>
        <v/>
      </c>
      <c r="AA33" s="101" t="str">
        <f t="shared" si="52"/>
        <v/>
      </c>
      <c r="AB33" s="99" t="str">
        <f t="shared" si="15"/>
        <v/>
      </c>
      <c r="AC33" s="99" t="str">
        <f>IF(ENGLISH!O33="","",ENGLISH!O33)</f>
        <v/>
      </c>
      <c r="AD33" s="99" t="str">
        <f t="shared" si="53"/>
        <v/>
      </c>
      <c r="AE33" s="99" t="str">
        <f t="shared" si="54"/>
        <v/>
      </c>
      <c r="AF33" s="99" t="str">
        <f t="shared" si="55"/>
        <v/>
      </c>
      <c r="AG33" s="102" t="str">
        <f>IF(C33="","",VLOOKUP(C33,'HINDI-SKT'!$D$7:$E$51,2,0))</f>
        <v/>
      </c>
      <c r="AH33" s="102" t="str">
        <f>IF('HINDI-SKT'!F33="","",'HINDI-SKT'!F33)</f>
        <v/>
      </c>
      <c r="AI33" s="103" t="str">
        <f t="shared" si="16"/>
        <v/>
      </c>
      <c r="AJ33" s="102" t="str">
        <f>IF('HINDI-SKT'!G33="","",'HINDI-SKT'!G33)</f>
        <v/>
      </c>
      <c r="AK33" s="103" t="str">
        <f t="shared" si="17"/>
        <v/>
      </c>
      <c r="AL33" s="102" t="str">
        <f>IF('HINDI-SKT'!H33="","",'HINDI-SKT'!H33)</f>
        <v/>
      </c>
      <c r="AM33" s="102" t="str">
        <f t="shared" si="18"/>
        <v/>
      </c>
      <c r="AN33" s="103" t="str">
        <f>IFERROR(LARGE((AI33,AK33,AM33),1),"")</f>
        <v/>
      </c>
      <c r="AO33" s="103" t="str">
        <f>IFERROR(LARGE((AI33,AK33,AM33),2),"")</f>
        <v/>
      </c>
      <c r="AP33" s="102" t="str">
        <f t="shared" si="19"/>
        <v/>
      </c>
      <c r="AQ33" s="103" t="str">
        <f>IF('HINDI-SKT'!I33="","",'HINDI-SKT'!I33)</f>
        <v/>
      </c>
      <c r="AR33" s="102" t="str">
        <f>IF('HINDI-SKT'!J33="","",'HINDI-SKT'!J33)</f>
        <v/>
      </c>
      <c r="AS33" s="102" t="str">
        <f>IF('HINDI-SKT'!K33="","",'HINDI-SKT'!K33)</f>
        <v/>
      </c>
      <c r="AT33" s="102" t="str">
        <f t="shared" si="56"/>
        <v/>
      </c>
      <c r="AU33" s="102" t="str">
        <f>IF('HINDI-SKT'!L33="","",'HINDI-SKT'!L33)</f>
        <v/>
      </c>
      <c r="AV33" s="103" t="str">
        <f t="shared" si="57"/>
        <v/>
      </c>
      <c r="AW33" s="102" t="str">
        <f t="shared" si="58"/>
        <v/>
      </c>
      <c r="AX33" s="102" t="str">
        <f t="shared" si="59"/>
        <v/>
      </c>
      <c r="AY33" s="102" t="str">
        <f>IF('HINDI-SKT'!P33="","",'HINDI-SKT'!P33)</f>
        <v/>
      </c>
      <c r="AZ33" s="102" t="str">
        <f t="shared" si="60"/>
        <v/>
      </c>
      <c r="BA33" s="102" t="str">
        <f t="shared" si="61"/>
        <v/>
      </c>
      <c r="BB33" s="102" t="str">
        <f t="shared" si="62"/>
        <v/>
      </c>
      <c r="BC33" s="99" t="str">
        <f>IF(MATHS!E33="","",MATHS!E33)</f>
        <v/>
      </c>
      <c r="BD33" s="100" t="str">
        <f t="shared" si="22"/>
        <v/>
      </c>
      <c r="BE33" s="99" t="str">
        <f>IF(MATHS!F33="","",MATHS!F33)</f>
        <v/>
      </c>
      <c r="BF33" s="100" t="str">
        <f t="shared" si="23"/>
        <v/>
      </c>
      <c r="BG33" s="99" t="str">
        <f>IF(MATHS!G33="","",MATHS!G33)</f>
        <v/>
      </c>
      <c r="BH33" s="99" t="str">
        <f t="shared" si="24"/>
        <v/>
      </c>
      <c r="BI33" s="100" t="str">
        <f>IFERROR(LARGE((BD33,BF33,BH33),1),"")</f>
        <v/>
      </c>
      <c r="BJ33" s="100" t="str">
        <f>IFERROR(LARGE((BD33,BF33,BH33),2),"")</f>
        <v/>
      </c>
      <c r="BK33" s="99" t="str">
        <f t="shared" si="25"/>
        <v/>
      </c>
      <c r="BL33" s="100" t="str">
        <f>IF(MATHS!H33="","",MATHS!H33)</f>
        <v/>
      </c>
      <c r="BM33" s="99" t="str">
        <f>IF(MATHS!I33="","",MATHS!I33)</f>
        <v/>
      </c>
      <c r="BN33" s="99" t="str">
        <f>IF(MATHS!J33="","",MATHS!J33)</f>
        <v/>
      </c>
      <c r="BO33" s="99" t="str">
        <f t="shared" si="63"/>
        <v/>
      </c>
      <c r="BP33" s="99" t="str">
        <f>IF(MATHS!K33="","",MATHS!K33)</f>
        <v/>
      </c>
      <c r="BQ33" s="100" t="str">
        <f t="shared" si="26"/>
        <v/>
      </c>
      <c r="BR33" s="99" t="str">
        <f t="shared" si="64"/>
        <v/>
      </c>
      <c r="BS33" s="99" t="str">
        <f t="shared" si="27"/>
        <v/>
      </c>
      <c r="BT33" s="99" t="str">
        <f>IF(MATHS!O33="","",MATHS!O33)</f>
        <v/>
      </c>
      <c r="BU33" s="99" t="str">
        <f t="shared" si="65"/>
        <v/>
      </c>
      <c r="BV33" s="99" t="str">
        <f t="shared" si="66"/>
        <v/>
      </c>
      <c r="BW33" s="102" t="str">
        <f t="shared" si="67"/>
        <v/>
      </c>
      <c r="BX33" s="102" t="str">
        <f>IF(SCIENCE!E33="","",SCIENCE!E33)</f>
        <v/>
      </c>
      <c r="BY33" s="103" t="str">
        <f t="shared" si="28"/>
        <v/>
      </c>
      <c r="BZ33" s="102" t="str">
        <f>IF(SCIENCE!F33="","",SCIENCE!F33)</f>
        <v/>
      </c>
      <c r="CA33" s="103" t="str">
        <f t="shared" si="29"/>
        <v/>
      </c>
      <c r="CB33" s="102" t="str">
        <f>IF(SCIENCE!G33="","",SCIENCE!G33)</f>
        <v/>
      </c>
      <c r="CC33" s="102" t="str">
        <f t="shared" si="30"/>
        <v/>
      </c>
      <c r="CD33" s="103" t="str">
        <f>IFERROR(LARGE((BY33,CA33,CC33),1),"")</f>
        <v/>
      </c>
      <c r="CE33" s="103" t="str">
        <f>IFERROR(LARGE((BY33,CA33,CC33),2),"")</f>
        <v/>
      </c>
      <c r="CF33" s="102" t="str">
        <f t="shared" si="31"/>
        <v/>
      </c>
      <c r="CG33" s="103" t="str">
        <f>IF(SCIENCE!H33="","",SCIENCE!H33)</f>
        <v/>
      </c>
      <c r="CH33" s="103" t="str">
        <f>IF(SCIENCE!I33="","",SCIENCE!I33)</f>
        <v/>
      </c>
      <c r="CI33" s="103" t="str">
        <f>IF(SCIENCE!J33="","",SCIENCE!J33)</f>
        <v/>
      </c>
      <c r="CJ33" s="103" t="str">
        <f t="shared" si="68"/>
        <v/>
      </c>
      <c r="CK33" s="103" t="str">
        <f>IF(SCIENCE!K33="","",SCIENCE!K33)</f>
        <v/>
      </c>
      <c r="CL33" s="103" t="str">
        <f t="shared" si="32"/>
        <v/>
      </c>
      <c r="CM33" s="102" t="str">
        <f t="shared" si="69"/>
        <v/>
      </c>
      <c r="CN33" s="102" t="str">
        <f t="shared" si="33"/>
        <v/>
      </c>
      <c r="CO33" s="102" t="str">
        <f>IF(SCIENCE!O33="","",SCIENCE!O33)</f>
        <v/>
      </c>
      <c r="CP33" s="102" t="str">
        <f t="shared" si="70"/>
        <v/>
      </c>
      <c r="CQ33" s="102" t="str">
        <f t="shared" si="71"/>
        <v/>
      </c>
      <c r="CR33" s="102" t="str">
        <f t="shared" si="72"/>
        <v/>
      </c>
      <c r="CS33" s="99" t="str">
        <f>IF(SST!E33="","",SST!E33)</f>
        <v/>
      </c>
      <c r="CT33" s="100" t="str">
        <f t="shared" si="34"/>
        <v/>
      </c>
      <c r="CU33" s="99" t="str">
        <f>IF(SST!F33="","",SST!F33)</f>
        <v/>
      </c>
      <c r="CV33" s="100" t="str">
        <f t="shared" si="35"/>
        <v/>
      </c>
      <c r="CW33" s="99" t="str">
        <f>IF(SST!G33="","",SST!G33)</f>
        <v/>
      </c>
      <c r="CX33" s="99" t="str">
        <f t="shared" si="36"/>
        <v/>
      </c>
      <c r="CY33" s="100" t="str">
        <f>IFERROR(LARGE((CT33,CV33,CX33),1),"")</f>
        <v/>
      </c>
      <c r="CZ33" s="100" t="str">
        <f>IFERROR(LARGE((CT33,CV33,CX33),2),"")</f>
        <v/>
      </c>
      <c r="DA33" s="99" t="str">
        <f t="shared" si="37"/>
        <v/>
      </c>
      <c r="DB33" s="100" t="str">
        <f>IF(SST!H33="","",SST!H33)</f>
        <v/>
      </c>
      <c r="DC33" s="100" t="str">
        <f>IF(SST!I33="","",SST!I33)</f>
        <v/>
      </c>
      <c r="DD33" s="100" t="str">
        <f>IF(SST!J33="","",SST!J33)</f>
        <v/>
      </c>
      <c r="DE33" s="100" t="str">
        <f t="shared" si="73"/>
        <v/>
      </c>
      <c r="DF33" s="100" t="str">
        <f>IF(SST!K33="","",SST!K33)</f>
        <v/>
      </c>
      <c r="DG33" s="100" t="str">
        <f t="shared" si="74"/>
        <v/>
      </c>
      <c r="DH33" s="99" t="str">
        <f t="shared" si="75"/>
        <v/>
      </c>
      <c r="DI33" s="99" t="str">
        <f t="shared" si="38"/>
        <v/>
      </c>
      <c r="DJ33" s="99" t="str">
        <f>IF(SST!O33="","",SST!O33)</f>
        <v/>
      </c>
      <c r="DK33" s="99" t="str">
        <f t="shared" si="76"/>
        <v/>
      </c>
      <c r="DL33" s="99" t="str">
        <f t="shared" si="77"/>
        <v/>
      </c>
      <c r="DM33" s="99" t="str">
        <f t="shared" si="78"/>
        <v/>
      </c>
      <c r="DN33" s="99"/>
      <c r="DO33" s="102" t="str">
        <f>IF(C33="","",IF(VLOOKUP(C33,VOCATIONAL!$D$7:$E$51,2,0)="","",VLOOKUP(C33,VOCATIONAL!$D$7:$E$51,2,0)))</f>
        <v/>
      </c>
      <c r="DP33" s="102" t="str">
        <f>IF(VOCATIONAL!F33="","",VOCATIONAL!F33)</f>
        <v/>
      </c>
      <c r="DQ33" s="102" t="str">
        <f>IF(VOCATIONAL!G33="","",VOCATIONAL!G33)</f>
        <v/>
      </c>
      <c r="DR33" s="102" t="str">
        <f t="shared" si="79"/>
        <v/>
      </c>
      <c r="DS33" s="102" t="str">
        <f t="shared" si="80"/>
        <v/>
      </c>
      <c r="DT33" s="102" t="str">
        <f>IF(VOCATIONAL!K33="","",VOCATIONAL!K33)</f>
        <v/>
      </c>
      <c r="DU33" s="102" t="str">
        <f t="shared" si="81"/>
        <v/>
      </c>
      <c r="DV33" s="102" t="str">
        <f t="shared" si="82"/>
        <v/>
      </c>
      <c r="DW33" s="99"/>
      <c r="DX33" s="104" t="str">
        <f t="shared" si="83"/>
        <v/>
      </c>
      <c r="DY33" s="104" t="str">
        <f t="shared" si="84"/>
        <v/>
      </c>
      <c r="DZ33" s="104" t="str">
        <f t="shared" si="85"/>
        <v/>
      </c>
      <c r="EA33" s="104" t="str">
        <f t="shared" si="86"/>
        <v/>
      </c>
      <c r="EB33" s="104" t="str">
        <f t="shared" si="87"/>
        <v/>
      </c>
      <c r="EC33" s="104" t="str">
        <f t="shared" si="88"/>
        <v/>
      </c>
      <c r="ED33" s="104" t="str">
        <f t="shared" si="89"/>
        <v/>
      </c>
      <c r="EE33" s="104" t="str">
        <f t="shared" si="90"/>
        <v/>
      </c>
      <c r="EF33" s="104" t="str">
        <f t="shared" si="91"/>
        <v/>
      </c>
      <c r="EG33" s="104" t="str">
        <f t="shared" si="92"/>
        <v/>
      </c>
      <c r="EH33" s="104" t="str">
        <f t="shared" si="93"/>
        <v/>
      </c>
      <c r="EI33" s="104" t="str">
        <f t="shared" si="94"/>
        <v/>
      </c>
      <c r="EJ33" s="105" t="str">
        <f t="shared" si="95"/>
        <v/>
      </c>
      <c r="EK33" s="105" t="str">
        <f t="shared" si="96"/>
        <v/>
      </c>
      <c r="EL33" s="105" t="str">
        <f t="shared" si="97"/>
        <v/>
      </c>
      <c r="EM33" s="105" t="str">
        <f t="shared" si="98"/>
        <v/>
      </c>
      <c r="EN33" s="105" t="str">
        <f t="shared" si="99"/>
        <v/>
      </c>
      <c r="EO33" s="363" t="str">
        <f t="shared" si="100"/>
        <v/>
      </c>
      <c r="EP33" s="106" t="str">
        <f t="shared" si="101"/>
        <v/>
      </c>
      <c r="EQ33" s="106" t="str">
        <f t="shared" si="102"/>
        <v/>
      </c>
      <c r="ER33" s="106" t="str">
        <f t="shared" si="103"/>
        <v/>
      </c>
      <c r="ES33" s="106" t="str">
        <f t="shared" si="104"/>
        <v/>
      </c>
      <c r="ET33" s="106" t="str">
        <f t="shared" si="105"/>
        <v/>
      </c>
      <c r="EU33" s="106" t="str">
        <f t="shared" si="106"/>
        <v/>
      </c>
      <c r="EV33" s="92" t="str">
        <f t="shared" si="107"/>
        <v/>
      </c>
      <c r="EW33" s="92" t="str">
        <f t="shared" si="108"/>
        <v/>
      </c>
      <c r="EX33" s="92" t="str">
        <f t="shared" si="109"/>
        <v/>
      </c>
      <c r="EY33" s="92" t="str">
        <f t="shared" si="110"/>
        <v/>
      </c>
      <c r="EZ33" s="92" t="str">
        <f t="shared" si="111"/>
        <v/>
      </c>
      <c r="FA33" s="92" t="str">
        <f t="shared" si="112"/>
        <v/>
      </c>
      <c r="FB33" s="93" t="str">
        <f t="shared" si="113"/>
        <v/>
      </c>
      <c r="FC33" s="93" t="str">
        <f t="shared" si="114"/>
        <v/>
      </c>
      <c r="FD33" s="93" t="str">
        <f t="shared" si="115"/>
        <v/>
      </c>
      <c r="FE33" s="93" t="str">
        <f t="shared" si="116"/>
        <v/>
      </c>
      <c r="FF33" s="93" t="str">
        <f t="shared" si="117"/>
        <v/>
      </c>
      <c r="FG33" s="93" t="str">
        <f t="shared" si="118"/>
        <v/>
      </c>
      <c r="FH33" s="107" t="str">
        <f t="shared" si="119"/>
        <v/>
      </c>
      <c r="FI33" s="107" t="str">
        <f t="shared" si="120"/>
        <v/>
      </c>
      <c r="FJ33" s="256" t="str">
        <f t="shared" si="121"/>
        <v/>
      </c>
      <c r="FK33" s="256" t="str">
        <f t="shared" si="122"/>
        <v/>
      </c>
      <c r="FL33" s="256" t="str">
        <f t="shared" si="123"/>
        <v/>
      </c>
      <c r="FM33" s="256" t="str">
        <f t="shared" si="124"/>
        <v/>
      </c>
      <c r="FN33" s="256" t="str">
        <f>IF(OR(C33="TC",C33=""),"",IF(OR(FJ33="PASS",FJ33="FAIL"),IF(EC33="",SUM(FB33:FF33),SUM(LARGE(FB33:FG33,{1,2,3,4,5}))),""))</f>
        <v/>
      </c>
      <c r="FO33" s="256" t="str">
        <f>IF(AND(FN33="",FK33="PASSED AFTER COMPARTMENT"),IF(EC33="",SUM(FB33:FF33),SUM(LARGE(FB33:FG33,{1,2,3,4,5}))),FN33)</f>
        <v/>
      </c>
      <c r="FP33" s="256" t="str">
        <f t="shared" si="125"/>
        <v/>
      </c>
      <c r="FQ33" s="256" t="str">
        <f t="shared" si="126"/>
        <v/>
      </c>
      <c r="FR33" s="256" t="str">
        <f t="shared" si="127"/>
        <v/>
      </c>
      <c r="FS33" s="256" t="str">
        <f t="shared" si="128"/>
        <v/>
      </c>
      <c r="FT33" s="108" t="str">
        <f t="shared" si="129"/>
        <v/>
      </c>
      <c r="FU33" s="256" t="str">
        <f t="shared" si="130"/>
        <v/>
      </c>
      <c r="FV33" s="109" t="str">
        <f>IF(ATTENDANCE!Q34="","",ATTENDANCE!Q34)</f>
        <v/>
      </c>
      <c r="FW33" s="110" t="str">
        <f t="shared" si="131"/>
        <v/>
      </c>
      <c r="FX33" s="110" t="str">
        <f t="shared" si="132"/>
        <v/>
      </c>
      <c r="FY33" s="365" t="str">
        <f t="shared" si="133"/>
        <v/>
      </c>
      <c r="FZ33" s="108" t="str">
        <f t="shared" si="134"/>
        <v/>
      </c>
      <c r="GA33" s="256" t="str">
        <f>IF(ATTENDANCE!Q34="","",ATTENDANCE!Q34)</f>
        <v/>
      </c>
      <c r="GB33" s="108" t="str">
        <f>IF(ATTENDANCE!Q34="","",ATTENDANCE!$Q34)</f>
        <v/>
      </c>
      <c r="GC33" s="108" t="s">
        <v>231</v>
      </c>
      <c r="GD33" s="60"/>
    </row>
    <row r="34" spans="1:186" ht="18.75" customHeight="1" x14ac:dyDescent="0.25">
      <c r="A34" s="60"/>
      <c r="B34" s="96">
        <f>IF(DATA!B32="","",DATA!B32)</f>
        <v>28</v>
      </c>
      <c r="C34" s="96" t="str">
        <f>IF(DATA!C32="","",DATA!C32)</f>
        <v/>
      </c>
      <c r="D34" s="96" t="str">
        <f>IF(DATA!D32="","",DATA!D32)</f>
        <v/>
      </c>
      <c r="E34" s="303" t="str">
        <f>IF(DATA!E32="","",DATA!E32)</f>
        <v/>
      </c>
      <c r="F34" s="303" t="str">
        <f>IF(DATA!F32="","",DATA!F32)</f>
        <v/>
      </c>
      <c r="G34" s="303" t="str">
        <f>IF(DATA!G32="","",DATA!G32)</f>
        <v/>
      </c>
      <c r="H34" s="98" t="str">
        <f>IF(DATA!H32="","",DATA!H32)</f>
        <v/>
      </c>
      <c r="I34" s="97" t="str">
        <f>IF(DATA!I32="","",DATA!I32)</f>
        <v/>
      </c>
      <c r="J34" s="97" t="str">
        <f>IF(DATA!J32="","",DATA!J32)</f>
        <v/>
      </c>
      <c r="K34" s="97" t="str">
        <f>IF(DATA!K32="","",DATA!K32)</f>
        <v/>
      </c>
      <c r="L34" s="99" t="str">
        <f>IF(ENGLISH!E34="","",ENGLISH!E34)</f>
        <v/>
      </c>
      <c r="M34" s="100" t="str">
        <f t="shared" si="46"/>
        <v/>
      </c>
      <c r="N34" s="99" t="str">
        <f>IF(ENGLISH!F34="","",ENGLISH!F34)</f>
        <v/>
      </c>
      <c r="O34" s="100" t="str">
        <f t="shared" si="47"/>
        <v/>
      </c>
      <c r="P34" s="99" t="str">
        <f>IF(ENGLISH!G34="","",ENGLISH!G34)</f>
        <v/>
      </c>
      <c r="Q34" s="99" t="str">
        <f t="shared" si="48"/>
        <v/>
      </c>
      <c r="R34" s="100" t="str">
        <f>IFERROR(LARGE((M34,O34,Q34),1),"")</f>
        <v/>
      </c>
      <c r="S34" s="100" t="str">
        <f>IFERROR(LARGE((M34,O34,Q34),2),"")</f>
        <v/>
      </c>
      <c r="T34" s="99" t="str">
        <f t="shared" si="49"/>
        <v/>
      </c>
      <c r="U34" s="100" t="str">
        <f>IF(ENGLISH!H34="","",ENGLISH!H34)</f>
        <v/>
      </c>
      <c r="V34" s="99" t="str">
        <f>IF(ENGLISH!I34="","",ENGLISH!I34)</f>
        <v/>
      </c>
      <c r="W34" s="99" t="str">
        <f>IF(ENGLISH!J34="","",ENGLISH!J34)</f>
        <v/>
      </c>
      <c r="X34" s="99" t="str">
        <f t="shared" si="50"/>
        <v/>
      </c>
      <c r="Y34" s="100" t="str">
        <f>IF(ENGLISH!K34="","",ENGLISH!K34)</f>
        <v/>
      </c>
      <c r="Z34" s="100" t="str">
        <f t="shared" si="51"/>
        <v/>
      </c>
      <c r="AA34" s="101" t="str">
        <f t="shared" si="52"/>
        <v/>
      </c>
      <c r="AB34" s="99" t="str">
        <f t="shared" si="15"/>
        <v/>
      </c>
      <c r="AC34" s="99" t="str">
        <f>IF(ENGLISH!O34="","",ENGLISH!O34)</f>
        <v/>
      </c>
      <c r="AD34" s="99" t="str">
        <f t="shared" si="53"/>
        <v/>
      </c>
      <c r="AE34" s="99" t="str">
        <f t="shared" si="54"/>
        <v/>
      </c>
      <c r="AF34" s="99" t="str">
        <f t="shared" si="55"/>
        <v/>
      </c>
      <c r="AG34" s="102" t="str">
        <f>IF(C34="","",VLOOKUP(C34,'HINDI-SKT'!$D$7:$E$51,2,0))</f>
        <v/>
      </c>
      <c r="AH34" s="102" t="str">
        <f>IF('HINDI-SKT'!F34="","",'HINDI-SKT'!F34)</f>
        <v/>
      </c>
      <c r="AI34" s="103" t="str">
        <f t="shared" si="16"/>
        <v/>
      </c>
      <c r="AJ34" s="102" t="str">
        <f>IF('HINDI-SKT'!G34="","",'HINDI-SKT'!G34)</f>
        <v/>
      </c>
      <c r="AK34" s="103" t="str">
        <f t="shared" si="17"/>
        <v/>
      </c>
      <c r="AL34" s="102" t="str">
        <f>IF('HINDI-SKT'!H34="","",'HINDI-SKT'!H34)</f>
        <v/>
      </c>
      <c r="AM34" s="102" t="str">
        <f t="shared" si="18"/>
        <v/>
      </c>
      <c r="AN34" s="103" t="str">
        <f>IFERROR(LARGE((AI34,AK34,AM34),1),"")</f>
        <v/>
      </c>
      <c r="AO34" s="103" t="str">
        <f>IFERROR(LARGE((AI34,AK34,AM34),2),"")</f>
        <v/>
      </c>
      <c r="AP34" s="102" t="str">
        <f t="shared" si="19"/>
        <v/>
      </c>
      <c r="AQ34" s="103" t="str">
        <f>IF('HINDI-SKT'!I34="","",'HINDI-SKT'!I34)</f>
        <v/>
      </c>
      <c r="AR34" s="102" t="str">
        <f>IF('HINDI-SKT'!J34="","",'HINDI-SKT'!J34)</f>
        <v/>
      </c>
      <c r="AS34" s="102" t="str">
        <f>IF('HINDI-SKT'!K34="","",'HINDI-SKT'!K34)</f>
        <v/>
      </c>
      <c r="AT34" s="102" t="str">
        <f t="shared" si="56"/>
        <v/>
      </c>
      <c r="AU34" s="102" t="str">
        <f>IF('HINDI-SKT'!L34="","",'HINDI-SKT'!L34)</f>
        <v/>
      </c>
      <c r="AV34" s="103" t="str">
        <f t="shared" si="57"/>
        <v/>
      </c>
      <c r="AW34" s="102" t="str">
        <f t="shared" si="58"/>
        <v/>
      </c>
      <c r="AX34" s="102" t="str">
        <f t="shared" si="59"/>
        <v/>
      </c>
      <c r="AY34" s="102" t="str">
        <f>IF('HINDI-SKT'!P34="","",'HINDI-SKT'!P34)</f>
        <v/>
      </c>
      <c r="AZ34" s="102" t="str">
        <f t="shared" si="60"/>
        <v/>
      </c>
      <c r="BA34" s="102" t="str">
        <f t="shared" si="61"/>
        <v/>
      </c>
      <c r="BB34" s="102" t="str">
        <f t="shared" si="62"/>
        <v/>
      </c>
      <c r="BC34" s="99" t="str">
        <f>IF(MATHS!E34="","",MATHS!E34)</f>
        <v/>
      </c>
      <c r="BD34" s="100" t="str">
        <f t="shared" si="22"/>
        <v/>
      </c>
      <c r="BE34" s="99" t="str">
        <f>IF(MATHS!F34="","",MATHS!F34)</f>
        <v/>
      </c>
      <c r="BF34" s="100" t="str">
        <f t="shared" si="23"/>
        <v/>
      </c>
      <c r="BG34" s="99" t="str">
        <f>IF(MATHS!G34="","",MATHS!G34)</f>
        <v/>
      </c>
      <c r="BH34" s="99" t="str">
        <f t="shared" si="24"/>
        <v/>
      </c>
      <c r="BI34" s="100" t="str">
        <f>IFERROR(LARGE((BD34,BF34,BH34),1),"")</f>
        <v/>
      </c>
      <c r="BJ34" s="100" t="str">
        <f>IFERROR(LARGE((BD34,BF34,BH34),2),"")</f>
        <v/>
      </c>
      <c r="BK34" s="99" t="str">
        <f t="shared" si="25"/>
        <v/>
      </c>
      <c r="BL34" s="100" t="str">
        <f>IF(MATHS!H34="","",MATHS!H34)</f>
        <v/>
      </c>
      <c r="BM34" s="99" t="str">
        <f>IF(MATHS!I34="","",MATHS!I34)</f>
        <v/>
      </c>
      <c r="BN34" s="99" t="str">
        <f>IF(MATHS!J34="","",MATHS!J34)</f>
        <v/>
      </c>
      <c r="BO34" s="99" t="str">
        <f t="shared" si="63"/>
        <v/>
      </c>
      <c r="BP34" s="99" t="str">
        <f>IF(MATHS!K34="","",MATHS!K34)</f>
        <v/>
      </c>
      <c r="BQ34" s="100" t="str">
        <f t="shared" si="26"/>
        <v/>
      </c>
      <c r="BR34" s="99" t="str">
        <f t="shared" si="64"/>
        <v/>
      </c>
      <c r="BS34" s="99" t="str">
        <f t="shared" si="27"/>
        <v/>
      </c>
      <c r="BT34" s="99" t="str">
        <f>IF(MATHS!O34="","",MATHS!O34)</f>
        <v/>
      </c>
      <c r="BU34" s="99" t="str">
        <f t="shared" si="65"/>
        <v/>
      </c>
      <c r="BV34" s="99" t="str">
        <f t="shared" si="66"/>
        <v/>
      </c>
      <c r="BW34" s="102" t="str">
        <f t="shared" si="67"/>
        <v/>
      </c>
      <c r="BX34" s="102" t="str">
        <f>IF(SCIENCE!E34="","",SCIENCE!E34)</f>
        <v/>
      </c>
      <c r="BY34" s="103" t="str">
        <f t="shared" si="28"/>
        <v/>
      </c>
      <c r="BZ34" s="102" t="str">
        <f>IF(SCIENCE!F34="","",SCIENCE!F34)</f>
        <v/>
      </c>
      <c r="CA34" s="103" t="str">
        <f t="shared" si="29"/>
        <v/>
      </c>
      <c r="CB34" s="102" t="str">
        <f>IF(SCIENCE!G34="","",SCIENCE!G34)</f>
        <v/>
      </c>
      <c r="CC34" s="102" t="str">
        <f t="shared" si="30"/>
        <v/>
      </c>
      <c r="CD34" s="103" t="str">
        <f>IFERROR(LARGE((BY34,CA34,CC34),1),"")</f>
        <v/>
      </c>
      <c r="CE34" s="103" t="str">
        <f>IFERROR(LARGE((BY34,CA34,CC34),2),"")</f>
        <v/>
      </c>
      <c r="CF34" s="102" t="str">
        <f t="shared" si="31"/>
        <v/>
      </c>
      <c r="CG34" s="103" t="str">
        <f>IF(SCIENCE!H34="","",SCIENCE!H34)</f>
        <v/>
      </c>
      <c r="CH34" s="103" t="str">
        <f>IF(SCIENCE!I34="","",SCIENCE!I34)</f>
        <v/>
      </c>
      <c r="CI34" s="103" t="str">
        <f>IF(SCIENCE!J34="","",SCIENCE!J34)</f>
        <v/>
      </c>
      <c r="CJ34" s="103" t="str">
        <f t="shared" si="68"/>
        <v/>
      </c>
      <c r="CK34" s="103" t="str">
        <f>IF(SCIENCE!K34="","",SCIENCE!K34)</f>
        <v/>
      </c>
      <c r="CL34" s="103" t="str">
        <f t="shared" si="32"/>
        <v/>
      </c>
      <c r="CM34" s="102" t="str">
        <f t="shared" si="69"/>
        <v/>
      </c>
      <c r="CN34" s="102" t="str">
        <f t="shared" si="33"/>
        <v/>
      </c>
      <c r="CO34" s="102" t="str">
        <f>IF(SCIENCE!O34="","",SCIENCE!O34)</f>
        <v/>
      </c>
      <c r="CP34" s="102" t="str">
        <f t="shared" si="70"/>
        <v/>
      </c>
      <c r="CQ34" s="102" t="str">
        <f t="shared" si="71"/>
        <v/>
      </c>
      <c r="CR34" s="102" t="str">
        <f t="shared" si="72"/>
        <v/>
      </c>
      <c r="CS34" s="99" t="str">
        <f>IF(SST!E34="","",SST!E34)</f>
        <v/>
      </c>
      <c r="CT34" s="100" t="str">
        <f t="shared" si="34"/>
        <v/>
      </c>
      <c r="CU34" s="99" t="str">
        <f>IF(SST!F34="","",SST!F34)</f>
        <v/>
      </c>
      <c r="CV34" s="100" t="str">
        <f t="shared" si="35"/>
        <v/>
      </c>
      <c r="CW34" s="99" t="str">
        <f>IF(SST!G34="","",SST!G34)</f>
        <v/>
      </c>
      <c r="CX34" s="99" t="str">
        <f t="shared" si="36"/>
        <v/>
      </c>
      <c r="CY34" s="100" t="str">
        <f>IFERROR(LARGE((CT34,CV34,CX34),1),"")</f>
        <v/>
      </c>
      <c r="CZ34" s="100" t="str">
        <f>IFERROR(LARGE((CT34,CV34,CX34),2),"")</f>
        <v/>
      </c>
      <c r="DA34" s="99" t="str">
        <f t="shared" si="37"/>
        <v/>
      </c>
      <c r="DB34" s="100" t="str">
        <f>IF(SST!H34="","",SST!H34)</f>
        <v/>
      </c>
      <c r="DC34" s="100" t="str">
        <f>IF(SST!I34="","",SST!I34)</f>
        <v/>
      </c>
      <c r="DD34" s="100" t="str">
        <f>IF(SST!J34="","",SST!J34)</f>
        <v/>
      </c>
      <c r="DE34" s="100" t="str">
        <f t="shared" si="73"/>
        <v/>
      </c>
      <c r="DF34" s="100" t="str">
        <f>IF(SST!K34="","",SST!K34)</f>
        <v/>
      </c>
      <c r="DG34" s="100" t="str">
        <f t="shared" si="74"/>
        <v/>
      </c>
      <c r="DH34" s="99" t="str">
        <f t="shared" si="75"/>
        <v/>
      </c>
      <c r="DI34" s="99" t="str">
        <f t="shared" si="38"/>
        <v/>
      </c>
      <c r="DJ34" s="99" t="str">
        <f>IF(SST!O34="","",SST!O34)</f>
        <v/>
      </c>
      <c r="DK34" s="99" t="str">
        <f t="shared" si="76"/>
        <v/>
      </c>
      <c r="DL34" s="99" t="str">
        <f t="shared" si="77"/>
        <v/>
      </c>
      <c r="DM34" s="99" t="str">
        <f t="shared" si="78"/>
        <v/>
      </c>
      <c r="DN34" s="99"/>
      <c r="DO34" s="102" t="str">
        <f>IF(C34="","",IF(VLOOKUP(C34,VOCATIONAL!$D$7:$E$51,2,0)="","",VLOOKUP(C34,VOCATIONAL!$D$7:$E$51,2,0)))</f>
        <v/>
      </c>
      <c r="DP34" s="102" t="str">
        <f>IF(VOCATIONAL!F34="","",VOCATIONAL!F34)</f>
        <v/>
      </c>
      <c r="DQ34" s="102" t="str">
        <f>IF(VOCATIONAL!G34="","",VOCATIONAL!G34)</f>
        <v/>
      </c>
      <c r="DR34" s="102" t="str">
        <f t="shared" si="79"/>
        <v/>
      </c>
      <c r="DS34" s="102" t="str">
        <f t="shared" si="80"/>
        <v/>
      </c>
      <c r="DT34" s="102" t="str">
        <f>IF(VOCATIONAL!K34="","",VOCATIONAL!K34)</f>
        <v/>
      </c>
      <c r="DU34" s="102" t="str">
        <f t="shared" si="81"/>
        <v/>
      </c>
      <c r="DV34" s="102" t="str">
        <f t="shared" si="82"/>
        <v/>
      </c>
      <c r="DW34" s="99"/>
      <c r="DX34" s="104" t="str">
        <f t="shared" si="83"/>
        <v/>
      </c>
      <c r="DY34" s="104" t="str">
        <f t="shared" si="84"/>
        <v/>
      </c>
      <c r="DZ34" s="104" t="str">
        <f t="shared" si="85"/>
        <v/>
      </c>
      <c r="EA34" s="104" t="str">
        <f t="shared" si="86"/>
        <v/>
      </c>
      <c r="EB34" s="104" t="str">
        <f t="shared" si="87"/>
        <v/>
      </c>
      <c r="EC34" s="104" t="str">
        <f t="shared" si="88"/>
        <v/>
      </c>
      <c r="ED34" s="104" t="str">
        <f t="shared" si="89"/>
        <v/>
      </c>
      <c r="EE34" s="104" t="str">
        <f t="shared" si="90"/>
        <v/>
      </c>
      <c r="EF34" s="104" t="str">
        <f t="shared" si="91"/>
        <v/>
      </c>
      <c r="EG34" s="104" t="str">
        <f t="shared" si="92"/>
        <v/>
      </c>
      <c r="EH34" s="104" t="str">
        <f t="shared" si="93"/>
        <v/>
      </c>
      <c r="EI34" s="104" t="str">
        <f t="shared" si="94"/>
        <v/>
      </c>
      <c r="EJ34" s="105" t="str">
        <f t="shared" si="95"/>
        <v/>
      </c>
      <c r="EK34" s="105" t="str">
        <f t="shared" si="96"/>
        <v/>
      </c>
      <c r="EL34" s="105" t="str">
        <f t="shared" si="97"/>
        <v/>
      </c>
      <c r="EM34" s="105" t="str">
        <f t="shared" si="98"/>
        <v/>
      </c>
      <c r="EN34" s="105" t="str">
        <f t="shared" si="99"/>
        <v/>
      </c>
      <c r="EO34" s="363" t="str">
        <f t="shared" si="100"/>
        <v/>
      </c>
      <c r="EP34" s="106" t="str">
        <f t="shared" si="101"/>
        <v/>
      </c>
      <c r="EQ34" s="106" t="str">
        <f t="shared" si="102"/>
        <v/>
      </c>
      <c r="ER34" s="106" t="str">
        <f t="shared" si="103"/>
        <v/>
      </c>
      <c r="ES34" s="106" t="str">
        <f t="shared" si="104"/>
        <v/>
      </c>
      <c r="ET34" s="106" t="str">
        <f t="shared" si="105"/>
        <v/>
      </c>
      <c r="EU34" s="106" t="str">
        <f t="shared" si="106"/>
        <v/>
      </c>
      <c r="EV34" s="92" t="str">
        <f t="shared" si="107"/>
        <v/>
      </c>
      <c r="EW34" s="92" t="str">
        <f t="shared" si="108"/>
        <v/>
      </c>
      <c r="EX34" s="92" t="str">
        <f t="shared" si="109"/>
        <v/>
      </c>
      <c r="EY34" s="92" t="str">
        <f t="shared" si="110"/>
        <v/>
      </c>
      <c r="EZ34" s="92" t="str">
        <f t="shared" si="111"/>
        <v/>
      </c>
      <c r="FA34" s="92" t="str">
        <f t="shared" si="112"/>
        <v/>
      </c>
      <c r="FB34" s="93" t="str">
        <f t="shared" si="113"/>
        <v/>
      </c>
      <c r="FC34" s="93" t="str">
        <f t="shared" si="114"/>
        <v/>
      </c>
      <c r="FD34" s="93" t="str">
        <f t="shared" si="115"/>
        <v/>
      </c>
      <c r="FE34" s="93" t="str">
        <f t="shared" si="116"/>
        <v/>
      </c>
      <c r="FF34" s="93" t="str">
        <f t="shared" si="117"/>
        <v/>
      </c>
      <c r="FG34" s="93" t="str">
        <f t="shared" si="118"/>
        <v/>
      </c>
      <c r="FH34" s="107" t="str">
        <f t="shared" si="119"/>
        <v/>
      </c>
      <c r="FI34" s="107" t="str">
        <f t="shared" si="120"/>
        <v/>
      </c>
      <c r="FJ34" s="256" t="str">
        <f t="shared" si="121"/>
        <v/>
      </c>
      <c r="FK34" s="256" t="str">
        <f t="shared" si="122"/>
        <v/>
      </c>
      <c r="FL34" s="256" t="str">
        <f t="shared" si="123"/>
        <v/>
      </c>
      <c r="FM34" s="256" t="str">
        <f t="shared" si="124"/>
        <v/>
      </c>
      <c r="FN34" s="256" t="str">
        <f>IF(OR(C34="TC",C34=""),"",IF(OR(FJ34="PASS",FJ34="FAIL"),IF(EC34="",SUM(FB34:FF34),SUM(LARGE(FB34:FG34,{1,2,3,4,5}))),""))</f>
        <v/>
      </c>
      <c r="FO34" s="256" t="str">
        <f>IF(AND(FN34="",FK34="PASSED AFTER COMPARTMENT"),IF(EC34="",SUM(FB34:FF34),SUM(LARGE(FB34:FG34,{1,2,3,4,5}))),FN34)</f>
        <v/>
      </c>
      <c r="FP34" s="256" t="str">
        <f t="shared" si="125"/>
        <v/>
      </c>
      <c r="FQ34" s="256" t="str">
        <f t="shared" si="126"/>
        <v/>
      </c>
      <c r="FR34" s="256" t="str">
        <f t="shared" si="127"/>
        <v/>
      </c>
      <c r="FS34" s="256" t="str">
        <f t="shared" si="128"/>
        <v/>
      </c>
      <c r="FT34" s="108" t="str">
        <f t="shared" si="129"/>
        <v/>
      </c>
      <c r="FU34" s="256" t="str">
        <f t="shared" si="130"/>
        <v/>
      </c>
      <c r="FV34" s="109" t="str">
        <f>IF(ATTENDANCE!Q35="","",ATTENDANCE!Q35)</f>
        <v/>
      </c>
      <c r="FW34" s="110" t="str">
        <f t="shared" si="131"/>
        <v/>
      </c>
      <c r="FX34" s="110" t="str">
        <f t="shared" si="132"/>
        <v/>
      </c>
      <c r="FY34" s="365" t="str">
        <f t="shared" si="133"/>
        <v/>
      </c>
      <c r="FZ34" s="108" t="str">
        <f t="shared" si="134"/>
        <v/>
      </c>
      <c r="GA34" s="256" t="str">
        <f>IF(ATTENDANCE!Q35="","",ATTENDANCE!Q35)</f>
        <v/>
      </c>
      <c r="GB34" s="108" t="str">
        <f>IF(ATTENDANCE!Q35="","",ATTENDANCE!$Q35)</f>
        <v/>
      </c>
      <c r="GC34" s="108" t="s">
        <v>230</v>
      </c>
      <c r="GD34" s="60"/>
    </row>
    <row r="35" spans="1:186" ht="15" customHeight="1" x14ac:dyDescent="0.25">
      <c r="A35" s="60"/>
      <c r="B35" s="96">
        <f>IF(DATA!B33="","",DATA!B33)</f>
        <v>29</v>
      </c>
      <c r="C35" s="96" t="str">
        <f>IF(DATA!C33="","",DATA!C33)</f>
        <v/>
      </c>
      <c r="D35" s="96" t="str">
        <f>IF(DATA!D33="","",DATA!D33)</f>
        <v/>
      </c>
      <c r="E35" s="303" t="str">
        <f>IF(DATA!E33="","",DATA!E33)</f>
        <v/>
      </c>
      <c r="F35" s="303" t="str">
        <f>IF(DATA!F33="","",DATA!F33)</f>
        <v/>
      </c>
      <c r="G35" s="303" t="str">
        <f>IF(DATA!G33="","",DATA!G33)</f>
        <v/>
      </c>
      <c r="H35" s="98" t="str">
        <f>IF(DATA!H33="","",DATA!H33)</f>
        <v/>
      </c>
      <c r="I35" s="97" t="str">
        <f>IF(DATA!I33="","",DATA!I33)</f>
        <v/>
      </c>
      <c r="J35" s="97" t="str">
        <f>IF(DATA!J33="","",DATA!J33)</f>
        <v/>
      </c>
      <c r="K35" s="97" t="str">
        <f>IF(DATA!K33="","",DATA!K33)</f>
        <v/>
      </c>
      <c r="L35" s="99" t="str">
        <f>IF(ENGLISH!E35="","",ENGLISH!E35)</f>
        <v/>
      </c>
      <c r="M35" s="100" t="str">
        <f t="shared" si="46"/>
        <v/>
      </c>
      <c r="N35" s="99" t="str">
        <f>IF(ENGLISH!F35="","",ENGLISH!F35)</f>
        <v/>
      </c>
      <c r="O35" s="100" t="str">
        <f t="shared" si="47"/>
        <v/>
      </c>
      <c r="P35" s="99" t="str">
        <f>IF(ENGLISH!G35="","",ENGLISH!G35)</f>
        <v/>
      </c>
      <c r="Q35" s="99" t="str">
        <f t="shared" si="48"/>
        <v/>
      </c>
      <c r="R35" s="100" t="str">
        <f>IFERROR(LARGE((M35,O35,Q35),1),"")</f>
        <v/>
      </c>
      <c r="S35" s="100" t="str">
        <f>IFERROR(LARGE((M35,O35,Q35),2),"")</f>
        <v/>
      </c>
      <c r="T35" s="99" t="str">
        <f t="shared" si="49"/>
        <v/>
      </c>
      <c r="U35" s="100" t="str">
        <f>IF(ENGLISH!H35="","",ENGLISH!H35)</f>
        <v/>
      </c>
      <c r="V35" s="99" t="str">
        <f>IF(ENGLISH!I35="","",ENGLISH!I35)</f>
        <v/>
      </c>
      <c r="W35" s="99" t="str">
        <f>IF(ENGLISH!J35="","",ENGLISH!J35)</f>
        <v/>
      </c>
      <c r="X35" s="99" t="str">
        <f t="shared" si="50"/>
        <v/>
      </c>
      <c r="Y35" s="100" t="str">
        <f>IF(ENGLISH!K35="","",ENGLISH!K35)</f>
        <v/>
      </c>
      <c r="Z35" s="100" t="str">
        <f t="shared" si="51"/>
        <v/>
      </c>
      <c r="AA35" s="101" t="str">
        <f t="shared" si="52"/>
        <v/>
      </c>
      <c r="AB35" s="99" t="str">
        <f t="shared" si="15"/>
        <v/>
      </c>
      <c r="AC35" s="99" t="str">
        <f>IF(ENGLISH!O35="","",ENGLISH!O35)</f>
        <v/>
      </c>
      <c r="AD35" s="99" t="str">
        <f t="shared" si="53"/>
        <v/>
      </c>
      <c r="AE35" s="99" t="str">
        <f t="shared" si="54"/>
        <v/>
      </c>
      <c r="AF35" s="99" t="str">
        <f t="shared" si="55"/>
        <v/>
      </c>
      <c r="AG35" s="102" t="str">
        <f>IF(C35="","",VLOOKUP(C35,'HINDI-SKT'!$D$7:$E$51,2,0))</f>
        <v/>
      </c>
      <c r="AH35" s="102" t="str">
        <f>IF('HINDI-SKT'!F35="","",'HINDI-SKT'!F35)</f>
        <v/>
      </c>
      <c r="AI35" s="103" t="str">
        <f t="shared" si="16"/>
        <v/>
      </c>
      <c r="AJ35" s="102" t="str">
        <f>IF('HINDI-SKT'!G35="","",'HINDI-SKT'!G35)</f>
        <v/>
      </c>
      <c r="AK35" s="103" t="str">
        <f t="shared" si="17"/>
        <v/>
      </c>
      <c r="AL35" s="102" t="str">
        <f>IF('HINDI-SKT'!H35="","",'HINDI-SKT'!H35)</f>
        <v/>
      </c>
      <c r="AM35" s="102" t="str">
        <f t="shared" si="18"/>
        <v/>
      </c>
      <c r="AN35" s="103" t="str">
        <f>IFERROR(LARGE((AI35,AK35,AM35),1),"")</f>
        <v/>
      </c>
      <c r="AO35" s="103" t="str">
        <f>IFERROR(LARGE((AI35,AK35,AM35),2),"")</f>
        <v/>
      </c>
      <c r="AP35" s="102" t="str">
        <f t="shared" si="19"/>
        <v/>
      </c>
      <c r="AQ35" s="103" t="str">
        <f>IF('HINDI-SKT'!I35="","",'HINDI-SKT'!I35)</f>
        <v/>
      </c>
      <c r="AR35" s="102" t="str">
        <f>IF('HINDI-SKT'!J35="","",'HINDI-SKT'!J35)</f>
        <v/>
      </c>
      <c r="AS35" s="102" t="str">
        <f>IF('HINDI-SKT'!K35="","",'HINDI-SKT'!K35)</f>
        <v/>
      </c>
      <c r="AT35" s="102" t="str">
        <f t="shared" si="56"/>
        <v/>
      </c>
      <c r="AU35" s="102" t="str">
        <f>IF('HINDI-SKT'!L35="","",'HINDI-SKT'!L35)</f>
        <v/>
      </c>
      <c r="AV35" s="103" t="str">
        <f t="shared" si="57"/>
        <v/>
      </c>
      <c r="AW35" s="102" t="str">
        <f t="shared" si="58"/>
        <v/>
      </c>
      <c r="AX35" s="102" t="str">
        <f t="shared" si="59"/>
        <v/>
      </c>
      <c r="AY35" s="102" t="str">
        <f>IF('HINDI-SKT'!P35="","",'HINDI-SKT'!P35)</f>
        <v/>
      </c>
      <c r="AZ35" s="102" t="str">
        <f t="shared" si="60"/>
        <v/>
      </c>
      <c r="BA35" s="102" t="str">
        <f t="shared" si="61"/>
        <v/>
      </c>
      <c r="BB35" s="102" t="str">
        <f t="shared" si="62"/>
        <v/>
      </c>
      <c r="BC35" s="99" t="str">
        <f>IF(MATHS!E35="","",MATHS!E35)</f>
        <v/>
      </c>
      <c r="BD35" s="100" t="str">
        <f t="shared" si="22"/>
        <v/>
      </c>
      <c r="BE35" s="99" t="str">
        <f>IF(MATHS!F35="","",MATHS!F35)</f>
        <v/>
      </c>
      <c r="BF35" s="100" t="str">
        <f t="shared" si="23"/>
        <v/>
      </c>
      <c r="BG35" s="99" t="str">
        <f>IF(MATHS!G35="","",MATHS!G35)</f>
        <v/>
      </c>
      <c r="BH35" s="99" t="str">
        <f t="shared" si="24"/>
        <v/>
      </c>
      <c r="BI35" s="100" t="str">
        <f>IFERROR(LARGE((BD35,BF35,BH35),1),"")</f>
        <v/>
      </c>
      <c r="BJ35" s="100" t="str">
        <f>IFERROR(LARGE((BD35,BF35,BH35),2),"")</f>
        <v/>
      </c>
      <c r="BK35" s="99" t="str">
        <f t="shared" si="25"/>
        <v/>
      </c>
      <c r="BL35" s="100" t="str">
        <f>IF(MATHS!H35="","",MATHS!H35)</f>
        <v/>
      </c>
      <c r="BM35" s="99" t="str">
        <f>IF(MATHS!I35="","",MATHS!I35)</f>
        <v/>
      </c>
      <c r="BN35" s="99" t="str">
        <f>IF(MATHS!J35="","",MATHS!J35)</f>
        <v/>
      </c>
      <c r="BO35" s="99" t="str">
        <f t="shared" si="63"/>
        <v/>
      </c>
      <c r="BP35" s="99" t="str">
        <f>IF(MATHS!K35="","",MATHS!K35)</f>
        <v/>
      </c>
      <c r="BQ35" s="100" t="str">
        <f t="shared" si="26"/>
        <v/>
      </c>
      <c r="BR35" s="99" t="str">
        <f t="shared" si="64"/>
        <v/>
      </c>
      <c r="BS35" s="99" t="str">
        <f t="shared" si="27"/>
        <v/>
      </c>
      <c r="BT35" s="99" t="str">
        <f>IF(MATHS!O35="","",MATHS!O35)</f>
        <v/>
      </c>
      <c r="BU35" s="99" t="str">
        <f t="shared" si="65"/>
        <v/>
      </c>
      <c r="BV35" s="99" t="str">
        <f t="shared" si="66"/>
        <v/>
      </c>
      <c r="BW35" s="102" t="str">
        <f t="shared" si="67"/>
        <v/>
      </c>
      <c r="BX35" s="102" t="str">
        <f>IF(SCIENCE!E35="","",SCIENCE!E35)</f>
        <v/>
      </c>
      <c r="BY35" s="103" t="str">
        <f t="shared" si="28"/>
        <v/>
      </c>
      <c r="BZ35" s="102" t="str">
        <f>IF(SCIENCE!F35="","",SCIENCE!F35)</f>
        <v/>
      </c>
      <c r="CA35" s="103" t="str">
        <f t="shared" si="29"/>
        <v/>
      </c>
      <c r="CB35" s="102" t="str">
        <f>IF(SCIENCE!G35="","",SCIENCE!G35)</f>
        <v/>
      </c>
      <c r="CC35" s="102" t="str">
        <f t="shared" si="30"/>
        <v/>
      </c>
      <c r="CD35" s="103" t="str">
        <f>IFERROR(LARGE((BY35,CA35,CC35),1),"")</f>
        <v/>
      </c>
      <c r="CE35" s="103" t="str">
        <f>IFERROR(LARGE((BY35,CA35,CC35),2),"")</f>
        <v/>
      </c>
      <c r="CF35" s="102" t="str">
        <f t="shared" si="31"/>
        <v/>
      </c>
      <c r="CG35" s="103" t="str">
        <f>IF(SCIENCE!H35="","",SCIENCE!H35)</f>
        <v/>
      </c>
      <c r="CH35" s="103" t="str">
        <f>IF(SCIENCE!I35="","",SCIENCE!I35)</f>
        <v/>
      </c>
      <c r="CI35" s="103" t="str">
        <f>IF(SCIENCE!J35="","",SCIENCE!J35)</f>
        <v/>
      </c>
      <c r="CJ35" s="103" t="str">
        <f t="shared" si="68"/>
        <v/>
      </c>
      <c r="CK35" s="103" t="str">
        <f>IF(SCIENCE!K35="","",SCIENCE!K35)</f>
        <v/>
      </c>
      <c r="CL35" s="103" t="str">
        <f t="shared" si="32"/>
        <v/>
      </c>
      <c r="CM35" s="102" t="str">
        <f t="shared" si="69"/>
        <v/>
      </c>
      <c r="CN35" s="102" t="str">
        <f t="shared" si="33"/>
        <v/>
      </c>
      <c r="CO35" s="102" t="str">
        <f>IF(SCIENCE!O35="","",SCIENCE!O35)</f>
        <v/>
      </c>
      <c r="CP35" s="102" t="str">
        <f t="shared" si="70"/>
        <v/>
      </c>
      <c r="CQ35" s="102" t="str">
        <f t="shared" si="71"/>
        <v/>
      </c>
      <c r="CR35" s="102" t="str">
        <f t="shared" si="72"/>
        <v/>
      </c>
      <c r="CS35" s="99" t="str">
        <f>IF(SST!E35="","",SST!E35)</f>
        <v/>
      </c>
      <c r="CT35" s="100" t="str">
        <f t="shared" si="34"/>
        <v/>
      </c>
      <c r="CU35" s="99" t="str">
        <f>IF(SST!F35="","",SST!F35)</f>
        <v/>
      </c>
      <c r="CV35" s="100" t="str">
        <f t="shared" si="35"/>
        <v/>
      </c>
      <c r="CW35" s="99" t="str">
        <f>IF(SST!G35="","",SST!G35)</f>
        <v/>
      </c>
      <c r="CX35" s="99" t="str">
        <f t="shared" si="36"/>
        <v/>
      </c>
      <c r="CY35" s="100" t="str">
        <f>IFERROR(LARGE((CT35,CV35,CX35),1),"")</f>
        <v/>
      </c>
      <c r="CZ35" s="100" t="str">
        <f>IFERROR(LARGE((CT35,CV35,CX35),2),"")</f>
        <v/>
      </c>
      <c r="DA35" s="99" t="str">
        <f t="shared" si="37"/>
        <v/>
      </c>
      <c r="DB35" s="100" t="str">
        <f>IF(SST!H35="","",SST!H35)</f>
        <v/>
      </c>
      <c r="DC35" s="100" t="str">
        <f>IF(SST!I35="","",SST!I35)</f>
        <v/>
      </c>
      <c r="DD35" s="100" t="str">
        <f>IF(SST!J35="","",SST!J35)</f>
        <v/>
      </c>
      <c r="DE35" s="100" t="str">
        <f t="shared" si="73"/>
        <v/>
      </c>
      <c r="DF35" s="100" t="str">
        <f>IF(SST!K35="","",SST!K35)</f>
        <v/>
      </c>
      <c r="DG35" s="100" t="str">
        <f t="shared" si="74"/>
        <v/>
      </c>
      <c r="DH35" s="99" t="str">
        <f t="shared" si="75"/>
        <v/>
      </c>
      <c r="DI35" s="99" t="str">
        <f t="shared" si="38"/>
        <v/>
      </c>
      <c r="DJ35" s="99" t="str">
        <f>IF(SST!O35="","",SST!O35)</f>
        <v/>
      </c>
      <c r="DK35" s="99" t="str">
        <f t="shared" si="76"/>
        <v/>
      </c>
      <c r="DL35" s="99" t="str">
        <f t="shared" si="77"/>
        <v/>
      </c>
      <c r="DM35" s="99" t="str">
        <f t="shared" si="78"/>
        <v/>
      </c>
      <c r="DN35" s="99"/>
      <c r="DO35" s="102" t="str">
        <f>IF(C35="","",IF(VLOOKUP(C35,VOCATIONAL!$D$7:$E$51,2,0)="","",VLOOKUP(C35,VOCATIONAL!$D$7:$E$51,2,0)))</f>
        <v/>
      </c>
      <c r="DP35" s="102" t="str">
        <f>IF(VOCATIONAL!F35="","",VOCATIONAL!F35)</f>
        <v/>
      </c>
      <c r="DQ35" s="102" t="str">
        <f>IF(VOCATIONAL!G35="","",VOCATIONAL!G35)</f>
        <v/>
      </c>
      <c r="DR35" s="102" t="str">
        <f t="shared" si="79"/>
        <v/>
      </c>
      <c r="DS35" s="102" t="str">
        <f t="shared" si="80"/>
        <v/>
      </c>
      <c r="DT35" s="102" t="str">
        <f>IF(VOCATIONAL!K35="","",VOCATIONAL!K35)</f>
        <v/>
      </c>
      <c r="DU35" s="102" t="str">
        <f t="shared" si="81"/>
        <v/>
      </c>
      <c r="DV35" s="102" t="str">
        <f t="shared" si="82"/>
        <v/>
      </c>
      <c r="DW35" s="99"/>
      <c r="DX35" s="104" t="str">
        <f t="shared" si="83"/>
        <v/>
      </c>
      <c r="DY35" s="104" t="str">
        <f t="shared" si="84"/>
        <v/>
      </c>
      <c r="DZ35" s="104" t="str">
        <f t="shared" si="85"/>
        <v/>
      </c>
      <c r="EA35" s="104" t="str">
        <f t="shared" si="86"/>
        <v/>
      </c>
      <c r="EB35" s="104" t="str">
        <f t="shared" si="87"/>
        <v/>
      </c>
      <c r="EC35" s="104" t="str">
        <f t="shared" si="88"/>
        <v/>
      </c>
      <c r="ED35" s="104" t="str">
        <f t="shared" si="89"/>
        <v/>
      </c>
      <c r="EE35" s="104" t="str">
        <f t="shared" si="90"/>
        <v/>
      </c>
      <c r="EF35" s="104" t="str">
        <f t="shared" si="91"/>
        <v/>
      </c>
      <c r="EG35" s="104" t="str">
        <f t="shared" si="92"/>
        <v/>
      </c>
      <c r="EH35" s="104" t="str">
        <f t="shared" si="93"/>
        <v/>
      </c>
      <c r="EI35" s="104" t="str">
        <f t="shared" si="94"/>
        <v/>
      </c>
      <c r="EJ35" s="105" t="str">
        <f t="shared" si="95"/>
        <v/>
      </c>
      <c r="EK35" s="105" t="str">
        <f t="shared" si="96"/>
        <v/>
      </c>
      <c r="EL35" s="105" t="str">
        <f t="shared" si="97"/>
        <v/>
      </c>
      <c r="EM35" s="105" t="str">
        <f t="shared" si="98"/>
        <v/>
      </c>
      <c r="EN35" s="105" t="str">
        <f t="shared" si="99"/>
        <v/>
      </c>
      <c r="EO35" s="363" t="str">
        <f t="shared" si="100"/>
        <v/>
      </c>
      <c r="EP35" s="106" t="str">
        <f t="shared" si="101"/>
        <v/>
      </c>
      <c r="EQ35" s="106" t="str">
        <f t="shared" si="102"/>
        <v/>
      </c>
      <c r="ER35" s="106" t="str">
        <f t="shared" si="103"/>
        <v/>
      </c>
      <c r="ES35" s="106" t="str">
        <f t="shared" si="104"/>
        <v/>
      </c>
      <c r="ET35" s="106" t="str">
        <f t="shared" si="105"/>
        <v/>
      </c>
      <c r="EU35" s="106" t="str">
        <f t="shared" si="106"/>
        <v/>
      </c>
      <c r="EV35" s="92" t="str">
        <f t="shared" si="107"/>
        <v/>
      </c>
      <c r="EW35" s="92" t="str">
        <f t="shared" si="108"/>
        <v/>
      </c>
      <c r="EX35" s="92" t="str">
        <f t="shared" si="109"/>
        <v/>
      </c>
      <c r="EY35" s="92" t="str">
        <f t="shared" si="110"/>
        <v/>
      </c>
      <c r="EZ35" s="92" t="str">
        <f t="shared" si="111"/>
        <v/>
      </c>
      <c r="FA35" s="92" t="str">
        <f t="shared" si="112"/>
        <v/>
      </c>
      <c r="FB35" s="93" t="str">
        <f t="shared" si="113"/>
        <v/>
      </c>
      <c r="FC35" s="93" t="str">
        <f t="shared" si="114"/>
        <v/>
      </c>
      <c r="FD35" s="93" t="str">
        <f t="shared" si="115"/>
        <v/>
      </c>
      <c r="FE35" s="93" t="str">
        <f t="shared" si="116"/>
        <v/>
      </c>
      <c r="FF35" s="93" t="str">
        <f t="shared" si="117"/>
        <v/>
      </c>
      <c r="FG35" s="93" t="str">
        <f t="shared" si="118"/>
        <v/>
      </c>
      <c r="FH35" s="107" t="str">
        <f t="shared" si="119"/>
        <v/>
      </c>
      <c r="FI35" s="107" t="str">
        <f t="shared" si="120"/>
        <v/>
      </c>
      <c r="FJ35" s="256" t="str">
        <f t="shared" si="121"/>
        <v/>
      </c>
      <c r="FK35" s="256" t="str">
        <f t="shared" si="122"/>
        <v/>
      </c>
      <c r="FL35" s="256" t="str">
        <f t="shared" si="123"/>
        <v/>
      </c>
      <c r="FM35" s="256" t="str">
        <f t="shared" si="124"/>
        <v/>
      </c>
      <c r="FN35" s="256" t="str">
        <f>IF(OR(C35="TC",C35=""),"",IF(OR(FJ35="PASS",FJ35="FAIL"),IF(EC35="",SUM(FB35:FF35),SUM(LARGE(FB35:FG35,{1,2,3,4,5}))),""))</f>
        <v/>
      </c>
      <c r="FO35" s="256" t="str">
        <f>IF(AND(FN35="",FK35="PASSED AFTER COMPARTMENT"),IF(EC35="",SUM(FB35:FF35),SUM(LARGE(FB35:FG35,{1,2,3,4,5}))),FN35)</f>
        <v/>
      </c>
      <c r="FP35" s="256" t="str">
        <f t="shared" si="125"/>
        <v/>
      </c>
      <c r="FQ35" s="256" t="str">
        <f t="shared" si="126"/>
        <v/>
      </c>
      <c r="FR35" s="256" t="str">
        <f t="shared" si="127"/>
        <v/>
      </c>
      <c r="FS35" s="256" t="str">
        <f t="shared" si="128"/>
        <v/>
      </c>
      <c r="FT35" s="108" t="str">
        <f t="shared" si="129"/>
        <v/>
      </c>
      <c r="FU35" s="256" t="str">
        <f t="shared" si="130"/>
        <v/>
      </c>
      <c r="FV35" s="109" t="str">
        <f>IF(ATTENDANCE!Q36="","",ATTENDANCE!Q36)</f>
        <v/>
      </c>
      <c r="FW35" s="110" t="str">
        <f t="shared" si="131"/>
        <v/>
      </c>
      <c r="FX35" s="110" t="str">
        <f t="shared" si="132"/>
        <v/>
      </c>
      <c r="FY35" s="365" t="str">
        <f t="shared" si="133"/>
        <v/>
      </c>
      <c r="FZ35" s="108" t="str">
        <f t="shared" si="134"/>
        <v/>
      </c>
      <c r="GA35" s="256" t="str">
        <f>IF(ATTENDANCE!Q36="","",ATTENDANCE!Q36)</f>
        <v/>
      </c>
      <c r="GB35" s="108" t="str">
        <f>IF(ATTENDANCE!Q36="","",ATTENDANCE!$Q36)</f>
        <v/>
      </c>
      <c r="GC35" s="108" t="s">
        <v>229</v>
      </c>
      <c r="GD35" s="60"/>
    </row>
    <row r="36" spans="1:186" ht="15" customHeight="1" x14ac:dyDescent="0.25">
      <c r="A36" s="60"/>
      <c r="B36" s="96">
        <f>IF(DATA!B34="","",DATA!B34)</f>
        <v>30</v>
      </c>
      <c r="C36" s="96" t="str">
        <f>IF(DATA!C34="","",DATA!C34)</f>
        <v/>
      </c>
      <c r="D36" s="96" t="str">
        <f>IF(DATA!D34="","",DATA!D34)</f>
        <v/>
      </c>
      <c r="E36" s="303" t="str">
        <f>IF(DATA!E34="","",DATA!E34)</f>
        <v/>
      </c>
      <c r="F36" s="303" t="str">
        <f>IF(DATA!F34="","",DATA!F34)</f>
        <v/>
      </c>
      <c r="G36" s="303" t="str">
        <f>IF(DATA!G34="","",DATA!G34)</f>
        <v/>
      </c>
      <c r="H36" s="98" t="str">
        <f>IF(DATA!H34="","",DATA!H34)</f>
        <v/>
      </c>
      <c r="I36" s="97" t="str">
        <f>IF(DATA!I34="","",DATA!I34)</f>
        <v/>
      </c>
      <c r="J36" s="97" t="str">
        <f>IF(DATA!J34="","",DATA!J34)</f>
        <v/>
      </c>
      <c r="K36" s="97" t="str">
        <f>IF(DATA!K34="","",DATA!K34)</f>
        <v/>
      </c>
      <c r="L36" s="99" t="str">
        <f>IF(ENGLISH!E36="","",ENGLISH!E36)</f>
        <v/>
      </c>
      <c r="M36" s="100" t="str">
        <f t="shared" si="46"/>
        <v/>
      </c>
      <c r="N36" s="99" t="str">
        <f>IF(ENGLISH!F36="","",ENGLISH!F36)</f>
        <v/>
      </c>
      <c r="O36" s="100" t="str">
        <f t="shared" si="47"/>
        <v/>
      </c>
      <c r="P36" s="99" t="str">
        <f>IF(ENGLISH!G36="","",ENGLISH!G36)</f>
        <v/>
      </c>
      <c r="Q36" s="99" t="str">
        <f t="shared" si="48"/>
        <v/>
      </c>
      <c r="R36" s="100" t="str">
        <f>IFERROR(LARGE((M36,O36,Q36),1),"")</f>
        <v/>
      </c>
      <c r="S36" s="100" t="str">
        <f>IFERROR(LARGE((M36,O36,Q36),2),"")</f>
        <v/>
      </c>
      <c r="T36" s="99" t="str">
        <f t="shared" si="49"/>
        <v/>
      </c>
      <c r="U36" s="100" t="str">
        <f>IF(ENGLISH!H36="","",ENGLISH!H36)</f>
        <v/>
      </c>
      <c r="V36" s="99" t="str">
        <f>IF(ENGLISH!I36="","",ENGLISH!I36)</f>
        <v/>
      </c>
      <c r="W36" s="99" t="str">
        <f>IF(ENGLISH!J36="","",ENGLISH!J36)</f>
        <v/>
      </c>
      <c r="X36" s="99" t="str">
        <f t="shared" si="50"/>
        <v/>
      </c>
      <c r="Y36" s="100" t="str">
        <f>IF(ENGLISH!K36="","",ENGLISH!K36)</f>
        <v/>
      </c>
      <c r="Z36" s="100" t="str">
        <f t="shared" si="51"/>
        <v/>
      </c>
      <c r="AA36" s="101" t="str">
        <f t="shared" si="52"/>
        <v/>
      </c>
      <c r="AB36" s="99" t="str">
        <f t="shared" si="15"/>
        <v/>
      </c>
      <c r="AC36" s="99" t="str">
        <f>IF(ENGLISH!O36="","",ENGLISH!O36)</f>
        <v/>
      </c>
      <c r="AD36" s="99" t="str">
        <f t="shared" si="53"/>
        <v/>
      </c>
      <c r="AE36" s="99" t="str">
        <f t="shared" si="54"/>
        <v/>
      </c>
      <c r="AF36" s="99" t="str">
        <f t="shared" si="55"/>
        <v/>
      </c>
      <c r="AG36" s="102" t="str">
        <f>IF(C36="","",VLOOKUP(C36,'HINDI-SKT'!$D$7:$E$51,2,0))</f>
        <v/>
      </c>
      <c r="AH36" s="102" t="str">
        <f>IF('HINDI-SKT'!F36="","",'HINDI-SKT'!F36)</f>
        <v/>
      </c>
      <c r="AI36" s="103" t="str">
        <f t="shared" si="16"/>
        <v/>
      </c>
      <c r="AJ36" s="102" t="str">
        <f>IF('HINDI-SKT'!G36="","",'HINDI-SKT'!G36)</f>
        <v/>
      </c>
      <c r="AK36" s="103" t="str">
        <f t="shared" si="17"/>
        <v/>
      </c>
      <c r="AL36" s="102" t="str">
        <f>IF('HINDI-SKT'!H36="","",'HINDI-SKT'!H36)</f>
        <v/>
      </c>
      <c r="AM36" s="102" t="str">
        <f t="shared" si="18"/>
        <v/>
      </c>
      <c r="AN36" s="103" t="str">
        <f>IFERROR(LARGE((AI36,AK36,AM36),1),"")</f>
        <v/>
      </c>
      <c r="AO36" s="103" t="str">
        <f>IFERROR(LARGE((AI36,AK36,AM36),2),"")</f>
        <v/>
      </c>
      <c r="AP36" s="102" t="str">
        <f t="shared" si="19"/>
        <v/>
      </c>
      <c r="AQ36" s="103" t="str">
        <f>IF('HINDI-SKT'!I36="","",'HINDI-SKT'!I36)</f>
        <v/>
      </c>
      <c r="AR36" s="102" t="str">
        <f>IF('HINDI-SKT'!J36="","",'HINDI-SKT'!J36)</f>
        <v/>
      </c>
      <c r="AS36" s="102" t="str">
        <f>IF('HINDI-SKT'!K36="","",'HINDI-SKT'!K36)</f>
        <v/>
      </c>
      <c r="AT36" s="102" t="str">
        <f t="shared" si="56"/>
        <v/>
      </c>
      <c r="AU36" s="102" t="str">
        <f>IF('HINDI-SKT'!L36="","",'HINDI-SKT'!L36)</f>
        <v/>
      </c>
      <c r="AV36" s="103" t="str">
        <f t="shared" si="57"/>
        <v/>
      </c>
      <c r="AW36" s="102" t="str">
        <f t="shared" si="58"/>
        <v/>
      </c>
      <c r="AX36" s="102" t="str">
        <f t="shared" si="59"/>
        <v/>
      </c>
      <c r="AY36" s="102" t="str">
        <f>IF('HINDI-SKT'!P36="","",'HINDI-SKT'!P36)</f>
        <v/>
      </c>
      <c r="AZ36" s="102" t="str">
        <f t="shared" si="60"/>
        <v/>
      </c>
      <c r="BA36" s="102" t="str">
        <f t="shared" si="61"/>
        <v/>
      </c>
      <c r="BB36" s="102" t="str">
        <f t="shared" si="62"/>
        <v/>
      </c>
      <c r="BC36" s="99" t="str">
        <f>IF(MATHS!E36="","",MATHS!E36)</f>
        <v/>
      </c>
      <c r="BD36" s="100" t="str">
        <f t="shared" si="22"/>
        <v/>
      </c>
      <c r="BE36" s="99" t="str">
        <f>IF(MATHS!F36="","",MATHS!F36)</f>
        <v/>
      </c>
      <c r="BF36" s="100" t="str">
        <f t="shared" si="23"/>
        <v/>
      </c>
      <c r="BG36" s="99" t="str">
        <f>IF(MATHS!G36="","",MATHS!G36)</f>
        <v/>
      </c>
      <c r="BH36" s="99" t="str">
        <f t="shared" si="24"/>
        <v/>
      </c>
      <c r="BI36" s="100" t="str">
        <f>IFERROR(LARGE((BD36,BF36,BH36),1),"")</f>
        <v/>
      </c>
      <c r="BJ36" s="100" t="str">
        <f>IFERROR(LARGE((BD36,BF36,BH36),2),"")</f>
        <v/>
      </c>
      <c r="BK36" s="99" t="str">
        <f t="shared" si="25"/>
        <v/>
      </c>
      <c r="BL36" s="100" t="str">
        <f>IF(MATHS!H36="","",MATHS!H36)</f>
        <v/>
      </c>
      <c r="BM36" s="99" t="str">
        <f>IF(MATHS!I36="","",MATHS!I36)</f>
        <v/>
      </c>
      <c r="BN36" s="99" t="str">
        <f>IF(MATHS!J36="","",MATHS!J36)</f>
        <v/>
      </c>
      <c r="BO36" s="99" t="str">
        <f t="shared" si="63"/>
        <v/>
      </c>
      <c r="BP36" s="99" t="str">
        <f>IF(MATHS!K36="","",MATHS!K36)</f>
        <v/>
      </c>
      <c r="BQ36" s="100" t="str">
        <f t="shared" si="26"/>
        <v/>
      </c>
      <c r="BR36" s="99" t="str">
        <f t="shared" si="64"/>
        <v/>
      </c>
      <c r="BS36" s="99" t="str">
        <f t="shared" si="27"/>
        <v/>
      </c>
      <c r="BT36" s="99" t="str">
        <f>IF(MATHS!O36="","",MATHS!O36)</f>
        <v/>
      </c>
      <c r="BU36" s="99" t="str">
        <f t="shared" si="65"/>
        <v/>
      </c>
      <c r="BV36" s="99" t="str">
        <f t="shared" si="66"/>
        <v/>
      </c>
      <c r="BW36" s="102" t="str">
        <f t="shared" si="67"/>
        <v/>
      </c>
      <c r="BX36" s="102" t="str">
        <f>IF(SCIENCE!E36="","",SCIENCE!E36)</f>
        <v/>
      </c>
      <c r="BY36" s="103" t="str">
        <f t="shared" si="28"/>
        <v/>
      </c>
      <c r="BZ36" s="102" t="str">
        <f>IF(SCIENCE!F36="","",SCIENCE!F36)</f>
        <v/>
      </c>
      <c r="CA36" s="103" t="str">
        <f t="shared" si="29"/>
        <v/>
      </c>
      <c r="CB36" s="102" t="str">
        <f>IF(SCIENCE!G36="","",SCIENCE!G36)</f>
        <v/>
      </c>
      <c r="CC36" s="102" t="str">
        <f t="shared" si="30"/>
        <v/>
      </c>
      <c r="CD36" s="103" t="str">
        <f>IFERROR(LARGE((BY36,CA36,CC36),1),"")</f>
        <v/>
      </c>
      <c r="CE36" s="103" t="str">
        <f>IFERROR(LARGE((BY36,CA36,CC36),2),"")</f>
        <v/>
      </c>
      <c r="CF36" s="102" t="str">
        <f t="shared" si="31"/>
        <v/>
      </c>
      <c r="CG36" s="103" t="str">
        <f>IF(SCIENCE!H36="","",SCIENCE!H36)</f>
        <v/>
      </c>
      <c r="CH36" s="103" t="str">
        <f>IF(SCIENCE!I36="","",SCIENCE!I36)</f>
        <v/>
      </c>
      <c r="CI36" s="103" t="str">
        <f>IF(SCIENCE!J36="","",SCIENCE!J36)</f>
        <v/>
      </c>
      <c r="CJ36" s="103" t="str">
        <f t="shared" si="68"/>
        <v/>
      </c>
      <c r="CK36" s="103" t="str">
        <f>IF(SCIENCE!K36="","",SCIENCE!K36)</f>
        <v/>
      </c>
      <c r="CL36" s="103" t="str">
        <f t="shared" si="32"/>
        <v/>
      </c>
      <c r="CM36" s="102" t="str">
        <f t="shared" si="69"/>
        <v/>
      </c>
      <c r="CN36" s="102" t="str">
        <f t="shared" si="33"/>
        <v/>
      </c>
      <c r="CO36" s="102" t="str">
        <f>IF(SCIENCE!O36="","",SCIENCE!O36)</f>
        <v/>
      </c>
      <c r="CP36" s="102" t="str">
        <f t="shared" si="70"/>
        <v/>
      </c>
      <c r="CQ36" s="102" t="str">
        <f t="shared" si="71"/>
        <v/>
      </c>
      <c r="CR36" s="102" t="str">
        <f t="shared" si="72"/>
        <v/>
      </c>
      <c r="CS36" s="99" t="str">
        <f>IF(SST!E36="","",SST!E36)</f>
        <v/>
      </c>
      <c r="CT36" s="100" t="str">
        <f t="shared" si="34"/>
        <v/>
      </c>
      <c r="CU36" s="99" t="str">
        <f>IF(SST!F36="","",SST!F36)</f>
        <v/>
      </c>
      <c r="CV36" s="100" t="str">
        <f t="shared" si="35"/>
        <v/>
      </c>
      <c r="CW36" s="99" t="str">
        <f>IF(SST!G36="","",SST!G36)</f>
        <v/>
      </c>
      <c r="CX36" s="99" t="str">
        <f t="shared" si="36"/>
        <v/>
      </c>
      <c r="CY36" s="100" t="str">
        <f>IFERROR(LARGE((CT36,CV36,CX36),1),"")</f>
        <v/>
      </c>
      <c r="CZ36" s="100" t="str">
        <f>IFERROR(LARGE((CT36,CV36,CX36),2),"")</f>
        <v/>
      </c>
      <c r="DA36" s="99" t="str">
        <f t="shared" si="37"/>
        <v/>
      </c>
      <c r="DB36" s="100" t="str">
        <f>IF(SST!H36="","",SST!H36)</f>
        <v/>
      </c>
      <c r="DC36" s="100" t="str">
        <f>IF(SST!I36="","",SST!I36)</f>
        <v/>
      </c>
      <c r="DD36" s="100" t="str">
        <f>IF(SST!J36="","",SST!J36)</f>
        <v/>
      </c>
      <c r="DE36" s="100" t="str">
        <f t="shared" si="73"/>
        <v/>
      </c>
      <c r="DF36" s="100" t="str">
        <f>IF(SST!K36="","",SST!K36)</f>
        <v/>
      </c>
      <c r="DG36" s="100" t="str">
        <f t="shared" si="74"/>
        <v/>
      </c>
      <c r="DH36" s="99" t="str">
        <f t="shared" si="75"/>
        <v/>
      </c>
      <c r="DI36" s="99" t="str">
        <f t="shared" si="38"/>
        <v/>
      </c>
      <c r="DJ36" s="99" t="str">
        <f>IF(SST!O36="","",SST!O36)</f>
        <v/>
      </c>
      <c r="DK36" s="99" t="str">
        <f t="shared" si="76"/>
        <v/>
      </c>
      <c r="DL36" s="99" t="str">
        <f t="shared" si="77"/>
        <v/>
      </c>
      <c r="DM36" s="99" t="str">
        <f t="shared" si="78"/>
        <v/>
      </c>
      <c r="DN36" s="99"/>
      <c r="DO36" s="102" t="str">
        <f>IF(C36="","",IF(VLOOKUP(C36,VOCATIONAL!$D$7:$E$51,2,0)="","",VLOOKUP(C36,VOCATIONAL!$D$7:$E$51,2,0)))</f>
        <v/>
      </c>
      <c r="DP36" s="102" t="str">
        <f>IF(VOCATIONAL!F36="","",VOCATIONAL!F36)</f>
        <v/>
      </c>
      <c r="DQ36" s="102" t="str">
        <f>IF(VOCATIONAL!G36="","",VOCATIONAL!G36)</f>
        <v/>
      </c>
      <c r="DR36" s="102" t="str">
        <f t="shared" si="79"/>
        <v/>
      </c>
      <c r="DS36" s="102" t="str">
        <f t="shared" si="80"/>
        <v/>
      </c>
      <c r="DT36" s="102" t="str">
        <f>IF(VOCATIONAL!K36="","",VOCATIONAL!K36)</f>
        <v/>
      </c>
      <c r="DU36" s="102" t="str">
        <f t="shared" si="81"/>
        <v/>
      </c>
      <c r="DV36" s="102" t="str">
        <f t="shared" si="82"/>
        <v/>
      </c>
      <c r="DW36" s="99"/>
      <c r="DX36" s="104" t="str">
        <f t="shared" si="83"/>
        <v/>
      </c>
      <c r="DY36" s="104" t="str">
        <f t="shared" si="84"/>
        <v/>
      </c>
      <c r="DZ36" s="104" t="str">
        <f t="shared" si="85"/>
        <v/>
      </c>
      <c r="EA36" s="104" t="str">
        <f t="shared" si="86"/>
        <v/>
      </c>
      <c r="EB36" s="104" t="str">
        <f t="shared" si="87"/>
        <v/>
      </c>
      <c r="EC36" s="104" t="str">
        <f t="shared" si="88"/>
        <v/>
      </c>
      <c r="ED36" s="104" t="str">
        <f t="shared" si="89"/>
        <v/>
      </c>
      <c r="EE36" s="104" t="str">
        <f t="shared" si="90"/>
        <v/>
      </c>
      <c r="EF36" s="104" t="str">
        <f t="shared" si="91"/>
        <v/>
      </c>
      <c r="EG36" s="104" t="str">
        <f t="shared" si="92"/>
        <v/>
      </c>
      <c r="EH36" s="104" t="str">
        <f t="shared" si="93"/>
        <v/>
      </c>
      <c r="EI36" s="104" t="str">
        <f t="shared" si="94"/>
        <v/>
      </c>
      <c r="EJ36" s="105" t="str">
        <f t="shared" si="95"/>
        <v/>
      </c>
      <c r="EK36" s="105" t="str">
        <f t="shared" si="96"/>
        <v/>
      </c>
      <c r="EL36" s="105" t="str">
        <f t="shared" si="97"/>
        <v/>
      </c>
      <c r="EM36" s="105" t="str">
        <f t="shared" si="98"/>
        <v/>
      </c>
      <c r="EN36" s="105" t="str">
        <f t="shared" si="99"/>
        <v/>
      </c>
      <c r="EO36" s="363" t="str">
        <f t="shared" si="100"/>
        <v/>
      </c>
      <c r="EP36" s="106" t="str">
        <f t="shared" si="101"/>
        <v/>
      </c>
      <c r="EQ36" s="106" t="str">
        <f t="shared" si="102"/>
        <v/>
      </c>
      <c r="ER36" s="106" t="str">
        <f t="shared" si="103"/>
        <v/>
      </c>
      <c r="ES36" s="106" t="str">
        <f t="shared" si="104"/>
        <v/>
      </c>
      <c r="ET36" s="106" t="str">
        <f t="shared" si="105"/>
        <v/>
      </c>
      <c r="EU36" s="106" t="str">
        <f t="shared" si="106"/>
        <v/>
      </c>
      <c r="EV36" s="92" t="str">
        <f t="shared" si="107"/>
        <v/>
      </c>
      <c r="EW36" s="92" t="str">
        <f t="shared" si="108"/>
        <v/>
      </c>
      <c r="EX36" s="92" t="str">
        <f t="shared" si="109"/>
        <v/>
      </c>
      <c r="EY36" s="92" t="str">
        <f t="shared" si="110"/>
        <v/>
      </c>
      <c r="EZ36" s="92" t="str">
        <f t="shared" si="111"/>
        <v/>
      </c>
      <c r="FA36" s="92" t="str">
        <f t="shared" si="112"/>
        <v/>
      </c>
      <c r="FB36" s="93" t="str">
        <f t="shared" si="113"/>
        <v/>
      </c>
      <c r="FC36" s="93" t="str">
        <f t="shared" si="114"/>
        <v/>
      </c>
      <c r="FD36" s="93" t="str">
        <f t="shared" si="115"/>
        <v/>
      </c>
      <c r="FE36" s="93" t="str">
        <f t="shared" si="116"/>
        <v/>
      </c>
      <c r="FF36" s="93" t="str">
        <f t="shared" si="117"/>
        <v/>
      </c>
      <c r="FG36" s="93" t="str">
        <f t="shared" si="118"/>
        <v/>
      </c>
      <c r="FH36" s="107" t="str">
        <f t="shared" si="119"/>
        <v/>
      </c>
      <c r="FI36" s="107" t="str">
        <f t="shared" si="120"/>
        <v/>
      </c>
      <c r="FJ36" s="256" t="str">
        <f t="shared" si="121"/>
        <v/>
      </c>
      <c r="FK36" s="256" t="str">
        <f t="shared" si="122"/>
        <v/>
      </c>
      <c r="FL36" s="256" t="str">
        <f t="shared" si="123"/>
        <v/>
      </c>
      <c r="FM36" s="256" t="str">
        <f t="shared" si="124"/>
        <v/>
      </c>
      <c r="FN36" s="256" t="str">
        <f>IF(OR(C36="TC",C36=""),"",IF(OR(FJ36="PASS",FJ36="FAIL"),IF(EC36="",SUM(FB36:FF36),SUM(LARGE(FB36:FG36,{1,2,3,4,5}))),""))</f>
        <v/>
      </c>
      <c r="FO36" s="256" t="str">
        <f>IF(AND(FN36="",FK36="PASSED AFTER COMPARTMENT"),IF(EC36="",SUM(FB36:FF36),SUM(LARGE(FB36:FG36,{1,2,3,4,5}))),FN36)</f>
        <v/>
      </c>
      <c r="FP36" s="256" t="str">
        <f t="shared" si="125"/>
        <v/>
      </c>
      <c r="FQ36" s="256" t="str">
        <f t="shared" si="126"/>
        <v/>
      </c>
      <c r="FR36" s="256" t="str">
        <f t="shared" si="127"/>
        <v/>
      </c>
      <c r="FS36" s="256" t="str">
        <f t="shared" si="128"/>
        <v/>
      </c>
      <c r="FT36" s="108" t="str">
        <f t="shared" si="129"/>
        <v/>
      </c>
      <c r="FU36" s="256" t="str">
        <f t="shared" si="130"/>
        <v/>
      </c>
      <c r="FV36" s="109" t="str">
        <f>IF(ATTENDANCE!Q37="","",ATTENDANCE!Q37)</f>
        <v/>
      </c>
      <c r="FW36" s="110" t="str">
        <f t="shared" si="131"/>
        <v/>
      </c>
      <c r="FX36" s="110" t="str">
        <f t="shared" si="132"/>
        <v/>
      </c>
      <c r="FY36" s="365" t="str">
        <f t="shared" si="133"/>
        <v/>
      </c>
      <c r="FZ36" s="108" t="str">
        <f t="shared" si="134"/>
        <v/>
      </c>
      <c r="GA36" s="256" t="str">
        <f>IF(ATTENDANCE!Q37="","",ATTENDANCE!Q37)</f>
        <v/>
      </c>
      <c r="GB36" s="108" t="str">
        <f>IF(ATTENDANCE!Q37="","",ATTENDANCE!$Q37)</f>
        <v/>
      </c>
      <c r="GC36" s="108" t="s">
        <v>232</v>
      </c>
      <c r="GD36" s="60"/>
    </row>
    <row r="37" spans="1:186" ht="15" customHeight="1" x14ac:dyDescent="0.25">
      <c r="A37" s="60"/>
      <c r="B37" s="96">
        <f>IF(DATA!B35="","",DATA!B35)</f>
        <v>31</v>
      </c>
      <c r="C37" s="96" t="str">
        <f>IF(DATA!C35="","",DATA!C35)</f>
        <v/>
      </c>
      <c r="D37" s="96" t="str">
        <f>IF(DATA!D35="","",DATA!D35)</f>
        <v/>
      </c>
      <c r="E37" s="303" t="str">
        <f>IF(DATA!E35="","",DATA!E35)</f>
        <v/>
      </c>
      <c r="F37" s="303" t="str">
        <f>IF(DATA!F35="","",DATA!F35)</f>
        <v/>
      </c>
      <c r="G37" s="303" t="str">
        <f>IF(DATA!G35="","",DATA!G35)</f>
        <v/>
      </c>
      <c r="H37" s="98" t="str">
        <f>IF(DATA!H35="","",DATA!H35)</f>
        <v/>
      </c>
      <c r="I37" s="97" t="str">
        <f>IF(DATA!I35="","",DATA!I35)</f>
        <v/>
      </c>
      <c r="J37" s="97" t="str">
        <f>IF(DATA!J35="","",DATA!J35)</f>
        <v/>
      </c>
      <c r="K37" s="97" t="str">
        <f>IF(DATA!K35="","",DATA!K35)</f>
        <v/>
      </c>
      <c r="L37" s="99" t="str">
        <f>IF(ENGLISH!E37="","",ENGLISH!E37)</f>
        <v/>
      </c>
      <c r="M37" s="100" t="str">
        <f t="shared" si="46"/>
        <v/>
      </c>
      <c r="N37" s="99" t="str">
        <f>IF(ENGLISH!F37="","",ENGLISH!F37)</f>
        <v/>
      </c>
      <c r="O37" s="100" t="str">
        <f t="shared" si="47"/>
        <v/>
      </c>
      <c r="P37" s="99" t="str">
        <f>IF(ENGLISH!G37="","",ENGLISH!G37)</f>
        <v/>
      </c>
      <c r="Q37" s="99" t="str">
        <f t="shared" si="48"/>
        <v/>
      </c>
      <c r="R37" s="100" t="str">
        <f>IFERROR(LARGE((M37,O37,Q37),1),"")</f>
        <v/>
      </c>
      <c r="S37" s="100" t="str">
        <f>IFERROR(LARGE((M37,O37,Q37),2),"")</f>
        <v/>
      </c>
      <c r="T37" s="99" t="str">
        <f t="shared" si="49"/>
        <v/>
      </c>
      <c r="U37" s="100" t="str">
        <f>IF(ENGLISH!H37="","",ENGLISH!H37)</f>
        <v/>
      </c>
      <c r="V37" s="99" t="str">
        <f>IF(ENGLISH!I37="","",ENGLISH!I37)</f>
        <v/>
      </c>
      <c r="W37" s="99" t="str">
        <f>IF(ENGLISH!J37="","",ENGLISH!J37)</f>
        <v/>
      </c>
      <c r="X37" s="99" t="str">
        <f t="shared" si="50"/>
        <v/>
      </c>
      <c r="Y37" s="100" t="str">
        <f>IF(ENGLISH!K37="","",ENGLISH!K37)</f>
        <v/>
      </c>
      <c r="Z37" s="100" t="str">
        <f t="shared" si="51"/>
        <v/>
      </c>
      <c r="AA37" s="101" t="str">
        <f t="shared" si="52"/>
        <v/>
      </c>
      <c r="AB37" s="99" t="str">
        <f t="shared" si="15"/>
        <v/>
      </c>
      <c r="AC37" s="99" t="str">
        <f>IF(ENGLISH!O37="","",ENGLISH!O37)</f>
        <v/>
      </c>
      <c r="AD37" s="99" t="str">
        <f t="shared" si="53"/>
        <v/>
      </c>
      <c r="AE37" s="99" t="str">
        <f t="shared" si="54"/>
        <v/>
      </c>
      <c r="AF37" s="99" t="str">
        <f t="shared" si="55"/>
        <v/>
      </c>
      <c r="AG37" s="102" t="str">
        <f>IF(C37="","",VLOOKUP(C37,'HINDI-SKT'!$D$7:$E$51,2,0))</f>
        <v/>
      </c>
      <c r="AH37" s="102" t="str">
        <f>IF('HINDI-SKT'!F37="","",'HINDI-SKT'!F37)</f>
        <v/>
      </c>
      <c r="AI37" s="103" t="str">
        <f t="shared" si="16"/>
        <v/>
      </c>
      <c r="AJ37" s="102" t="str">
        <f>IF('HINDI-SKT'!G37="","",'HINDI-SKT'!G37)</f>
        <v/>
      </c>
      <c r="AK37" s="103" t="str">
        <f t="shared" si="17"/>
        <v/>
      </c>
      <c r="AL37" s="102" t="str">
        <f>IF('HINDI-SKT'!H37="","",'HINDI-SKT'!H37)</f>
        <v/>
      </c>
      <c r="AM37" s="102" t="str">
        <f t="shared" si="18"/>
        <v/>
      </c>
      <c r="AN37" s="103" t="str">
        <f>IFERROR(LARGE((AI37,AK37,AM37),1),"")</f>
        <v/>
      </c>
      <c r="AO37" s="103" t="str">
        <f>IFERROR(LARGE((AI37,AK37,AM37),2),"")</f>
        <v/>
      </c>
      <c r="AP37" s="102" t="str">
        <f t="shared" si="19"/>
        <v/>
      </c>
      <c r="AQ37" s="103" t="str">
        <f>IF('HINDI-SKT'!I37="","",'HINDI-SKT'!I37)</f>
        <v/>
      </c>
      <c r="AR37" s="102" t="str">
        <f>IF('HINDI-SKT'!J37="","",'HINDI-SKT'!J37)</f>
        <v/>
      </c>
      <c r="AS37" s="102" t="str">
        <f>IF('HINDI-SKT'!K37="","",'HINDI-SKT'!K37)</f>
        <v/>
      </c>
      <c r="AT37" s="102" t="str">
        <f t="shared" si="56"/>
        <v/>
      </c>
      <c r="AU37" s="102" t="str">
        <f>IF('HINDI-SKT'!L37="","",'HINDI-SKT'!L37)</f>
        <v/>
      </c>
      <c r="AV37" s="103" t="str">
        <f t="shared" si="57"/>
        <v/>
      </c>
      <c r="AW37" s="102" t="str">
        <f t="shared" si="58"/>
        <v/>
      </c>
      <c r="AX37" s="102" t="str">
        <f t="shared" si="59"/>
        <v/>
      </c>
      <c r="AY37" s="102" t="str">
        <f>IF('HINDI-SKT'!P37="","",'HINDI-SKT'!P37)</f>
        <v/>
      </c>
      <c r="AZ37" s="102" t="str">
        <f t="shared" si="60"/>
        <v/>
      </c>
      <c r="BA37" s="102" t="str">
        <f t="shared" si="61"/>
        <v/>
      </c>
      <c r="BB37" s="102" t="str">
        <f t="shared" si="62"/>
        <v/>
      </c>
      <c r="BC37" s="99" t="str">
        <f>IF(MATHS!E37="","",MATHS!E37)</f>
        <v/>
      </c>
      <c r="BD37" s="100" t="str">
        <f t="shared" si="22"/>
        <v/>
      </c>
      <c r="BE37" s="99" t="str">
        <f>IF(MATHS!F37="","",MATHS!F37)</f>
        <v/>
      </c>
      <c r="BF37" s="100" t="str">
        <f t="shared" si="23"/>
        <v/>
      </c>
      <c r="BG37" s="99" t="str">
        <f>IF(MATHS!G37="","",MATHS!G37)</f>
        <v/>
      </c>
      <c r="BH37" s="99" t="str">
        <f t="shared" si="24"/>
        <v/>
      </c>
      <c r="BI37" s="100" t="str">
        <f>IFERROR(LARGE((BD37,BF37,BH37),1),"")</f>
        <v/>
      </c>
      <c r="BJ37" s="100" t="str">
        <f>IFERROR(LARGE((BD37,BF37,BH37),2),"")</f>
        <v/>
      </c>
      <c r="BK37" s="99" t="str">
        <f t="shared" si="25"/>
        <v/>
      </c>
      <c r="BL37" s="100" t="str">
        <f>IF(MATHS!H37="","",MATHS!H37)</f>
        <v/>
      </c>
      <c r="BM37" s="99" t="str">
        <f>IF(MATHS!I37="","",MATHS!I37)</f>
        <v/>
      </c>
      <c r="BN37" s="99" t="str">
        <f>IF(MATHS!J37="","",MATHS!J37)</f>
        <v/>
      </c>
      <c r="BO37" s="99" t="str">
        <f t="shared" si="63"/>
        <v/>
      </c>
      <c r="BP37" s="99" t="str">
        <f>IF(MATHS!K37="","",MATHS!K37)</f>
        <v/>
      </c>
      <c r="BQ37" s="100" t="str">
        <f t="shared" si="26"/>
        <v/>
      </c>
      <c r="BR37" s="99" t="str">
        <f t="shared" si="64"/>
        <v/>
      </c>
      <c r="BS37" s="99" t="str">
        <f t="shared" si="27"/>
        <v/>
      </c>
      <c r="BT37" s="99" t="str">
        <f>IF(MATHS!O37="","",MATHS!O37)</f>
        <v/>
      </c>
      <c r="BU37" s="99" t="str">
        <f t="shared" si="65"/>
        <v/>
      </c>
      <c r="BV37" s="99" t="str">
        <f t="shared" si="66"/>
        <v/>
      </c>
      <c r="BW37" s="102" t="str">
        <f t="shared" si="67"/>
        <v/>
      </c>
      <c r="BX37" s="102" t="str">
        <f>IF(SCIENCE!E37="","",SCIENCE!E37)</f>
        <v/>
      </c>
      <c r="BY37" s="103" t="str">
        <f t="shared" si="28"/>
        <v/>
      </c>
      <c r="BZ37" s="102" t="str">
        <f>IF(SCIENCE!F37="","",SCIENCE!F37)</f>
        <v/>
      </c>
      <c r="CA37" s="103" t="str">
        <f t="shared" si="29"/>
        <v/>
      </c>
      <c r="CB37" s="102" t="str">
        <f>IF(SCIENCE!G37="","",SCIENCE!G37)</f>
        <v/>
      </c>
      <c r="CC37" s="102" t="str">
        <f t="shared" si="30"/>
        <v/>
      </c>
      <c r="CD37" s="103" t="str">
        <f>IFERROR(LARGE((BY37,CA37,CC37),1),"")</f>
        <v/>
      </c>
      <c r="CE37" s="103" t="str">
        <f>IFERROR(LARGE((BY37,CA37,CC37),2),"")</f>
        <v/>
      </c>
      <c r="CF37" s="102" t="str">
        <f t="shared" si="31"/>
        <v/>
      </c>
      <c r="CG37" s="103" t="str">
        <f>IF(SCIENCE!H37="","",SCIENCE!H37)</f>
        <v/>
      </c>
      <c r="CH37" s="103" t="str">
        <f>IF(SCIENCE!I37="","",SCIENCE!I37)</f>
        <v/>
      </c>
      <c r="CI37" s="103" t="str">
        <f>IF(SCIENCE!J37="","",SCIENCE!J37)</f>
        <v/>
      </c>
      <c r="CJ37" s="103" t="str">
        <f t="shared" si="68"/>
        <v/>
      </c>
      <c r="CK37" s="103" t="str">
        <f>IF(SCIENCE!K37="","",SCIENCE!K37)</f>
        <v/>
      </c>
      <c r="CL37" s="103" t="str">
        <f t="shared" si="32"/>
        <v/>
      </c>
      <c r="CM37" s="102" t="str">
        <f t="shared" si="69"/>
        <v/>
      </c>
      <c r="CN37" s="102" t="str">
        <f t="shared" si="33"/>
        <v/>
      </c>
      <c r="CO37" s="102" t="str">
        <f>IF(SCIENCE!O37="","",SCIENCE!O37)</f>
        <v/>
      </c>
      <c r="CP37" s="102" t="str">
        <f t="shared" si="70"/>
        <v/>
      </c>
      <c r="CQ37" s="102" t="str">
        <f t="shared" si="71"/>
        <v/>
      </c>
      <c r="CR37" s="102" t="str">
        <f t="shared" si="72"/>
        <v/>
      </c>
      <c r="CS37" s="99" t="str">
        <f>IF(SST!E37="","",SST!E37)</f>
        <v/>
      </c>
      <c r="CT37" s="100" t="str">
        <f t="shared" si="34"/>
        <v/>
      </c>
      <c r="CU37" s="99" t="str">
        <f>IF(SST!F37="","",SST!F37)</f>
        <v/>
      </c>
      <c r="CV37" s="100" t="str">
        <f t="shared" si="35"/>
        <v/>
      </c>
      <c r="CW37" s="99" t="str">
        <f>IF(SST!G37="","",SST!G37)</f>
        <v/>
      </c>
      <c r="CX37" s="99" t="str">
        <f t="shared" si="36"/>
        <v/>
      </c>
      <c r="CY37" s="100" t="str">
        <f>IFERROR(LARGE((CT37,CV37,CX37),1),"")</f>
        <v/>
      </c>
      <c r="CZ37" s="100" t="str">
        <f>IFERROR(LARGE((CT37,CV37,CX37),2),"")</f>
        <v/>
      </c>
      <c r="DA37" s="99" t="str">
        <f t="shared" si="37"/>
        <v/>
      </c>
      <c r="DB37" s="100" t="str">
        <f>IF(SST!H37="","",SST!H37)</f>
        <v/>
      </c>
      <c r="DC37" s="100" t="str">
        <f>IF(SST!I37="","",SST!I37)</f>
        <v/>
      </c>
      <c r="DD37" s="100" t="str">
        <f>IF(SST!J37="","",SST!J37)</f>
        <v/>
      </c>
      <c r="DE37" s="100" t="str">
        <f t="shared" si="73"/>
        <v/>
      </c>
      <c r="DF37" s="100" t="str">
        <f>IF(SST!K37="","",SST!K37)</f>
        <v/>
      </c>
      <c r="DG37" s="100" t="str">
        <f t="shared" si="74"/>
        <v/>
      </c>
      <c r="DH37" s="99" t="str">
        <f t="shared" si="75"/>
        <v/>
      </c>
      <c r="DI37" s="99" t="str">
        <f t="shared" si="38"/>
        <v/>
      </c>
      <c r="DJ37" s="99" t="str">
        <f>IF(SST!O37="","",SST!O37)</f>
        <v/>
      </c>
      <c r="DK37" s="99" t="str">
        <f t="shared" si="76"/>
        <v/>
      </c>
      <c r="DL37" s="99" t="str">
        <f t="shared" si="77"/>
        <v/>
      </c>
      <c r="DM37" s="99" t="str">
        <f t="shared" si="78"/>
        <v/>
      </c>
      <c r="DN37" s="99"/>
      <c r="DO37" s="102" t="str">
        <f>IF(C37="","",IF(VLOOKUP(C37,VOCATIONAL!$D$7:$E$51,2,0)="","",VLOOKUP(C37,VOCATIONAL!$D$7:$E$51,2,0)))</f>
        <v/>
      </c>
      <c r="DP37" s="102" t="str">
        <f>IF(VOCATIONAL!F37="","",VOCATIONAL!F37)</f>
        <v/>
      </c>
      <c r="DQ37" s="102" t="str">
        <f>IF(VOCATIONAL!G37="","",VOCATIONAL!G37)</f>
        <v/>
      </c>
      <c r="DR37" s="102" t="str">
        <f t="shared" si="79"/>
        <v/>
      </c>
      <c r="DS37" s="102" t="str">
        <f t="shared" si="80"/>
        <v/>
      </c>
      <c r="DT37" s="102" t="str">
        <f>IF(VOCATIONAL!K37="","",VOCATIONAL!K37)</f>
        <v/>
      </c>
      <c r="DU37" s="102" t="str">
        <f t="shared" si="81"/>
        <v/>
      </c>
      <c r="DV37" s="102" t="str">
        <f t="shared" si="82"/>
        <v/>
      </c>
      <c r="DW37" s="99"/>
      <c r="DX37" s="104" t="str">
        <f t="shared" si="83"/>
        <v/>
      </c>
      <c r="DY37" s="104" t="str">
        <f t="shared" si="84"/>
        <v/>
      </c>
      <c r="DZ37" s="104" t="str">
        <f t="shared" si="85"/>
        <v/>
      </c>
      <c r="EA37" s="104" t="str">
        <f t="shared" si="86"/>
        <v/>
      </c>
      <c r="EB37" s="104" t="str">
        <f t="shared" si="87"/>
        <v/>
      </c>
      <c r="EC37" s="104" t="str">
        <f t="shared" si="88"/>
        <v/>
      </c>
      <c r="ED37" s="104" t="str">
        <f t="shared" si="89"/>
        <v/>
      </c>
      <c r="EE37" s="104" t="str">
        <f t="shared" si="90"/>
        <v/>
      </c>
      <c r="EF37" s="104" t="str">
        <f t="shared" si="91"/>
        <v/>
      </c>
      <c r="EG37" s="104" t="str">
        <f t="shared" si="92"/>
        <v/>
      </c>
      <c r="EH37" s="104" t="str">
        <f t="shared" si="93"/>
        <v/>
      </c>
      <c r="EI37" s="104" t="str">
        <f t="shared" si="94"/>
        <v/>
      </c>
      <c r="EJ37" s="105" t="str">
        <f t="shared" si="95"/>
        <v/>
      </c>
      <c r="EK37" s="105" t="str">
        <f t="shared" si="96"/>
        <v/>
      </c>
      <c r="EL37" s="105" t="str">
        <f t="shared" si="97"/>
        <v/>
      </c>
      <c r="EM37" s="105" t="str">
        <f t="shared" si="98"/>
        <v/>
      </c>
      <c r="EN37" s="105" t="str">
        <f t="shared" si="99"/>
        <v/>
      </c>
      <c r="EO37" s="363" t="str">
        <f t="shared" si="100"/>
        <v/>
      </c>
      <c r="EP37" s="106" t="str">
        <f t="shared" si="101"/>
        <v/>
      </c>
      <c r="EQ37" s="106" t="str">
        <f t="shared" si="102"/>
        <v/>
      </c>
      <c r="ER37" s="106" t="str">
        <f t="shared" si="103"/>
        <v/>
      </c>
      <c r="ES37" s="106" t="str">
        <f t="shared" si="104"/>
        <v/>
      </c>
      <c r="ET37" s="106" t="str">
        <f t="shared" si="105"/>
        <v/>
      </c>
      <c r="EU37" s="106" t="str">
        <f t="shared" si="106"/>
        <v/>
      </c>
      <c r="EV37" s="92" t="str">
        <f t="shared" si="107"/>
        <v/>
      </c>
      <c r="EW37" s="92" t="str">
        <f t="shared" si="108"/>
        <v/>
      </c>
      <c r="EX37" s="92" t="str">
        <f t="shared" si="109"/>
        <v/>
      </c>
      <c r="EY37" s="92" t="str">
        <f t="shared" si="110"/>
        <v/>
      </c>
      <c r="EZ37" s="92" t="str">
        <f t="shared" si="111"/>
        <v/>
      </c>
      <c r="FA37" s="92" t="str">
        <f t="shared" si="112"/>
        <v/>
      </c>
      <c r="FB37" s="93" t="str">
        <f t="shared" si="113"/>
        <v/>
      </c>
      <c r="FC37" s="93" t="str">
        <f t="shared" si="114"/>
        <v/>
      </c>
      <c r="FD37" s="93" t="str">
        <f t="shared" si="115"/>
        <v/>
      </c>
      <c r="FE37" s="93" t="str">
        <f t="shared" si="116"/>
        <v/>
      </c>
      <c r="FF37" s="93" t="str">
        <f t="shared" si="117"/>
        <v/>
      </c>
      <c r="FG37" s="93" t="str">
        <f t="shared" si="118"/>
        <v/>
      </c>
      <c r="FH37" s="107" t="str">
        <f t="shared" si="119"/>
        <v/>
      </c>
      <c r="FI37" s="107" t="str">
        <f t="shared" si="120"/>
        <v/>
      </c>
      <c r="FJ37" s="256" t="str">
        <f t="shared" si="121"/>
        <v/>
      </c>
      <c r="FK37" s="256" t="str">
        <f t="shared" si="122"/>
        <v/>
      </c>
      <c r="FL37" s="256" t="str">
        <f t="shared" si="123"/>
        <v/>
      </c>
      <c r="FM37" s="256" t="str">
        <f t="shared" si="124"/>
        <v/>
      </c>
      <c r="FN37" s="256" t="str">
        <f>IF(OR(C37="TC",C37=""),"",IF(OR(FJ37="PASS",FJ37="FAIL"),IF(EC37="",SUM(FB37:FF37),SUM(LARGE(FB37:FG37,{1,2,3,4,5}))),""))</f>
        <v/>
      </c>
      <c r="FO37" s="256" t="str">
        <f>IF(AND(FN37="",FK37="PASSED AFTER COMPARTMENT"),IF(EC37="",SUM(FB37:FF37),SUM(LARGE(FB37:FG37,{1,2,3,4,5}))),FN37)</f>
        <v/>
      </c>
      <c r="FP37" s="256" t="str">
        <f t="shared" si="125"/>
        <v/>
      </c>
      <c r="FQ37" s="256" t="str">
        <f t="shared" si="126"/>
        <v/>
      </c>
      <c r="FR37" s="256" t="str">
        <f t="shared" si="127"/>
        <v/>
      </c>
      <c r="FS37" s="256" t="str">
        <f t="shared" si="128"/>
        <v/>
      </c>
      <c r="FT37" s="108" t="str">
        <f t="shared" si="129"/>
        <v/>
      </c>
      <c r="FU37" s="256" t="str">
        <f t="shared" si="130"/>
        <v/>
      </c>
      <c r="FV37" s="109" t="str">
        <f>IF(ATTENDANCE!Q38="","",ATTENDANCE!Q38)</f>
        <v/>
      </c>
      <c r="FW37" s="110" t="str">
        <f t="shared" si="131"/>
        <v/>
      </c>
      <c r="FX37" s="110" t="str">
        <f t="shared" si="132"/>
        <v/>
      </c>
      <c r="FY37" s="365" t="str">
        <f t="shared" si="133"/>
        <v/>
      </c>
      <c r="FZ37" s="108" t="str">
        <f t="shared" si="134"/>
        <v/>
      </c>
      <c r="GA37" s="256" t="str">
        <f>IF(ATTENDANCE!Q38="","",ATTENDANCE!Q38)</f>
        <v/>
      </c>
      <c r="GB37" s="108" t="str">
        <f>IF(ATTENDANCE!Q38="","",ATTENDANCE!$Q38)</f>
        <v/>
      </c>
      <c r="GC37" s="108"/>
      <c r="GD37" s="60"/>
    </row>
    <row r="38" spans="1:186" ht="15" customHeight="1" x14ac:dyDescent="0.25">
      <c r="A38" s="60"/>
      <c r="B38" s="96">
        <f>IF(DATA!B36="","",DATA!B36)</f>
        <v>32</v>
      </c>
      <c r="C38" s="96" t="str">
        <f>IF(DATA!C36="","",DATA!C36)</f>
        <v/>
      </c>
      <c r="D38" s="96" t="str">
        <f>IF(DATA!D36="","",DATA!D36)</f>
        <v/>
      </c>
      <c r="E38" s="303" t="str">
        <f>IF(DATA!E36="","",DATA!E36)</f>
        <v/>
      </c>
      <c r="F38" s="303" t="str">
        <f>IF(DATA!F36="","",DATA!F36)</f>
        <v/>
      </c>
      <c r="G38" s="303" t="str">
        <f>IF(DATA!G36="","",DATA!G36)</f>
        <v/>
      </c>
      <c r="H38" s="98" t="str">
        <f>IF(DATA!H36="","",DATA!H36)</f>
        <v/>
      </c>
      <c r="I38" s="97" t="str">
        <f>IF(DATA!I36="","",DATA!I36)</f>
        <v/>
      </c>
      <c r="J38" s="97" t="str">
        <f>IF(DATA!J36="","",DATA!J36)</f>
        <v/>
      </c>
      <c r="K38" s="97" t="str">
        <f>IF(DATA!K36="","",DATA!K36)</f>
        <v/>
      </c>
      <c r="L38" s="99" t="str">
        <f>IF(ENGLISH!E38="","",ENGLISH!E38)</f>
        <v/>
      </c>
      <c r="M38" s="100" t="str">
        <f t="shared" si="46"/>
        <v/>
      </c>
      <c r="N38" s="99" t="str">
        <f>IF(ENGLISH!F38="","",ENGLISH!F38)</f>
        <v/>
      </c>
      <c r="O38" s="100" t="str">
        <f t="shared" si="47"/>
        <v/>
      </c>
      <c r="P38" s="99" t="str">
        <f>IF(ENGLISH!G38="","",ENGLISH!G38)</f>
        <v/>
      </c>
      <c r="Q38" s="99" t="str">
        <f t="shared" si="48"/>
        <v/>
      </c>
      <c r="R38" s="100" t="str">
        <f>IFERROR(LARGE((M38,O38,Q38),1),"")</f>
        <v/>
      </c>
      <c r="S38" s="100" t="str">
        <f>IFERROR(LARGE((M38,O38,Q38),2),"")</f>
        <v/>
      </c>
      <c r="T38" s="99" t="str">
        <f t="shared" si="49"/>
        <v/>
      </c>
      <c r="U38" s="100" t="str">
        <f>IF(ENGLISH!H38="","",ENGLISH!H38)</f>
        <v/>
      </c>
      <c r="V38" s="99" t="str">
        <f>IF(ENGLISH!I38="","",ENGLISH!I38)</f>
        <v/>
      </c>
      <c r="W38" s="99" t="str">
        <f>IF(ENGLISH!J38="","",ENGLISH!J38)</f>
        <v/>
      </c>
      <c r="X38" s="99" t="str">
        <f t="shared" si="50"/>
        <v/>
      </c>
      <c r="Y38" s="100" t="str">
        <f>IF(ENGLISH!K38="","",ENGLISH!K38)</f>
        <v/>
      </c>
      <c r="Z38" s="100" t="str">
        <f t="shared" si="51"/>
        <v/>
      </c>
      <c r="AA38" s="101" t="str">
        <f t="shared" si="52"/>
        <v/>
      </c>
      <c r="AB38" s="99" t="str">
        <f t="shared" si="15"/>
        <v/>
      </c>
      <c r="AC38" s="99" t="str">
        <f>IF(ENGLISH!O38="","",ENGLISH!O38)</f>
        <v/>
      </c>
      <c r="AD38" s="99" t="str">
        <f t="shared" si="53"/>
        <v/>
      </c>
      <c r="AE38" s="99" t="str">
        <f t="shared" si="54"/>
        <v/>
      </c>
      <c r="AF38" s="99" t="str">
        <f t="shared" si="55"/>
        <v/>
      </c>
      <c r="AG38" s="102" t="str">
        <f>IF(C38="","",VLOOKUP(C38,'HINDI-SKT'!$D$7:$E$51,2,0))</f>
        <v/>
      </c>
      <c r="AH38" s="102" t="str">
        <f>IF('HINDI-SKT'!F38="","",'HINDI-SKT'!F38)</f>
        <v/>
      </c>
      <c r="AI38" s="103" t="str">
        <f t="shared" si="16"/>
        <v/>
      </c>
      <c r="AJ38" s="102" t="str">
        <f>IF('HINDI-SKT'!G38="","",'HINDI-SKT'!G38)</f>
        <v/>
      </c>
      <c r="AK38" s="103" t="str">
        <f t="shared" si="17"/>
        <v/>
      </c>
      <c r="AL38" s="102" t="str">
        <f>IF('HINDI-SKT'!H38="","",'HINDI-SKT'!H38)</f>
        <v/>
      </c>
      <c r="AM38" s="102" t="str">
        <f t="shared" si="18"/>
        <v/>
      </c>
      <c r="AN38" s="103" t="str">
        <f>IFERROR(LARGE((AI38,AK38,AM38),1),"")</f>
        <v/>
      </c>
      <c r="AO38" s="103" t="str">
        <f>IFERROR(LARGE((AI38,AK38,AM38),2),"")</f>
        <v/>
      </c>
      <c r="AP38" s="102" t="str">
        <f t="shared" si="19"/>
        <v/>
      </c>
      <c r="AQ38" s="103" t="str">
        <f>IF('HINDI-SKT'!I38="","",'HINDI-SKT'!I38)</f>
        <v/>
      </c>
      <c r="AR38" s="102" t="str">
        <f>IF('HINDI-SKT'!J38="","",'HINDI-SKT'!J38)</f>
        <v/>
      </c>
      <c r="AS38" s="102" t="str">
        <f>IF('HINDI-SKT'!K38="","",'HINDI-SKT'!K38)</f>
        <v/>
      </c>
      <c r="AT38" s="102" t="str">
        <f t="shared" si="56"/>
        <v/>
      </c>
      <c r="AU38" s="102" t="str">
        <f>IF('HINDI-SKT'!L38="","",'HINDI-SKT'!L38)</f>
        <v/>
      </c>
      <c r="AV38" s="103" t="str">
        <f t="shared" si="57"/>
        <v/>
      </c>
      <c r="AW38" s="102" t="str">
        <f t="shared" si="58"/>
        <v/>
      </c>
      <c r="AX38" s="102" t="str">
        <f t="shared" si="59"/>
        <v/>
      </c>
      <c r="AY38" s="102" t="str">
        <f>IF('HINDI-SKT'!P38="","",'HINDI-SKT'!P38)</f>
        <v/>
      </c>
      <c r="AZ38" s="102" t="str">
        <f t="shared" si="60"/>
        <v/>
      </c>
      <c r="BA38" s="102" t="str">
        <f t="shared" si="61"/>
        <v/>
      </c>
      <c r="BB38" s="102" t="str">
        <f t="shared" si="62"/>
        <v/>
      </c>
      <c r="BC38" s="99" t="str">
        <f>IF(MATHS!E38="","",MATHS!E38)</f>
        <v/>
      </c>
      <c r="BD38" s="100" t="str">
        <f t="shared" si="22"/>
        <v/>
      </c>
      <c r="BE38" s="99" t="str">
        <f>IF(MATHS!F38="","",MATHS!F38)</f>
        <v/>
      </c>
      <c r="BF38" s="100" t="str">
        <f t="shared" si="23"/>
        <v/>
      </c>
      <c r="BG38" s="99" t="str">
        <f>IF(MATHS!G38="","",MATHS!G38)</f>
        <v/>
      </c>
      <c r="BH38" s="99" t="str">
        <f t="shared" si="24"/>
        <v/>
      </c>
      <c r="BI38" s="100" t="str">
        <f>IFERROR(LARGE((BD38,BF38,BH38),1),"")</f>
        <v/>
      </c>
      <c r="BJ38" s="100" t="str">
        <f>IFERROR(LARGE((BD38,BF38,BH38),2),"")</f>
        <v/>
      </c>
      <c r="BK38" s="99" t="str">
        <f t="shared" si="25"/>
        <v/>
      </c>
      <c r="BL38" s="100" t="str">
        <f>IF(MATHS!H38="","",MATHS!H38)</f>
        <v/>
      </c>
      <c r="BM38" s="99" t="str">
        <f>IF(MATHS!I38="","",MATHS!I38)</f>
        <v/>
      </c>
      <c r="BN38" s="99" t="str">
        <f>IF(MATHS!J38="","",MATHS!J38)</f>
        <v/>
      </c>
      <c r="BO38" s="99" t="str">
        <f t="shared" si="63"/>
        <v/>
      </c>
      <c r="BP38" s="99" t="str">
        <f>IF(MATHS!K38="","",MATHS!K38)</f>
        <v/>
      </c>
      <c r="BQ38" s="100" t="str">
        <f t="shared" si="26"/>
        <v/>
      </c>
      <c r="BR38" s="99" t="str">
        <f t="shared" si="64"/>
        <v/>
      </c>
      <c r="BS38" s="99" t="str">
        <f t="shared" si="27"/>
        <v/>
      </c>
      <c r="BT38" s="99" t="str">
        <f>IF(MATHS!O38="","",MATHS!O38)</f>
        <v/>
      </c>
      <c r="BU38" s="99" t="str">
        <f t="shared" si="65"/>
        <v/>
      </c>
      <c r="BV38" s="99" t="str">
        <f t="shared" si="66"/>
        <v/>
      </c>
      <c r="BW38" s="99"/>
      <c r="BX38" s="102" t="str">
        <f>IF(SCIENCE!E38="","",SCIENCE!E38)</f>
        <v/>
      </c>
      <c r="BY38" s="103" t="str">
        <f t="shared" si="28"/>
        <v/>
      </c>
      <c r="BZ38" s="102" t="str">
        <f>IF(SCIENCE!F38="","",SCIENCE!F38)</f>
        <v/>
      </c>
      <c r="CA38" s="103" t="str">
        <f t="shared" si="29"/>
        <v/>
      </c>
      <c r="CB38" s="102" t="str">
        <f>IF(SCIENCE!G38="","",SCIENCE!G38)</f>
        <v/>
      </c>
      <c r="CC38" s="102" t="str">
        <f t="shared" si="30"/>
        <v/>
      </c>
      <c r="CD38" s="103" t="str">
        <f>IFERROR(LARGE((BY38,CA38,CC38),1),"")</f>
        <v/>
      </c>
      <c r="CE38" s="103" t="str">
        <f>IFERROR(LARGE((BY38,CA38,CC38),2),"")</f>
        <v/>
      </c>
      <c r="CF38" s="102" t="str">
        <f t="shared" si="31"/>
        <v/>
      </c>
      <c r="CG38" s="103" t="str">
        <f>IF(SCIENCE!H38="","",SCIENCE!H38)</f>
        <v/>
      </c>
      <c r="CH38" s="103" t="str">
        <f>IF(SCIENCE!I38="","",SCIENCE!I38)</f>
        <v/>
      </c>
      <c r="CI38" s="103" t="str">
        <f>IF(SCIENCE!J38="","",SCIENCE!J38)</f>
        <v/>
      </c>
      <c r="CJ38" s="103" t="str">
        <f t="shared" si="68"/>
        <v/>
      </c>
      <c r="CK38" s="103" t="str">
        <f>IF(SCIENCE!K38="","",SCIENCE!K38)</f>
        <v/>
      </c>
      <c r="CL38" s="103" t="str">
        <f t="shared" si="32"/>
        <v/>
      </c>
      <c r="CM38" s="102" t="str">
        <f t="shared" si="69"/>
        <v/>
      </c>
      <c r="CN38" s="102" t="str">
        <f t="shared" si="33"/>
        <v/>
      </c>
      <c r="CO38" s="102" t="str">
        <f>IF(SCIENCE!O38="","",SCIENCE!O38)</f>
        <v/>
      </c>
      <c r="CP38" s="102" t="str">
        <f t="shared" si="70"/>
        <v/>
      </c>
      <c r="CQ38" s="102" t="str">
        <f t="shared" si="71"/>
        <v/>
      </c>
      <c r="CR38" s="102" t="str">
        <f t="shared" si="72"/>
        <v/>
      </c>
      <c r="CS38" s="99" t="str">
        <f>IF(SST!E38="","",SST!E38)</f>
        <v/>
      </c>
      <c r="CT38" s="100" t="str">
        <f t="shared" si="34"/>
        <v/>
      </c>
      <c r="CU38" s="99" t="str">
        <f>IF(SST!F38="","",SST!F38)</f>
        <v/>
      </c>
      <c r="CV38" s="100" t="str">
        <f t="shared" si="35"/>
        <v/>
      </c>
      <c r="CW38" s="99" t="str">
        <f>IF(SST!G38="","",SST!G38)</f>
        <v/>
      </c>
      <c r="CX38" s="99" t="str">
        <f t="shared" si="36"/>
        <v/>
      </c>
      <c r="CY38" s="100" t="str">
        <f>IFERROR(LARGE((CT38,CV38,CX38),1),"")</f>
        <v/>
      </c>
      <c r="CZ38" s="100" t="str">
        <f>IFERROR(LARGE((CT38,CV38,CX38),2),"")</f>
        <v/>
      </c>
      <c r="DA38" s="99" t="str">
        <f t="shared" si="37"/>
        <v/>
      </c>
      <c r="DB38" s="100" t="str">
        <f>IF(SST!H38="","",SST!H38)</f>
        <v/>
      </c>
      <c r="DC38" s="100" t="str">
        <f>IF(SST!I38="","",SST!I38)</f>
        <v/>
      </c>
      <c r="DD38" s="100" t="str">
        <f>IF(SST!J38="","",SST!J38)</f>
        <v/>
      </c>
      <c r="DE38" s="100" t="str">
        <f t="shared" si="73"/>
        <v/>
      </c>
      <c r="DF38" s="100" t="str">
        <f>IF(SST!K38="","",SST!K38)</f>
        <v/>
      </c>
      <c r="DG38" s="100" t="str">
        <f t="shared" si="74"/>
        <v/>
      </c>
      <c r="DH38" s="99" t="str">
        <f t="shared" si="75"/>
        <v/>
      </c>
      <c r="DI38" s="99" t="str">
        <f t="shared" si="38"/>
        <v/>
      </c>
      <c r="DJ38" s="99" t="str">
        <f>IF(SST!O38="","",SST!O38)</f>
        <v/>
      </c>
      <c r="DK38" s="99" t="str">
        <f t="shared" si="76"/>
        <v/>
      </c>
      <c r="DL38" s="99" t="str">
        <f t="shared" si="77"/>
        <v/>
      </c>
      <c r="DM38" s="99" t="str">
        <f t="shared" si="78"/>
        <v/>
      </c>
      <c r="DN38" s="99"/>
      <c r="DO38" s="102" t="str">
        <f>IF(C38="","",IF(VLOOKUP(C38,VOCATIONAL!$D$7:$E$51,2,0)="","",VLOOKUP(C38,VOCATIONAL!$D$7:$E$51,2,0)))</f>
        <v/>
      </c>
      <c r="DP38" s="102" t="str">
        <f>IF(VOCATIONAL!F38="","",VOCATIONAL!F38)</f>
        <v/>
      </c>
      <c r="DQ38" s="102" t="str">
        <f>IF(VOCATIONAL!G38="","",VOCATIONAL!G38)</f>
        <v/>
      </c>
      <c r="DR38" s="102" t="str">
        <f t="shared" si="79"/>
        <v/>
      </c>
      <c r="DS38" s="102" t="str">
        <f t="shared" si="80"/>
        <v/>
      </c>
      <c r="DT38" s="102" t="str">
        <f>IF(VOCATIONAL!K38="","",VOCATIONAL!K38)</f>
        <v/>
      </c>
      <c r="DU38" s="102" t="str">
        <f t="shared" si="81"/>
        <v/>
      </c>
      <c r="DV38" s="102" t="str">
        <f t="shared" si="82"/>
        <v/>
      </c>
      <c r="DW38" s="99"/>
      <c r="DX38" s="104" t="str">
        <f t="shared" si="83"/>
        <v/>
      </c>
      <c r="DY38" s="104" t="str">
        <f t="shared" si="84"/>
        <v/>
      </c>
      <c r="DZ38" s="104" t="str">
        <f t="shared" si="85"/>
        <v/>
      </c>
      <c r="EA38" s="104" t="str">
        <f t="shared" si="86"/>
        <v/>
      </c>
      <c r="EB38" s="104" t="str">
        <f t="shared" si="87"/>
        <v/>
      </c>
      <c r="EC38" s="104" t="str">
        <f t="shared" si="88"/>
        <v/>
      </c>
      <c r="ED38" s="104" t="str">
        <f t="shared" si="89"/>
        <v/>
      </c>
      <c r="EE38" s="104" t="str">
        <f t="shared" si="90"/>
        <v/>
      </c>
      <c r="EF38" s="104" t="str">
        <f t="shared" si="91"/>
        <v/>
      </c>
      <c r="EG38" s="104" t="str">
        <f t="shared" si="92"/>
        <v/>
      </c>
      <c r="EH38" s="104" t="str">
        <f t="shared" si="93"/>
        <v/>
      </c>
      <c r="EI38" s="104" t="str">
        <f t="shared" si="94"/>
        <v/>
      </c>
      <c r="EJ38" s="105" t="str">
        <f t="shared" si="95"/>
        <v/>
      </c>
      <c r="EK38" s="105" t="str">
        <f t="shared" si="96"/>
        <v/>
      </c>
      <c r="EL38" s="105" t="str">
        <f t="shared" si="97"/>
        <v/>
      </c>
      <c r="EM38" s="105" t="str">
        <f t="shared" si="98"/>
        <v/>
      </c>
      <c r="EN38" s="105" t="str">
        <f t="shared" si="99"/>
        <v/>
      </c>
      <c r="EO38" s="363" t="str">
        <f t="shared" si="100"/>
        <v/>
      </c>
      <c r="EP38" s="106" t="str">
        <f t="shared" si="101"/>
        <v/>
      </c>
      <c r="EQ38" s="106" t="str">
        <f t="shared" si="102"/>
        <v/>
      </c>
      <c r="ER38" s="106" t="str">
        <f t="shared" si="103"/>
        <v/>
      </c>
      <c r="ES38" s="106" t="str">
        <f t="shared" si="104"/>
        <v/>
      </c>
      <c r="ET38" s="106" t="str">
        <f t="shared" si="105"/>
        <v/>
      </c>
      <c r="EU38" s="106" t="str">
        <f t="shared" si="106"/>
        <v/>
      </c>
      <c r="EV38" s="92" t="str">
        <f t="shared" si="107"/>
        <v/>
      </c>
      <c r="EW38" s="92" t="str">
        <f t="shared" si="108"/>
        <v/>
      </c>
      <c r="EX38" s="92" t="str">
        <f t="shared" si="109"/>
        <v/>
      </c>
      <c r="EY38" s="92" t="str">
        <f t="shared" si="110"/>
        <v/>
      </c>
      <c r="EZ38" s="92" t="str">
        <f t="shared" si="111"/>
        <v/>
      </c>
      <c r="FA38" s="92" t="str">
        <f t="shared" si="112"/>
        <v/>
      </c>
      <c r="FB38" s="93" t="str">
        <f t="shared" si="113"/>
        <v/>
      </c>
      <c r="FC38" s="93" t="str">
        <f t="shared" si="114"/>
        <v/>
      </c>
      <c r="FD38" s="93" t="str">
        <f t="shared" si="115"/>
        <v/>
      </c>
      <c r="FE38" s="93" t="str">
        <f t="shared" si="116"/>
        <v/>
      </c>
      <c r="FF38" s="93" t="str">
        <f t="shared" si="117"/>
        <v/>
      </c>
      <c r="FG38" s="93" t="str">
        <f t="shared" si="118"/>
        <v/>
      </c>
      <c r="FH38" s="107" t="str">
        <f t="shared" si="119"/>
        <v/>
      </c>
      <c r="FI38" s="107" t="str">
        <f t="shared" si="120"/>
        <v/>
      </c>
      <c r="FJ38" s="256" t="str">
        <f t="shared" si="121"/>
        <v/>
      </c>
      <c r="FK38" s="256" t="str">
        <f t="shared" si="122"/>
        <v/>
      </c>
      <c r="FL38" s="256" t="str">
        <f t="shared" si="123"/>
        <v/>
      </c>
      <c r="FM38" s="256" t="str">
        <f t="shared" si="124"/>
        <v/>
      </c>
      <c r="FN38" s="256" t="str">
        <f>IF(OR(C38="TC",C38=""),"",IF(OR(FJ38="PASS",FJ38="FAIL"),IF(EC38="",SUM(FB38:FF38),SUM(LARGE(FB38:FG38,{1,2,3,4,5}))),""))</f>
        <v/>
      </c>
      <c r="FO38" s="256" t="str">
        <f>IF(AND(FN38="",FK38="PASSED AFTER COMPARTMENT"),IF(EC38="",SUM(FB38:FF38),SUM(LARGE(FB38:FG38,{1,2,3,4,5}))),FN38)</f>
        <v/>
      </c>
      <c r="FP38" s="256" t="str">
        <f t="shared" si="125"/>
        <v/>
      </c>
      <c r="FQ38" s="256" t="str">
        <f t="shared" si="126"/>
        <v/>
      </c>
      <c r="FR38" s="256" t="str">
        <f t="shared" si="127"/>
        <v/>
      </c>
      <c r="FS38" s="256" t="str">
        <f t="shared" si="128"/>
        <v/>
      </c>
      <c r="FT38" s="108" t="str">
        <f t="shared" si="129"/>
        <v/>
      </c>
      <c r="FU38" s="256" t="str">
        <f t="shared" si="130"/>
        <v/>
      </c>
      <c r="FV38" s="109" t="str">
        <f>IF(ATTENDANCE!Q39="","",ATTENDANCE!Q39)</f>
        <v/>
      </c>
      <c r="FW38" s="110" t="str">
        <f t="shared" si="131"/>
        <v/>
      </c>
      <c r="FX38" s="110" t="str">
        <f t="shared" si="132"/>
        <v/>
      </c>
      <c r="FY38" s="365" t="str">
        <f t="shared" si="133"/>
        <v/>
      </c>
      <c r="FZ38" s="108" t="str">
        <f t="shared" si="134"/>
        <v/>
      </c>
      <c r="GA38" s="256" t="str">
        <f>IF(ATTENDANCE!Q39="","",ATTENDANCE!Q39)</f>
        <v/>
      </c>
      <c r="GB38" s="108" t="str">
        <f>IF(ATTENDANCE!Q39="","",ATTENDANCE!$Q39)</f>
        <v/>
      </c>
      <c r="GC38" s="108"/>
      <c r="GD38" s="60"/>
    </row>
    <row r="39" spans="1:186" ht="15" customHeight="1" x14ac:dyDescent="0.25">
      <c r="A39" s="60"/>
      <c r="B39" s="96">
        <f>IF(DATA!B37="","",DATA!B37)</f>
        <v>33</v>
      </c>
      <c r="C39" s="96" t="str">
        <f>IF(DATA!C37="","",DATA!C37)</f>
        <v/>
      </c>
      <c r="D39" s="96" t="str">
        <f>IF(DATA!D37="","",DATA!D37)</f>
        <v/>
      </c>
      <c r="E39" s="303" t="str">
        <f>IF(DATA!E37="","",DATA!E37)</f>
        <v/>
      </c>
      <c r="F39" s="303" t="str">
        <f>IF(DATA!F37="","",DATA!F37)</f>
        <v/>
      </c>
      <c r="G39" s="303" t="str">
        <f>IF(DATA!G37="","",DATA!G37)</f>
        <v/>
      </c>
      <c r="H39" s="98" t="str">
        <f>IF(DATA!H37="","",DATA!H37)</f>
        <v/>
      </c>
      <c r="I39" s="97" t="str">
        <f>IF(DATA!I37="","",DATA!I37)</f>
        <v/>
      </c>
      <c r="J39" s="97" t="str">
        <f>IF(DATA!J37="","",DATA!J37)</f>
        <v/>
      </c>
      <c r="K39" s="97" t="str">
        <f>IF(DATA!K37="","",DATA!K37)</f>
        <v/>
      </c>
      <c r="L39" s="99" t="str">
        <f>IF(ENGLISH!E39="","",ENGLISH!E39)</f>
        <v/>
      </c>
      <c r="M39" s="100" t="str">
        <f t="shared" si="46"/>
        <v/>
      </c>
      <c r="N39" s="99" t="str">
        <f>IF(ENGLISH!F39="","",ENGLISH!F39)</f>
        <v/>
      </c>
      <c r="O39" s="100" t="str">
        <f t="shared" si="47"/>
        <v/>
      </c>
      <c r="P39" s="99" t="str">
        <f>IF(ENGLISH!G39="","",ENGLISH!G39)</f>
        <v/>
      </c>
      <c r="Q39" s="99" t="str">
        <f t="shared" si="48"/>
        <v/>
      </c>
      <c r="R39" s="100" t="str">
        <f>IFERROR(LARGE((M39,O39,Q39),1),"")</f>
        <v/>
      </c>
      <c r="S39" s="100" t="str">
        <f>IFERROR(LARGE((M39,O39,Q39),2),"")</f>
        <v/>
      </c>
      <c r="T39" s="99" t="str">
        <f t="shared" si="49"/>
        <v/>
      </c>
      <c r="U39" s="100" t="str">
        <f>IF(ENGLISH!H39="","",ENGLISH!H39)</f>
        <v/>
      </c>
      <c r="V39" s="99" t="str">
        <f>IF(ENGLISH!I39="","",ENGLISH!I39)</f>
        <v/>
      </c>
      <c r="W39" s="99" t="str">
        <f>IF(ENGLISH!J39="","",ENGLISH!J39)</f>
        <v/>
      </c>
      <c r="X39" s="99" t="str">
        <f t="shared" si="50"/>
        <v/>
      </c>
      <c r="Y39" s="100" t="str">
        <f>IF(ENGLISH!K39="","",ENGLISH!K39)</f>
        <v/>
      </c>
      <c r="Z39" s="100" t="str">
        <f t="shared" si="51"/>
        <v/>
      </c>
      <c r="AA39" s="101" t="str">
        <f t="shared" si="52"/>
        <v/>
      </c>
      <c r="AB39" s="99" t="str">
        <f t="shared" si="15"/>
        <v/>
      </c>
      <c r="AC39" s="99" t="str">
        <f>IF(ENGLISH!O39="","",ENGLISH!O39)</f>
        <v/>
      </c>
      <c r="AD39" s="99" t="str">
        <f t="shared" si="53"/>
        <v/>
      </c>
      <c r="AE39" s="99" t="str">
        <f t="shared" si="54"/>
        <v/>
      </c>
      <c r="AF39" s="99" t="str">
        <f t="shared" si="55"/>
        <v/>
      </c>
      <c r="AG39" s="102" t="str">
        <f>IF(C39="","",VLOOKUP(C39,'HINDI-SKT'!$D$7:$E$51,2,0))</f>
        <v/>
      </c>
      <c r="AH39" s="102" t="str">
        <f>IF('HINDI-SKT'!F39="","",'HINDI-SKT'!F39)</f>
        <v/>
      </c>
      <c r="AI39" s="103" t="str">
        <f t="shared" si="16"/>
        <v/>
      </c>
      <c r="AJ39" s="102" t="str">
        <f>IF('HINDI-SKT'!G39="","",'HINDI-SKT'!G39)</f>
        <v/>
      </c>
      <c r="AK39" s="103" t="str">
        <f t="shared" si="17"/>
        <v/>
      </c>
      <c r="AL39" s="102" t="str">
        <f>IF('HINDI-SKT'!H39="","",'HINDI-SKT'!H39)</f>
        <v/>
      </c>
      <c r="AM39" s="102" t="str">
        <f t="shared" si="18"/>
        <v/>
      </c>
      <c r="AN39" s="103" t="str">
        <f>IFERROR(LARGE((AI39,AK39,AM39),1),"")</f>
        <v/>
      </c>
      <c r="AO39" s="103" t="str">
        <f>IFERROR(LARGE((AI39,AK39,AM39),2),"")</f>
        <v/>
      </c>
      <c r="AP39" s="102" t="str">
        <f t="shared" si="19"/>
        <v/>
      </c>
      <c r="AQ39" s="103" t="str">
        <f>IF('HINDI-SKT'!I39="","",'HINDI-SKT'!I39)</f>
        <v/>
      </c>
      <c r="AR39" s="102" t="str">
        <f>IF('HINDI-SKT'!J39="","",'HINDI-SKT'!J39)</f>
        <v/>
      </c>
      <c r="AS39" s="102" t="str">
        <f>IF('HINDI-SKT'!K39="","",'HINDI-SKT'!K39)</f>
        <v/>
      </c>
      <c r="AT39" s="102" t="str">
        <f t="shared" si="56"/>
        <v/>
      </c>
      <c r="AU39" s="102" t="str">
        <f>IF('HINDI-SKT'!L39="","",'HINDI-SKT'!L39)</f>
        <v/>
      </c>
      <c r="AV39" s="103" t="str">
        <f t="shared" si="57"/>
        <v/>
      </c>
      <c r="AW39" s="102" t="str">
        <f t="shared" si="58"/>
        <v/>
      </c>
      <c r="AX39" s="102" t="str">
        <f t="shared" si="59"/>
        <v/>
      </c>
      <c r="AY39" s="102" t="str">
        <f>IF('HINDI-SKT'!P39="","",'HINDI-SKT'!P39)</f>
        <v/>
      </c>
      <c r="AZ39" s="102" t="str">
        <f t="shared" si="60"/>
        <v/>
      </c>
      <c r="BA39" s="102" t="str">
        <f t="shared" si="61"/>
        <v/>
      </c>
      <c r="BB39" s="102" t="str">
        <f t="shared" si="62"/>
        <v/>
      </c>
      <c r="BC39" s="99" t="str">
        <f>IF(MATHS!E39="","",MATHS!E39)</f>
        <v/>
      </c>
      <c r="BD39" s="100" t="str">
        <f t="shared" si="22"/>
        <v/>
      </c>
      <c r="BE39" s="99" t="str">
        <f>IF(MATHS!F39="","",MATHS!F39)</f>
        <v/>
      </c>
      <c r="BF39" s="100" t="str">
        <f t="shared" si="23"/>
        <v/>
      </c>
      <c r="BG39" s="99" t="str">
        <f>IF(MATHS!G39="","",MATHS!G39)</f>
        <v/>
      </c>
      <c r="BH39" s="99" t="str">
        <f t="shared" si="24"/>
        <v/>
      </c>
      <c r="BI39" s="100" t="str">
        <f>IFERROR(LARGE((BD39,BF39,BH39),1),"")</f>
        <v/>
      </c>
      <c r="BJ39" s="100" t="str">
        <f>IFERROR(LARGE((BD39,BF39,BH39),2),"")</f>
        <v/>
      </c>
      <c r="BK39" s="99" t="str">
        <f t="shared" si="25"/>
        <v/>
      </c>
      <c r="BL39" s="100" t="str">
        <f>IF(MATHS!H39="","",MATHS!H39)</f>
        <v/>
      </c>
      <c r="BM39" s="99" t="str">
        <f>IF(MATHS!I39="","",MATHS!I39)</f>
        <v/>
      </c>
      <c r="BN39" s="99" t="str">
        <f>IF(MATHS!J39="","",MATHS!J39)</f>
        <v/>
      </c>
      <c r="BO39" s="99" t="str">
        <f t="shared" si="63"/>
        <v/>
      </c>
      <c r="BP39" s="99" t="str">
        <f>IF(MATHS!K39="","",MATHS!K39)</f>
        <v/>
      </c>
      <c r="BQ39" s="100" t="str">
        <f t="shared" si="26"/>
        <v/>
      </c>
      <c r="BR39" s="99" t="str">
        <f t="shared" si="64"/>
        <v/>
      </c>
      <c r="BS39" s="99" t="str">
        <f t="shared" si="27"/>
        <v/>
      </c>
      <c r="BT39" s="99" t="str">
        <f>IF(MATHS!O39="","",MATHS!O39)</f>
        <v/>
      </c>
      <c r="BU39" s="99" t="str">
        <f t="shared" si="65"/>
        <v/>
      </c>
      <c r="BV39" s="99" t="str">
        <f t="shared" si="66"/>
        <v/>
      </c>
      <c r="BW39" s="99"/>
      <c r="BX39" s="102" t="str">
        <f>IF(SCIENCE!E39="","",SCIENCE!E39)</f>
        <v/>
      </c>
      <c r="BY39" s="103" t="str">
        <f t="shared" si="28"/>
        <v/>
      </c>
      <c r="BZ39" s="102" t="str">
        <f>IF(SCIENCE!F39="","",SCIENCE!F39)</f>
        <v/>
      </c>
      <c r="CA39" s="103" t="str">
        <f t="shared" si="29"/>
        <v/>
      </c>
      <c r="CB39" s="102" t="str">
        <f>IF(SCIENCE!G39="","",SCIENCE!G39)</f>
        <v/>
      </c>
      <c r="CC39" s="102" t="str">
        <f t="shared" si="30"/>
        <v/>
      </c>
      <c r="CD39" s="103" t="str">
        <f>IFERROR(LARGE((BY39,CA39,CC39),1),"")</f>
        <v/>
      </c>
      <c r="CE39" s="103" t="str">
        <f>IFERROR(LARGE((BY39,CA39,CC39),2),"")</f>
        <v/>
      </c>
      <c r="CF39" s="102" t="str">
        <f t="shared" si="31"/>
        <v/>
      </c>
      <c r="CG39" s="103" t="str">
        <f>IF(SCIENCE!H39="","",SCIENCE!H39)</f>
        <v/>
      </c>
      <c r="CH39" s="103" t="str">
        <f>IF(SCIENCE!I39="","",SCIENCE!I39)</f>
        <v/>
      </c>
      <c r="CI39" s="103" t="str">
        <f>IF(SCIENCE!J39="","",SCIENCE!J39)</f>
        <v/>
      </c>
      <c r="CJ39" s="103" t="str">
        <f t="shared" si="68"/>
        <v/>
      </c>
      <c r="CK39" s="103" t="str">
        <f>IF(SCIENCE!K39="","",SCIENCE!K39)</f>
        <v/>
      </c>
      <c r="CL39" s="103" t="str">
        <f t="shared" si="32"/>
        <v/>
      </c>
      <c r="CM39" s="102" t="str">
        <f t="shared" si="69"/>
        <v/>
      </c>
      <c r="CN39" s="102" t="str">
        <f t="shared" si="33"/>
        <v/>
      </c>
      <c r="CO39" s="102" t="str">
        <f>IF(SCIENCE!O39="","",SCIENCE!O39)</f>
        <v/>
      </c>
      <c r="CP39" s="102" t="str">
        <f t="shared" si="70"/>
        <v/>
      </c>
      <c r="CQ39" s="102" t="str">
        <f t="shared" si="71"/>
        <v/>
      </c>
      <c r="CR39" s="102" t="str">
        <f t="shared" si="72"/>
        <v/>
      </c>
      <c r="CS39" s="99" t="str">
        <f>IF(SST!E39="","",SST!E39)</f>
        <v/>
      </c>
      <c r="CT39" s="100" t="str">
        <f t="shared" si="34"/>
        <v/>
      </c>
      <c r="CU39" s="99" t="str">
        <f>IF(SST!F39="","",SST!F39)</f>
        <v/>
      </c>
      <c r="CV39" s="100" t="str">
        <f t="shared" si="35"/>
        <v/>
      </c>
      <c r="CW39" s="99" t="str">
        <f>IF(SST!G39="","",SST!G39)</f>
        <v/>
      </c>
      <c r="CX39" s="99" t="str">
        <f t="shared" si="36"/>
        <v/>
      </c>
      <c r="CY39" s="100" t="str">
        <f>IFERROR(LARGE((CT39,CV39,CX39),1),"")</f>
        <v/>
      </c>
      <c r="CZ39" s="100" t="str">
        <f>IFERROR(LARGE((CT39,CV39,CX39),2),"")</f>
        <v/>
      </c>
      <c r="DA39" s="99" t="str">
        <f t="shared" si="37"/>
        <v/>
      </c>
      <c r="DB39" s="100" t="str">
        <f>IF(SST!H39="","",SST!H39)</f>
        <v/>
      </c>
      <c r="DC39" s="100" t="str">
        <f>IF(SST!I39="","",SST!I39)</f>
        <v/>
      </c>
      <c r="DD39" s="100" t="str">
        <f>IF(SST!J39="","",SST!J39)</f>
        <v/>
      </c>
      <c r="DE39" s="100" t="str">
        <f t="shared" si="73"/>
        <v/>
      </c>
      <c r="DF39" s="100" t="str">
        <f>IF(SST!K39="","",SST!K39)</f>
        <v/>
      </c>
      <c r="DG39" s="100" t="str">
        <f t="shared" si="74"/>
        <v/>
      </c>
      <c r="DH39" s="99" t="str">
        <f t="shared" si="75"/>
        <v/>
      </c>
      <c r="DI39" s="99" t="str">
        <f t="shared" si="38"/>
        <v/>
      </c>
      <c r="DJ39" s="99" t="str">
        <f>IF(SST!O39="","",SST!O39)</f>
        <v/>
      </c>
      <c r="DK39" s="99" t="str">
        <f t="shared" si="76"/>
        <v/>
      </c>
      <c r="DL39" s="99" t="str">
        <f t="shared" si="77"/>
        <v/>
      </c>
      <c r="DM39" s="99" t="str">
        <f t="shared" si="78"/>
        <v/>
      </c>
      <c r="DN39" s="99"/>
      <c r="DO39" s="102" t="str">
        <f>IF(C39="","",IF(VLOOKUP(C39,VOCATIONAL!$D$7:$E$51,2,0)="","",VLOOKUP(C39,VOCATIONAL!$D$7:$E$51,2,0)))</f>
        <v/>
      </c>
      <c r="DP39" s="102" t="str">
        <f>IF(VOCATIONAL!F39="","",VOCATIONAL!F39)</f>
        <v/>
      </c>
      <c r="DQ39" s="102" t="str">
        <f>IF(VOCATIONAL!G39="","",VOCATIONAL!G39)</f>
        <v/>
      </c>
      <c r="DR39" s="102" t="str">
        <f t="shared" si="79"/>
        <v/>
      </c>
      <c r="DS39" s="102" t="str">
        <f t="shared" si="80"/>
        <v/>
      </c>
      <c r="DT39" s="102" t="str">
        <f>IF(VOCATIONAL!K39="","",VOCATIONAL!K39)</f>
        <v/>
      </c>
      <c r="DU39" s="102" t="str">
        <f t="shared" si="81"/>
        <v/>
      </c>
      <c r="DV39" s="102" t="str">
        <f t="shared" si="82"/>
        <v/>
      </c>
      <c r="DW39" s="99"/>
      <c r="DX39" s="104" t="str">
        <f t="shared" si="83"/>
        <v/>
      </c>
      <c r="DY39" s="104" t="str">
        <f t="shared" si="84"/>
        <v/>
      </c>
      <c r="DZ39" s="104" t="str">
        <f t="shared" si="85"/>
        <v/>
      </c>
      <c r="EA39" s="104" t="str">
        <f t="shared" si="86"/>
        <v/>
      </c>
      <c r="EB39" s="104" t="str">
        <f t="shared" si="87"/>
        <v/>
      </c>
      <c r="EC39" s="104" t="str">
        <f t="shared" si="88"/>
        <v/>
      </c>
      <c r="ED39" s="104" t="str">
        <f t="shared" si="89"/>
        <v/>
      </c>
      <c r="EE39" s="104" t="str">
        <f t="shared" si="90"/>
        <v/>
      </c>
      <c r="EF39" s="104" t="str">
        <f t="shared" si="91"/>
        <v/>
      </c>
      <c r="EG39" s="104" t="str">
        <f t="shared" si="92"/>
        <v/>
      </c>
      <c r="EH39" s="104" t="str">
        <f t="shared" si="93"/>
        <v/>
      </c>
      <c r="EI39" s="104" t="str">
        <f t="shared" si="94"/>
        <v/>
      </c>
      <c r="EJ39" s="105" t="str">
        <f t="shared" si="95"/>
        <v/>
      </c>
      <c r="EK39" s="105" t="str">
        <f t="shared" si="96"/>
        <v/>
      </c>
      <c r="EL39" s="105" t="str">
        <f t="shared" si="97"/>
        <v/>
      </c>
      <c r="EM39" s="105" t="str">
        <f t="shared" si="98"/>
        <v/>
      </c>
      <c r="EN39" s="105" t="str">
        <f t="shared" si="99"/>
        <v/>
      </c>
      <c r="EO39" s="363" t="str">
        <f t="shared" si="100"/>
        <v/>
      </c>
      <c r="EP39" s="106" t="str">
        <f t="shared" si="101"/>
        <v/>
      </c>
      <c r="EQ39" s="106" t="str">
        <f t="shared" si="102"/>
        <v/>
      </c>
      <c r="ER39" s="106" t="str">
        <f t="shared" si="103"/>
        <v/>
      </c>
      <c r="ES39" s="106" t="str">
        <f t="shared" si="104"/>
        <v/>
      </c>
      <c r="ET39" s="106" t="str">
        <f t="shared" si="105"/>
        <v/>
      </c>
      <c r="EU39" s="106" t="str">
        <f t="shared" si="106"/>
        <v/>
      </c>
      <c r="EV39" s="92" t="str">
        <f t="shared" si="107"/>
        <v/>
      </c>
      <c r="EW39" s="92" t="str">
        <f t="shared" si="108"/>
        <v/>
      </c>
      <c r="EX39" s="92" t="str">
        <f t="shared" si="109"/>
        <v/>
      </c>
      <c r="EY39" s="92" t="str">
        <f t="shared" si="110"/>
        <v/>
      </c>
      <c r="EZ39" s="92" t="str">
        <f t="shared" si="111"/>
        <v/>
      </c>
      <c r="FA39" s="92" t="str">
        <f t="shared" si="112"/>
        <v/>
      </c>
      <c r="FB39" s="93" t="str">
        <f t="shared" si="113"/>
        <v/>
      </c>
      <c r="FC39" s="93" t="str">
        <f t="shared" si="114"/>
        <v/>
      </c>
      <c r="FD39" s="93" t="str">
        <f t="shared" si="115"/>
        <v/>
      </c>
      <c r="FE39" s="93" t="str">
        <f t="shared" si="116"/>
        <v/>
      </c>
      <c r="FF39" s="93" t="str">
        <f t="shared" si="117"/>
        <v/>
      </c>
      <c r="FG39" s="93" t="str">
        <f t="shared" si="118"/>
        <v/>
      </c>
      <c r="FH39" s="107" t="str">
        <f t="shared" si="119"/>
        <v/>
      </c>
      <c r="FI39" s="107" t="str">
        <f t="shared" si="120"/>
        <v/>
      </c>
      <c r="FJ39" s="256" t="str">
        <f t="shared" si="121"/>
        <v/>
      </c>
      <c r="FK39" s="256" t="str">
        <f t="shared" si="122"/>
        <v/>
      </c>
      <c r="FL39" s="256" t="str">
        <f t="shared" si="123"/>
        <v/>
      </c>
      <c r="FM39" s="256" t="str">
        <f t="shared" si="124"/>
        <v/>
      </c>
      <c r="FN39" s="256" t="str">
        <f>IF(OR(C39="TC",C39=""),"",IF(OR(FJ39="PASS",FJ39="FAIL"),IF(EC39="",SUM(FB39:FF39),SUM(LARGE(FB39:FG39,{1,2,3,4,5}))),""))</f>
        <v/>
      </c>
      <c r="FO39" s="256" t="str">
        <f>IF(AND(FN39="",FK39="PASSED AFTER COMPARTMENT"),IF(EC39="",SUM(FB39:FF39),SUM(LARGE(FB39:FG39,{1,2,3,4,5}))),FN39)</f>
        <v/>
      </c>
      <c r="FP39" s="256" t="str">
        <f t="shared" si="125"/>
        <v/>
      </c>
      <c r="FQ39" s="256" t="str">
        <f t="shared" si="126"/>
        <v/>
      </c>
      <c r="FR39" s="256" t="str">
        <f t="shared" si="127"/>
        <v/>
      </c>
      <c r="FS39" s="256" t="str">
        <f t="shared" si="128"/>
        <v/>
      </c>
      <c r="FT39" s="108" t="str">
        <f t="shared" si="129"/>
        <v/>
      </c>
      <c r="FU39" s="256" t="str">
        <f t="shared" si="130"/>
        <v/>
      </c>
      <c r="FV39" s="109" t="str">
        <f>IF(ATTENDANCE!Q40="","",ATTENDANCE!Q40)</f>
        <v/>
      </c>
      <c r="FW39" s="110" t="str">
        <f t="shared" si="131"/>
        <v/>
      </c>
      <c r="FX39" s="110" t="str">
        <f t="shared" si="132"/>
        <v/>
      </c>
      <c r="FY39" s="365" t="str">
        <f t="shared" si="133"/>
        <v/>
      </c>
      <c r="FZ39" s="108" t="str">
        <f t="shared" si="134"/>
        <v/>
      </c>
      <c r="GA39" s="256" t="str">
        <f>IF(ATTENDANCE!Q40="","",ATTENDANCE!Q40)</f>
        <v/>
      </c>
      <c r="GB39" s="108" t="str">
        <f>IF(ATTENDANCE!Q40="","",ATTENDANCE!$Q40)</f>
        <v/>
      </c>
      <c r="GC39" s="108"/>
      <c r="GD39" s="60"/>
    </row>
    <row r="40" spans="1:186" ht="15" customHeight="1" x14ac:dyDescent="0.25">
      <c r="A40" s="60"/>
      <c r="B40" s="96">
        <f>IF(DATA!B38="","",DATA!B38)</f>
        <v>34</v>
      </c>
      <c r="C40" s="96" t="str">
        <f>IF(DATA!C38="","",DATA!C38)</f>
        <v/>
      </c>
      <c r="D40" s="96" t="str">
        <f>IF(DATA!D38="","",DATA!D38)</f>
        <v/>
      </c>
      <c r="E40" s="303" t="str">
        <f>IF(DATA!E38="","",DATA!E38)</f>
        <v/>
      </c>
      <c r="F40" s="303" t="str">
        <f>IF(DATA!F38="","",DATA!F38)</f>
        <v/>
      </c>
      <c r="G40" s="314" t="str">
        <f>IF(DATA!G38="","",DATA!G38)</f>
        <v/>
      </c>
      <c r="H40" s="98" t="str">
        <f>IF(DATA!H38="","",DATA!H38)</f>
        <v/>
      </c>
      <c r="I40" s="97" t="str">
        <f>IF(DATA!I38="","",DATA!I38)</f>
        <v/>
      </c>
      <c r="J40" s="97" t="str">
        <f>IF(DATA!J38="","",DATA!J38)</f>
        <v/>
      </c>
      <c r="K40" s="97" t="str">
        <f>IF(DATA!K38="","",DATA!K38)</f>
        <v/>
      </c>
      <c r="L40" s="99" t="str">
        <f>IF(ENGLISH!E40="","",ENGLISH!E40)</f>
        <v/>
      </c>
      <c r="M40" s="100" t="str">
        <f t="shared" si="46"/>
        <v/>
      </c>
      <c r="N40" s="99" t="str">
        <f>IF(ENGLISH!F40="","",ENGLISH!F40)</f>
        <v/>
      </c>
      <c r="O40" s="100" t="str">
        <f t="shared" si="47"/>
        <v/>
      </c>
      <c r="P40" s="99" t="str">
        <f>IF(ENGLISH!G40="","",ENGLISH!G40)</f>
        <v/>
      </c>
      <c r="Q40" s="99" t="str">
        <f t="shared" si="48"/>
        <v/>
      </c>
      <c r="R40" s="100" t="str">
        <f>IFERROR(LARGE((M40,O40,Q40),1),"")</f>
        <v/>
      </c>
      <c r="S40" s="100" t="str">
        <f>IFERROR(LARGE((M40,O40,Q40),2),"")</f>
        <v/>
      </c>
      <c r="T40" s="99" t="str">
        <f t="shared" si="49"/>
        <v/>
      </c>
      <c r="U40" s="100" t="str">
        <f>IF(ENGLISH!H40="","",ENGLISH!H40)</f>
        <v/>
      </c>
      <c r="V40" s="99" t="str">
        <f>IF(ENGLISH!I40="","",ENGLISH!I40)</f>
        <v/>
      </c>
      <c r="W40" s="99" t="str">
        <f>IF(ENGLISH!J40="","",ENGLISH!J40)</f>
        <v/>
      </c>
      <c r="X40" s="99" t="str">
        <f t="shared" si="50"/>
        <v/>
      </c>
      <c r="Y40" s="100" t="str">
        <f>IF(ENGLISH!K40="","",ENGLISH!K40)</f>
        <v/>
      </c>
      <c r="Z40" s="100" t="str">
        <f t="shared" si="51"/>
        <v/>
      </c>
      <c r="AA40" s="101" t="str">
        <f t="shared" si="52"/>
        <v/>
      </c>
      <c r="AB40" s="99" t="str">
        <f t="shared" si="15"/>
        <v/>
      </c>
      <c r="AC40" s="99" t="str">
        <f>IF(ENGLISH!O40="","",ENGLISH!O40)</f>
        <v/>
      </c>
      <c r="AD40" s="99" t="str">
        <f t="shared" si="53"/>
        <v/>
      </c>
      <c r="AE40" s="99" t="str">
        <f t="shared" si="54"/>
        <v/>
      </c>
      <c r="AF40" s="99" t="str">
        <f t="shared" si="55"/>
        <v/>
      </c>
      <c r="AG40" s="102" t="str">
        <f>IF(C40="","",VLOOKUP(C40,'HINDI-SKT'!$D$7:$E$51,2,0))</f>
        <v/>
      </c>
      <c r="AH40" s="102" t="str">
        <f>IF('HINDI-SKT'!F40="","",'HINDI-SKT'!F40)</f>
        <v/>
      </c>
      <c r="AI40" s="103" t="str">
        <f t="shared" si="16"/>
        <v/>
      </c>
      <c r="AJ40" s="102" t="str">
        <f>IF('HINDI-SKT'!G40="","",'HINDI-SKT'!G40)</f>
        <v/>
      </c>
      <c r="AK40" s="103" t="str">
        <f t="shared" si="17"/>
        <v/>
      </c>
      <c r="AL40" s="102" t="str">
        <f>IF('HINDI-SKT'!H40="","",'HINDI-SKT'!H40)</f>
        <v/>
      </c>
      <c r="AM40" s="102" t="str">
        <f t="shared" si="18"/>
        <v/>
      </c>
      <c r="AN40" s="103" t="str">
        <f>IFERROR(LARGE((AI40,AK40,AM40),1),"")</f>
        <v/>
      </c>
      <c r="AO40" s="103" t="str">
        <f>IFERROR(LARGE((AI40,AK40,AM40),2),"")</f>
        <v/>
      </c>
      <c r="AP40" s="102" t="str">
        <f t="shared" si="19"/>
        <v/>
      </c>
      <c r="AQ40" s="103" t="str">
        <f>IF('HINDI-SKT'!I40="","",'HINDI-SKT'!I40)</f>
        <v/>
      </c>
      <c r="AR40" s="102" t="str">
        <f>IF('HINDI-SKT'!J40="","",'HINDI-SKT'!J40)</f>
        <v/>
      </c>
      <c r="AS40" s="102" t="str">
        <f>IF('HINDI-SKT'!K40="","",'HINDI-SKT'!K40)</f>
        <v/>
      </c>
      <c r="AT40" s="102" t="str">
        <f t="shared" si="56"/>
        <v/>
      </c>
      <c r="AU40" s="102" t="str">
        <f>IF('HINDI-SKT'!L40="","",'HINDI-SKT'!L40)</f>
        <v/>
      </c>
      <c r="AV40" s="103" t="str">
        <f t="shared" si="57"/>
        <v/>
      </c>
      <c r="AW40" s="102" t="str">
        <f t="shared" si="58"/>
        <v/>
      </c>
      <c r="AX40" s="102" t="str">
        <f t="shared" si="59"/>
        <v/>
      </c>
      <c r="AY40" s="102" t="str">
        <f>IF('HINDI-SKT'!P40="","",'HINDI-SKT'!P40)</f>
        <v/>
      </c>
      <c r="AZ40" s="102" t="str">
        <f t="shared" si="60"/>
        <v/>
      </c>
      <c r="BA40" s="102" t="str">
        <f t="shared" si="61"/>
        <v/>
      </c>
      <c r="BB40" s="102" t="str">
        <f t="shared" si="62"/>
        <v/>
      </c>
      <c r="BC40" s="99" t="str">
        <f>IF(MATHS!E40="","",MATHS!E40)</f>
        <v/>
      </c>
      <c r="BD40" s="100" t="str">
        <f t="shared" si="22"/>
        <v/>
      </c>
      <c r="BE40" s="99" t="str">
        <f>IF(MATHS!F40="","",MATHS!F40)</f>
        <v/>
      </c>
      <c r="BF40" s="100" t="str">
        <f t="shared" si="23"/>
        <v/>
      </c>
      <c r="BG40" s="99" t="str">
        <f>IF(MATHS!G40="","",MATHS!G40)</f>
        <v/>
      </c>
      <c r="BH40" s="99" t="str">
        <f t="shared" si="24"/>
        <v/>
      </c>
      <c r="BI40" s="100" t="str">
        <f>IFERROR(LARGE((BD40,BF40,BH40),1),"")</f>
        <v/>
      </c>
      <c r="BJ40" s="100" t="str">
        <f>IFERROR(LARGE((BD40,BF40,BH40),2),"")</f>
        <v/>
      </c>
      <c r="BK40" s="99" t="str">
        <f t="shared" si="25"/>
        <v/>
      </c>
      <c r="BL40" s="100" t="str">
        <f>IF(MATHS!H40="","",MATHS!H40)</f>
        <v/>
      </c>
      <c r="BM40" s="99" t="str">
        <f>IF(MATHS!I40="","",MATHS!I40)</f>
        <v/>
      </c>
      <c r="BN40" s="99" t="str">
        <f>IF(MATHS!J40="","",MATHS!J40)</f>
        <v/>
      </c>
      <c r="BO40" s="99" t="str">
        <f t="shared" si="63"/>
        <v/>
      </c>
      <c r="BP40" s="99" t="str">
        <f>IF(MATHS!K40="","",MATHS!K40)</f>
        <v/>
      </c>
      <c r="BQ40" s="100" t="str">
        <f t="shared" si="26"/>
        <v/>
      </c>
      <c r="BR40" s="99" t="str">
        <f t="shared" si="64"/>
        <v/>
      </c>
      <c r="BS40" s="99" t="str">
        <f t="shared" si="27"/>
        <v/>
      </c>
      <c r="BT40" s="99" t="str">
        <f>IF(MATHS!O40="","",MATHS!O40)</f>
        <v/>
      </c>
      <c r="BU40" s="99" t="str">
        <f t="shared" si="65"/>
        <v/>
      </c>
      <c r="BV40" s="99" t="str">
        <f t="shared" si="66"/>
        <v/>
      </c>
      <c r="BW40" s="99"/>
      <c r="BX40" s="102" t="str">
        <f>IF(SCIENCE!E40="","",SCIENCE!E40)</f>
        <v/>
      </c>
      <c r="BY40" s="103" t="str">
        <f t="shared" si="28"/>
        <v/>
      </c>
      <c r="BZ40" s="102" t="str">
        <f>IF(SCIENCE!F40="","",SCIENCE!F40)</f>
        <v/>
      </c>
      <c r="CA40" s="103" t="str">
        <f t="shared" si="29"/>
        <v/>
      </c>
      <c r="CB40" s="102" t="str">
        <f>IF(SCIENCE!G40="","",SCIENCE!G40)</f>
        <v/>
      </c>
      <c r="CC40" s="102" t="str">
        <f t="shared" si="30"/>
        <v/>
      </c>
      <c r="CD40" s="103" t="str">
        <f>IFERROR(LARGE((BY40,CA40,CC40),1),"")</f>
        <v/>
      </c>
      <c r="CE40" s="103" t="str">
        <f>IFERROR(LARGE((BY40,CA40,CC40),2),"")</f>
        <v/>
      </c>
      <c r="CF40" s="102" t="str">
        <f t="shared" si="31"/>
        <v/>
      </c>
      <c r="CG40" s="103" t="str">
        <f>IF(SCIENCE!H40="","",SCIENCE!H40)</f>
        <v/>
      </c>
      <c r="CH40" s="103" t="str">
        <f>IF(SCIENCE!I40="","",SCIENCE!I40)</f>
        <v/>
      </c>
      <c r="CI40" s="103" t="str">
        <f>IF(SCIENCE!J40="","",SCIENCE!J40)</f>
        <v/>
      </c>
      <c r="CJ40" s="103" t="str">
        <f t="shared" si="68"/>
        <v/>
      </c>
      <c r="CK40" s="103" t="str">
        <f>IF(SCIENCE!K40="","",SCIENCE!K40)</f>
        <v/>
      </c>
      <c r="CL40" s="103" t="str">
        <f t="shared" si="32"/>
        <v/>
      </c>
      <c r="CM40" s="102" t="str">
        <f t="shared" si="69"/>
        <v/>
      </c>
      <c r="CN40" s="102" t="str">
        <f t="shared" si="33"/>
        <v/>
      </c>
      <c r="CO40" s="102" t="str">
        <f>IF(SCIENCE!O40="","",SCIENCE!O40)</f>
        <v/>
      </c>
      <c r="CP40" s="102" t="str">
        <f t="shared" si="70"/>
        <v/>
      </c>
      <c r="CQ40" s="102" t="str">
        <f t="shared" si="71"/>
        <v/>
      </c>
      <c r="CR40" s="102" t="str">
        <f t="shared" si="72"/>
        <v/>
      </c>
      <c r="CS40" s="99" t="str">
        <f>IF(SST!E40="","",SST!E40)</f>
        <v/>
      </c>
      <c r="CT40" s="100" t="str">
        <f t="shared" si="34"/>
        <v/>
      </c>
      <c r="CU40" s="99" t="str">
        <f>IF(SST!F40="","",SST!F40)</f>
        <v/>
      </c>
      <c r="CV40" s="100" t="str">
        <f t="shared" si="35"/>
        <v/>
      </c>
      <c r="CW40" s="99" t="str">
        <f>IF(SST!G40="","",SST!G40)</f>
        <v/>
      </c>
      <c r="CX40" s="99" t="str">
        <f t="shared" si="36"/>
        <v/>
      </c>
      <c r="CY40" s="100" t="str">
        <f>IFERROR(LARGE((CT40,CV40,CX40),1),"")</f>
        <v/>
      </c>
      <c r="CZ40" s="100" t="str">
        <f>IFERROR(LARGE((CT40,CV40,CX40),2),"")</f>
        <v/>
      </c>
      <c r="DA40" s="99" t="str">
        <f t="shared" si="37"/>
        <v/>
      </c>
      <c r="DB40" s="100" t="str">
        <f>IF(SST!H40="","",SST!H40)</f>
        <v/>
      </c>
      <c r="DC40" s="100" t="str">
        <f>IF(SST!I40="","",SST!I40)</f>
        <v/>
      </c>
      <c r="DD40" s="100" t="str">
        <f>IF(SST!J40="","",SST!J40)</f>
        <v/>
      </c>
      <c r="DE40" s="100" t="str">
        <f t="shared" si="73"/>
        <v/>
      </c>
      <c r="DF40" s="100" t="str">
        <f>IF(SST!K40="","",SST!K40)</f>
        <v/>
      </c>
      <c r="DG40" s="100" t="str">
        <f t="shared" si="74"/>
        <v/>
      </c>
      <c r="DH40" s="99" t="str">
        <f t="shared" si="75"/>
        <v/>
      </c>
      <c r="DI40" s="99" t="str">
        <f t="shared" si="38"/>
        <v/>
      </c>
      <c r="DJ40" s="99" t="str">
        <f>IF(SST!O40="","",SST!O40)</f>
        <v/>
      </c>
      <c r="DK40" s="99" t="str">
        <f t="shared" si="76"/>
        <v/>
      </c>
      <c r="DL40" s="99" t="str">
        <f t="shared" si="77"/>
        <v/>
      </c>
      <c r="DM40" s="99" t="str">
        <f t="shared" si="78"/>
        <v/>
      </c>
      <c r="DN40" s="99"/>
      <c r="DO40" s="102" t="str">
        <f>IF(C40="","",IF(VLOOKUP(C40,VOCATIONAL!$D$7:$E$51,2,0)="","",VLOOKUP(C40,VOCATIONAL!$D$7:$E$51,2,0)))</f>
        <v/>
      </c>
      <c r="DP40" s="102" t="str">
        <f>IF(VOCATIONAL!F40="","",VOCATIONAL!F40)</f>
        <v/>
      </c>
      <c r="DQ40" s="102" t="str">
        <f>IF(VOCATIONAL!G40="","",VOCATIONAL!G40)</f>
        <v/>
      </c>
      <c r="DR40" s="102" t="str">
        <f t="shared" si="79"/>
        <v/>
      </c>
      <c r="DS40" s="102" t="str">
        <f t="shared" si="80"/>
        <v/>
      </c>
      <c r="DT40" s="102" t="str">
        <f>IF(VOCATIONAL!K40="","",VOCATIONAL!K40)</f>
        <v/>
      </c>
      <c r="DU40" s="102" t="str">
        <f t="shared" si="81"/>
        <v/>
      </c>
      <c r="DV40" s="102" t="str">
        <f t="shared" si="82"/>
        <v/>
      </c>
      <c r="DW40" s="99"/>
      <c r="DX40" s="104" t="str">
        <f t="shared" si="83"/>
        <v/>
      </c>
      <c r="DY40" s="104" t="str">
        <f t="shared" si="84"/>
        <v/>
      </c>
      <c r="DZ40" s="104" t="str">
        <f t="shared" si="85"/>
        <v/>
      </c>
      <c r="EA40" s="104" t="str">
        <f t="shared" si="86"/>
        <v/>
      </c>
      <c r="EB40" s="104" t="str">
        <f t="shared" si="87"/>
        <v/>
      </c>
      <c r="EC40" s="104" t="str">
        <f t="shared" si="88"/>
        <v/>
      </c>
      <c r="ED40" s="104" t="str">
        <f t="shared" si="89"/>
        <v/>
      </c>
      <c r="EE40" s="104" t="str">
        <f t="shared" si="90"/>
        <v/>
      </c>
      <c r="EF40" s="104" t="str">
        <f t="shared" si="91"/>
        <v/>
      </c>
      <c r="EG40" s="104" t="str">
        <f t="shared" si="92"/>
        <v/>
      </c>
      <c r="EH40" s="104" t="str">
        <f t="shared" si="93"/>
        <v/>
      </c>
      <c r="EI40" s="104" t="str">
        <f t="shared" si="94"/>
        <v/>
      </c>
      <c r="EJ40" s="105" t="str">
        <f t="shared" si="95"/>
        <v/>
      </c>
      <c r="EK40" s="105" t="str">
        <f t="shared" si="96"/>
        <v/>
      </c>
      <c r="EL40" s="105" t="str">
        <f t="shared" si="97"/>
        <v/>
      </c>
      <c r="EM40" s="105" t="str">
        <f t="shared" si="98"/>
        <v/>
      </c>
      <c r="EN40" s="105" t="str">
        <f t="shared" si="99"/>
        <v/>
      </c>
      <c r="EO40" s="363" t="str">
        <f t="shared" si="100"/>
        <v/>
      </c>
      <c r="EP40" s="106" t="str">
        <f t="shared" si="101"/>
        <v/>
      </c>
      <c r="EQ40" s="106" t="str">
        <f t="shared" si="102"/>
        <v/>
      </c>
      <c r="ER40" s="106" t="str">
        <f t="shared" si="103"/>
        <v/>
      </c>
      <c r="ES40" s="106" t="str">
        <f t="shared" si="104"/>
        <v/>
      </c>
      <c r="ET40" s="106" t="str">
        <f t="shared" si="105"/>
        <v/>
      </c>
      <c r="EU40" s="106" t="str">
        <f t="shared" si="106"/>
        <v/>
      </c>
      <c r="EV40" s="92" t="str">
        <f t="shared" si="107"/>
        <v/>
      </c>
      <c r="EW40" s="92" t="str">
        <f t="shared" si="108"/>
        <v/>
      </c>
      <c r="EX40" s="92" t="str">
        <f t="shared" si="109"/>
        <v/>
      </c>
      <c r="EY40" s="92" t="str">
        <f t="shared" si="110"/>
        <v/>
      </c>
      <c r="EZ40" s="92" t="str">
        <f t="shared" si="111"/>
        <v/>
      </c>
      <c r="FA40" s="92" t="str">
        <f t="shared" si="112"/>
        <v/>
      </c>
      <c r="FB40" s="93" t="str">
        <f t="shared" si="113"/>
        <v/>
      </c>
      <c r="FC40" s="93" t="str">
        <f t="shared" si="114"/>
        <v/>
      </c>
      <c r="FD40" s="93" t="str">
        <f t="shared" si="115"/>
        <v/>
      </c>
      <c r="FE40" s="93" t="str">
        <f t="shared" si="116"/>
        <v/>
      </c>
      <c r="FF40" s="93" t="str">
        <f t="shared" si="117"/>
        <v/>
      </c>
      <c r="FG40" s="93" t="str">
        <f t="shared" si="118"/>
        <v/>
      </c>
      <c r="FH40" s="107" t="str">
        <f t="shared" si="119"/>
        <v/>
      </c>
      <c r="FI40" s="107" t="str">
        <f t="shared" si="120"/>
        <v/>
      </c>
      <c r="FJ40" s="256" t="str">
        <f t="shared" si="121"/>
        <v/>
      </c>
      <c r="FK40" s="256" t="str">
        <f t="shared" si="122"/>
        <v/>
      </c>
      <c r="FL40" s="256" t="str">
        <f t="shared" si="123"/>
        <v/>
      </c>
      <c r="FM40" s="256" t="str">
        <f t="shared" si="124"/>
        <v/>
      </c>
      <c r="FN40" s="256" t="str">
        <f>IF(OR(C40="TC",C40=""),"",IF(OR(FJ40="PASS",FJ40="FAIL"),IF(EC40="",SUM(FB40:FF40),SUM(LARGE(FB40:FG40,{1,2,3,4,5}))),""))</f>
        <v/>
      </c>
      <c r="FO40" s="256" t="str">
        <f>IF(AND(FN40="",FK40="PASSED AFTER COMPARTMENT"),IF(EC40="",SUM(FB40:FF40),SUM(LARGE(FB40:FG40,{1,2,3,4,5}))),FN40)</f>
        <v/>
      </c>
      <c r="FP40" s="256" t="str">
        <f t="shared" si="125"/>
        <v/>
      </c>
      <c r="FQ40" s="256" t="str">
        <f t="shared" si="126"/>
        <v/>
      </c>
      <c r="FR40" s="256" t="str">
        <f t="shared" si="127"/>
        <v/>
      </c>
      <c r="FS40" s="256" t="str">
        <f t="shared" si="128"/>
        <v/>
      </c>
      <c r="FT40" s="108" t="str">
        <f t="shared" si="129"/>
        <v/>
      </c>
      <c r="FU40" s="256" t="str">
        <f t="shared" si="130"/>
        <v/>
      </c>
      <c r="FV40" s="109" t="str">
        <f>IF(ATTENDANCE!Q41="","",ATTENDANCE!Q41)</f>
        <v/>
      </c>
      <c r="FW40" s="110" t="str">
        <f t="shared" si="131"/>
        <v/>
      </c>
      <c r="FX40" s="110" t="str">
        <f t="shared" si="132"/>
        <v/>
      </c>
      <c r="FY40" s="365" t="str">
        <f t="shared" si="133"/>
        <v/>
      </c>
      <c r="FZ40" s="108" t="str">
        <f t="shared" si="134"/>
        <v/>
      </c>
      <c r="GA40" s="256" t="str">
        <f>IF(ATTENDANCE!Q41="","",ATTENDANCE!Q41)</f>
        <v/>
      </c>
      <c r="GB40" s="108" t="str">
        <f>IF(ATTENDANCE!Q41="","",ATTENDANCE!$Q41)</f>
        <v/>
      </c>
      <c r="GC40" s="108"/>
      <c r="GD40" s="60"/>
    </row>
    <row r="41" spans="1:186" ht="15" customHeight="1" x14ac:dyDescent="0.25">
      <c r="A41" s="60"/>
      <c r="B41" s="96">
        <f>IF(DATA!B39="","",DATA!B39)</f>
        <v>35</v>
      </c>
      <c r="C41" s="96" t="str">
        <f>IF(DATA!C39="","",DATA!C39)</f>
        <v/>
      </c>
      <c r="D41" s="96" t="str">
        <f>IF(DATA!D39="","",DATA!D39)</f>
        <v/>
      </c>
      <c r="E41" s="303" t="str">
        <f>IF(DATA!E39="","",DATA!E39)</f>
        <v/>
      </c>
      <c r="F41" s="303" t="str">
        <f>IF(DATA!F39="","",DATA!F39)</f>
        <v/>
      </c>
      <c r="G41" s="303" t="str">
        <f>IF(DATA!G39="","",DATA!G39)</f>
        <v/>
      </c>
      <c r="H41" s="98" t="str">
        <f>IF(DATA!H39="","",DATA!H39)</f>
        <v/>
      </c>
      <c r="I41" s="97" t="str">
        <f>IF(DATA!I39="","",DATA!I39)</f>
        <v/>
      </c>
      <c r="J41" s="97" t="str">
        <f>IF(DATA!J39="","",DATA!J39)</f>
        <v/>
      </c>
      <c r="K41" s="97" t="str">
        <f>IF(DATA!K39="","",DATA!K39)</f>
        <v/>
      </c>
      <c r="L41" s="99" t="str">
        <f>IF(ENGLISH!E41="","",ENGLISH!E41)</f>
        <v/>
      </c>
      <c r="M41" s="100" t="str">
        <f t="shared" si="46"/>
        <v/>
      </c>
      <c r="N41" s="99" t="str">
        <f>IF(ENGLISH!F41="","",ENGLISH!F41)</f>
        <v/>
      </c>
      <c r="O41" s="100" t="str">
        <f t="shared" si="47"/>
        <v/>
      </c>
      <c r="P41" s="99" t="str">
        <f>IF(ENGLISH!G41="","",ENGLISH!G41)</f>
        <v/>
      </c>
      <c r="Q41" s="99" t="str">
        <f t="shared" si="48"/>
        <v/>
      </c>
      <c r="R41" s="100" t="str">
        <f>IFERROR(LARGE((M41,O41,Q41),1),"")</f>
        <v/>
      </c>
      <c r="S41" s="100" t="str">
        <f>IFERROR(LARGE((M41,O41,Q41),2),"")</f>
        <v/>
      </c>
      <c r="T41" s="99" t="str">
        <f t="shared" si="49"/>
        <v/>
      </c>
      <c r="U41" s="100" t="str">
        <f>IF(ENGLISH!H41="","",ENGLISH!H41)</f>
        <v/>
      </c>
      <c r="V41" s="99" t="str">
        <f>IF(ENGLISH!I41="","",ENGLISH!I41)</f>
        <v/>
      </c>
      <c r="W41" s="99" t="str">
        <f>IF(ENGLISH!J41="","",ENGLISH!J41)</f>
        <v/>
      </c>
      <c r="X41" s="99" t="str">
        <f t="shared" si="50"/>
        <v/>
      </c>
      <c r="Y41" s="100" t="str">
        <f>IF(ENGLISH!K41="","",ENGLISH!K41)</f>
        <v/>
      </c>
      <c r="Z41" s="100" t="str">
        <f t="shared" si="51"/>
        <v/>
      </c>
      <c r="AA41" s="101" t="str">
        <f t="shared" si="52"/>
        <v/>
      </c>
      <c r="AB41" s="99" t="str">
        <f t="shared" si="15"/>
        <v/>
      </c>
      <c r="AC41" s="99" t="str">
        <f>IF(ENGLISH!O41="","",ENGLISH!O41)</f>
        <v/>
      </c>
      <c r="AD41" s="99" t="str">
        <f t="shared" si="53"/>
        <v/>
      </c>
      <c r="AE41" s="99" t="str">
        <f t="shared" si="54"/>
        <v/>
      </c>
      <c r="AF41" s="99" t="str">
        <f t="shared" si="55"/>
        <v/>
      </c>
      <c r="AG41" s="102" t="str">
        <f>IF(C41="","",VLOOKUP(C41,'HINDI-SKT'!$D$7:$E$51,2,0))</f>
        <v/>
      </c>
      <c r="AH41" s="102" t="str">
        <f>IF('HINDI-SKT'!F41="","",'HINDI-SKT'!F41)</f>
        <v/>
      </c>
      <c r="AI41" s="103" t="str">
        <f t="shared" si="16"/>
        <v/>
      </c>
      <c r="AJ41" s="102" t="str">
        <f>IF('HINDI-SKT'!G41="","",'HINDI-SKT'!G41)</f>
        <v/>
      </c>
      <c r="AK41" s="103" t="str">
        <f t="shared" si="17"/>
        <v/>
      </c>
      <c r="AL41" s="102" t="str">
        <f>IF('HINDI-SKT'!H41="","",'HINDI-SKT'!H41)</f>
        <v/>
      </c>
      <c r="AM41" s="102" t="str">
        <f t="shared" si="18"/>
        <v/>
      </c>
      <c r="AN41" s="103" t="str">
        <f>IFERROR(LARGE((AI41,AK41,AM41),1),"")</f>
        <v/>
      </c>
      <c r="AO41" s="103" t="str">
        <f>IFERROR(LARGE((AI41,AK41,AM41),2),"")</f>
        <v/>
      </c>
      <c r="AP41" s="102" t="str">
        <f t="shared" si="19"/>
        <v/>
      </c>
      <c r="AQ41" s="103" t="str">
        <f>IF('HINDI-SKT'!I41="","",'HINDI-SKT'!I41)</f>
        <v/>
      </c>
      <c r="AR41" s="102" t="str">
        <f>IF('HINDI-SKT'!J41="","",'HINDI-SKT'!J41)</f>
        <v/>
      </c>
      <c r="AS41" s="102" t="str">
        <f>IF('HINDI-SKT'!K41="","",'HINDI-SKT'!K41)</f>
        <v/>
      </c>
      <c r="AT41" s="102" t="str">
        <f t="shared" si="56"/>
        <v/>
      </c>
      <c r="AU41" s="102" t="str">
        <f>IF('HINDI-SKT'!L41="","",'HINDI-SKT'!L41)</f>
        <v/>
      </c>
      <c r="AV41" s="103" t="str">
        <f t="shared" si="57"/>
        <v/>
      </c>
      <c r="AW41" s="102" t="str">
        <f t="shared" si="58"/>
        <v/>
      </c>
      <c r="AX41" s="102" t="str">
        <f t="shared" si="59"/>
        <v/>
      </c>
      <c r="AY41" s="102" t="str">
        <f>IF('HINDI-SKT'!P41="","",'HINDI-SKT'!P41)</f>
        <v/>
      </c>
      <c r="AZ41" s="102" t="str">
        <f t="shared" si="60"/>
        <v/>
      </c>
      <c r="BA41" s="102" t="str">
        <f t="shared" si="61"/>
        <v/>
      </c>
      <c r="BB41" s="102" t="str">
        <f t="shared" si="62"/>
        <v/>
      </c>
      <c r="BC41" s="99" t="str">
        <f>IF(MATHS!E41="","",MATHS!E41)</f>
        <v/>
      </c>
      <c r="BD41" s="100" t="str">
        <f t="shared" si="22"/>
        <v/>
      </c>
      <c r="BE41" s="99" t="str">
        <f>IF(MATHS!F41="","",MATHS!F41)</f>
        <v/>
      </c>
      <c r="BF41" s="100" t="str">
        <f t="shared" si="23"/>
        <v/>
      </c>
      <c r="BG41" s="99" t="str">
        <f>IF(MATHS!G41="","",MATHS!G41)</f>
        <v/>
      </c>
      <c r="BH41" s="99" t="str">
        <f t="shared" si="24"/>
        <v/>
      </c>
      <c r="BI41" s="100" t="str">
        <f>IFERROR(LARGE((BD41,BF41,BH41),1),"")</f>
        <v/>
      </c>
      <c r="BJ41" s="100" t="str">
        <f>IFERROR(LARGE((BD41,BF41,BH41),2),"")</f>
        <v/>
      </c>
      <c r="BK41" s="99" t="str">
        <f t="shared" si="25"/>
        <v/>
      </c>
      <c r="BL41" s="100" t="str">
        <f>IF(MATHS!H41="","",MATHS!H41)</f>
        <v/>
      </c>
      <c r="BM41" s="99" t="str">
        <f>IF(MATHS!I41="","",MATHS!I41)</f>
        <v/>
      </c>
      <c r="BN41" s="99" t="str">
        <f>IF(MATHS!J41="","",MATHS!J41)</f>
        <v/>
      </c>
      <c r="BO41" s="99" t="str">
        <f t="shared" si="63"/>
        <v/>
      </c>
      <c r="BP41" s="99" t="str">
        <f>IF(MATHS!K41="","",MATHS!K41)</f>
        <v/>
      </c>
      <c r="BQ41" s="100" t="str">
        <f t="shared" si="26"/>
        <v/>
      </c>
      <c r="BR41" s="99" t="str">
        <f t="shared" si="64"/>
        <v/>
      </c>
      <c r="BS41" s="99" t="str">
        <f t="shared" si="27"/>
        <v/>
      </c>
      <c r="BT41" s="99" t="str">
        <f>IF(MATHS!O41="","",MATHS!O41)</f>
        <v/>
      </c>
      <c r="BU41" s="99" t="str">
        <f t="shared" si="65"/>
        <v/>
      </c>
      <c r="BV41" s="99" t="str">
        <f t="shared" si="66"/>
        <v/>
      </c>
      <c r="BW41" s="99"/>
      <c r="BX41" s="102" t="str">
        <f>IF(SCIENCE!E41="","",SCIENCE!E41)</f>
        <v/>
      </c>
      <c r="BY41" s="103" t="str">
        <f t="shared" si="28"/>
        <v/>
      </c>
      <c r="BZ41" s="102" t="str">
        <f>IF(SCIENCE!F41="","",SCIENCE!F41)</f>
        <v/>
      </c>
      <c r="CA41" s="103" t="str">
        <f t="shared" si="29"/>
        <v/>
      </c>
      <c r="CB41" s="102" t="str">
        <f>IF(SCIENCE!G41="","",SCIENCE!G41)</f>
        <v/>
      </c>
      <c r="CC41" s="102" t="str">
        <f t="shared" si="30"/>
        <v/>
      </c>
      <c r="CD41" s="103" t="str">
        <f>IFERROR(LARGE((BY41,CA41,CC41),1),"")</f>
        <v/>
      </c>
      <c r="CE41" s="103" t="str">
        <f>IFERROR(LARGE((BY41,CA41,CC41),2),"")</f>
        <v/>
      </c>
      <c r="CF41" s="102" t="str">
        <f t="shared" si="31"/>
        <v/>
      </c>
      <c r="CG41" s="103" t="str">
        <f>IF(SCIENCE!H41="","",SCIENCE!H41)</f>
        <v/>
      </c>
      <c r="CH41" s="103" t="str">
        <f>IF(SCIENCE!I41="","",SCIENCE!I41)</f>
        <v/>
      </c>
      <c r="CI41" s="103" t="str">
        <f>IF(SCIENCE!J41="","",SCIENCE!J41)</f>
        <v/>
      </c>
      <c r="CJ41" s="103" t="str">
        <f t="shared" si="68"/>
        <v/>
      </c>
      <c r="CK41" s="103" t="str">
        <f>IF(SCIENCE!K41="","",SCIENCE!K41)</f>
        <v/>
      </c>
      <c r="CL41" s="103" t="str">
        <f t="shared" si="32"/>
        <v/>
      </c>
      <c r="CM41" s="102" t="str">
        <f t="shared" si="69"/>
        <v/>
      </c>
      <c r="CN41" s="102" t="str">
        <f t="shared" si="33"/>
        <v/>
      </c>
      <c r="CO41" s="102" t="str">
        <f>IF(SCIENCE!O41="","",SCIENCE!O41)</f>
        <v/>
      </c>
      <c r="CP41" s="102" t="str">
        <f t="shared" si="70"/>
        <v/>
      </c>
      <c r="CQ41" s="102" t="str">
        <f t="shared" si="71"/>
        <v/>
      </c>
      <c r="CR41" s="102" t="str">
        <f t="shared" si="72"/>
        <v/>
      </c>
      <c r="CS41" s="99" t="str">
        <f>IF(SST!E41="","",SST!E41)</f>
        <v/>
      </c>
      <c r="CT41" s="100" t="str">
        <f t="shared" si="34"/>
        <v/>
      </c>
      <c r="CU41" s="99" t="str">
        <f>IF(SST!F41="","",SST!F41)</f>
        <v/>
      </c>
      <c r="CV41" s="100" t="str">
        <f t="shared" si="35"/>
        <v/>
      </c>
      <c r="CW41" s="99" t="str">
        <f>IF(SST!G41="","",SST!G41)</f>
        <v/>
      </c>
      <c r="CX41" s="99" t="str">
        <f t="shared" si="36"/>
        <v/>
      </c>
      <c r="CY41" s="100" t="str">
        <f>IFERROR(LARGE((CT41,CV41,CX41),1),"")</f>
        <v/>
      </c>
      <c r="CZ41" s="100" t="str">
        <f>IFERROR(LARGE((CT41,CV41,CX41),2),"")</f>
        <v/>
      </c>
      <c r="DA41" s="99" t="str">
        <f t="shared" si="37"/>
        <v/>
      </c>
      <c r="DB41" s="100" t="str">
        <f>IF(SST!H41="","",SST!H41)</f>
        <v/>
      </c>
      <c r="DC41" s="100" t="str">
        <f>IF(SST!I41="","",SST!I41)</f>
        <v/>
      </c>
      <c r="DD41" s="100" t="str">
        <f>IF(SST!J41="","",SST!J41)</f>
        <v/>
      </c>
      <c r="DE41" s="100" t="str">
        <f t="shared" si="73"/>
        <v/>
      </c>
      <c r="DF41" s="100" t="str">
        <f>IF(SST!K41="","",SST!K41)</f>
        <v/>
      </c>
      <c r="DG41" s="100" t="str">
        <f t="shared" si="74"/>
        <v/>
      </c>
      <c r="DH41" s="99" t="str">
        <f t="shared" si="75"/>
        <v/>
      </c>
      <c r="DI41" s="99" t="str">
        <f t="shared" si="38"/>
        <v/>
      </c>
      <c r="DJ41" s="99" t="str">
        <f>IF(SST!O41="","",SST!O41)</f>
        <v/>
      </c>
      <c r="DK41" s="99" t="str">
        <f t="shared" si="76"/>
        <v/>
      </c>
      <c r="DL41" s="99" t="str">
        <f t="shared" si="77"/>
        <v/>
      </c>
      <c r="DM41" s="99" t="str">
        <f t="shared" si="78"/>
        <v/>
      </c>
      <c r="DN41" s="99"/>
      <c r="DO41" s="102" t="str">
        <f>IF(C41="","",IF(VLOOKUP(C41,VOCATIONAL!$D$7:$E$51,2,0)="","",VLOOKUP(C41,VOCATIONAL!$D$7:$E$51,2,0)))</f>
        <v/>
      </c>
      <c r="DP41" s="102" t="str">
        <f>IF(VOCATIONAL!F41="","",VOCATIONAL!F41)</f>
        <v/>
      </c>
      <c r="DQ41" s="102" t="str">
        <f>IF(VOCATIONAL!G41="","",VOCATIONAL!G41)</f>
        <v/>
      </c>
      <c r="DR41" s="102" t="str">
        <f t="shared" si="79"/>
        <v/>
      </c>
      <c r="DS41" s="102" t="str">
        <f t="shared" si="80"/>
        <v/>
      </c>
      <c r="DT41" s="102" t="str">
        <f>IF(VOCATIONAL!K41="","",VOCATIONAL!K41)</f>
        <v/>
      </c>
      <c r="DU41" s="102" t="str">
        <f t="shared" si="81"/>
        <v/>
      </c>
      <c r="DV41" s="102" t="str">
        <f t="shared" si="82"/>
        <v/>
      </c>
      <c r="DW41" s="99"/>
      <c r="DX41" s="104" t="str">
        <f t="shared" si="83"/>
        <v/>
      </c>
      <c r="DY41" s="104" t="str">
        <f t="shared" si="84"/>
        <v/>
      </c>
      <c r="DZ41" s="104" t="str">
        <f t="shared" si="85"/>
        <v/>
      </c>
      <c r="EA41" s="104" t="str">
        <f t="shared" si="86"/>
        <v/>
      </c>
      <c r="EB41" s="104" t="str">
        <f t="shared" si="87"/>
        <v/>
      </c>
      <c r="EC41" s="104" t="str">
        <f t="shared" si="88"/>
        <v/>
      </c>
      <c r="ED41" s="104" t="str">
        <f t="shared" si="89"/>
        <v/>
      </c>
      <c r="EE41" s="104" t="str">
        <f t="shared" si="90"/>
        <v/>
      </c>
      <c r="EF41" s="104" t="str">
        <f t="shared" si="91"/>
        <v/>
      </c>
      <c r="EG41" s="104" t="str">
        <f t="shared" si="92"/>
        <v/>
      </c>
      <c r="EH41" s="104" t="str">
        <f t="shared" si="93"/>
        <v/>
      </c>
      <c r="EI41" s="104" t="str">
        <f t="shared" si="94"/>
        <v/>
      </c>
      <c r="EJ41" s="105" t="str">
        <f t="shared" si="95"/>
        <v/>
      </c>
      <c r="EK41" s="105" t="str">
        <f t="shared" si="96"/>
        <v/>
      </c>
      <c r="EL41" s="105" t="str">
        <f t="shared" si="97"/>
        <v/>
      </c>
      <c r="EM41" s="105" t="str">
        <f t="shared" si="98"/>
        <v/>
      </c>
      <c r="EN41" s="105" t="str">
        <f t="shared" si="99"/>
        <v/>
      </c>
      <c r="EO41" s="363" t="str">
        <f t="shared" si="100"/>
        <v/>
      </c>
      <c r="EP41" s="106" t="str">
        <f t="shared" si="101"/>
        <v/>
      </c>
      <c r="EQ41" s="106" t="str">
        <f t="shared" si="102"/>
        <v/>
      </c>
      <c r="ER41" s="106" t="str">
        <f t="shared" si="103"/>
        <v/>
      </c>
      <c r="ES41" s="106" t="str">
        <f t="shared" si="104"/>
        <v/>
      </c>
      <c r="ET41" s="106" t="str">
        <f t="shared" si="105"/>
        <v/>
      </c>
      <c r="EU41" s="106" t="str">
        <f t="shared" si="106"/>
        <v/>
      </c>
      <c r="EV41" s="92" t="str">
        <f t="shared" si="107"/>
        <v/>
      </c>
      <c r="EW41" s="92" t="str">
        <f t="shared" si="108"/>
        <v/>
      </c>
      <c r="EX41" s="92" t="str">
        <f t="shared" si="109"/>
        <v/>
      </c>
      <c r="EY41" s="92" t="str">
        <f t="shared" si="110"/>
        <v/>
      </c>
      <c r="EZ41" s="92" t="str">
        <f t="shared" si="111"/>
        <v/>
      </c>
      <c r="FA41" s="92" t="str">
        <f t="shared" si="112"/>
        <v/>
      </c>
      <c r="FB41" s="93" t="str">
        <f t="shared" si="113"/>
        <v/>
      </c>
      <c r="FC41" s="93" t="str">
        <f t="shared" si="114"/>
        <v/>
      </c>
      <c r="FD41" s="93" t="str">
        <f t="shared" si="115"/>
        <v/>
      </c>
      <c r="FE41" s="93" t="str">
        <f t="shared" si="116"/>
        <v/>
      </c>
      <c r="FF41" s="93" t="str">
        <f t="shared" si="117"/>
        <v/>
      </c>
      <c r="FG41" s="93" t="str">
        <f t="shared" si="118"/>
        <v/>
      </c>
      <c r="FH41" s="107" t="str">
        <f t="shared" si="119"/>
        <v/>
      </c>
      <c r="FI41" s="107" t="str">
        <f t="shared" si="120"/>
        <v/>
      </c>
      <c r="FJ41" s="256" t="str">
        <f t="shared" si="121"/>
        <v/>
      </c>
      <c r="FK41" s="256" t="str">
        <f t="shared" si="122"/>
        <v/>
      </c>
      <c r="FL41" s="256" t="str">
        <f t="shared" si="123"/>
        <v/>
      </c>
      <c r="FM41" s="256" t="str">
        <f t="shared" si="124"/>
        <v/>
      </c>
      <c r="FN41" s="256" t="str">
        <f>IF(OR(C41="TC",C41=""),"",IF(OR(FJ41="PASS",FJ41="FAIL"),IF(EC41="",SUM(FB41:FF41),SUM(LARGE(FB41:FG41,{1,2,3,4,5}))),""))</f>
        <v/>
      </c>
      <c r="FO41" s="256" t="str">
        <f>IF(AND(FN41="",FK41="PASSED AFTER COMPARTMENT"),IF(EC41="",SUM(FB41:FF41),SUM(LARGE(FB41:FG41,{1,2,3,4,5}))),FN41)</f>
        <v/>
      </c>
      <c r="FP41" s="256" t="str">
        <f t="shared" si="125"/>
        <v/>
      </c>
      <c r="FQ41" s="256" t="str">
        <f t="shared" si="126"/>
        <v/>
      </c>
      <c r="FR41" s="256" t="str">
        <f t="shared" si="127"/>
        <v/>
      </c>
      <c r="FS41" s="256" t="str">
        <f t="shared" si="128"/>
        <v/>
      </c>
      <c r="FT41" s="108" t="str">
        <f t="shared" si="129"/>
        <v/>
      </c>
      <c r="FU41" s="256" t="str">
        <f t="shared" si="130"/>
        <v/>
      </c>
      <c r="FV41" s="109" t="str">
        <f>IF(ATTENDANCE!Q42="","",ATTENDANCE!Q42)</f>
        <v/>
      </c>
      <c r="FW41" s="110" t="str">
        <f t="shared" si="131"/>
        <v/>
      </c>
      <c r="FX41" s="110" t="str">
        <f t="shared" si="132"/>
        <v/>
      </c>
      <c r="FY41" s="365" t="str">
        <f t="shared" si="133"/>
        <v/>
      </c>
      <c r="FZ41" s="108" t="str">
        <f t="shared" si="134"/>
        <v/>
      </c>
      <c r="GA41" s="256" t="str">
        <f>IF(ATTENDANCE!Q42="","",ATTENDANCE!Q42)</f>
        <v/>
      </c>
      <c r="GB41" s="108" t="str">
        <f>IF(ATTENDANCE!Q42="","",ATTENDANCE!$Q42)</f>
        <v/>
      </c>
      <c r="GC41" s="108"/>
      <c r="GD41" s="60"/>
    </row>
    <row r="42" spans="1:186" ht="15.75" customHeight="1" x14ac:dyDescent="0.25">
      <c r="A42" s="60"/>
      <c r="B42" s="96">
        <f>IF(DATA!B40="","",DATA!B40)</f>
        <v>36</v>
      </c>
      <c r="C42" s="96" t="str">
        <f>IF(DATA!C40="","",DATA!C40)</f>
        <v/>
      </c>
      <c r="D42" s="96" t="str">
        <f>IF(DATA!D40="","",DATA!D40)</f>
        <v/>
      </c>
      <c r="E42" s="303" t="str">
        <f>IF(DATA!E40="","",DATA!E40)</f>
        <v/>
      </c>
      <c r="F42" s="303" t="str">
        <f>IF(DATA!F40="","",DATA!F40)</f>
        <v/>
      </c>
      <c r="G42" s="303" t="str">
        <f>IF(DATA!G40="","",DATA!G40)</f>
        <v/>
      </c>
      <c r="H42" s="98" t="str">
        <f>IF(DATA!H40="","",DATA!H40)</f>
        <v/>
      </c>
      <c r="I42" s="97" t="str">
        <f>IF(DATA!I40="","",DATA!I40)</f>
        <v/>
      </c>
      <c r="J42" s="97" t="str">
        <f>IF(DATA!J40="","",DATA!J40)</f>
        <v/>
      </c>
      <c r="K42" s="97" t="str">
        <f>IF(DATA!K40="","",DATA!K40)</f>
        <v/>
      </c>
      <c r="L42" s="99" t="str">
        <f>IF(ENGLISH!E42="","",ENGLISH!E42)</f>
        <v/>
      </c>
      <c r="M42" s="100" t="str">
        <f t="shared" si="46"/>
        <v/>
      </c>
      <c r="N42" s="99" t="str">
        <f>IF(ENGLISH!F42="","",ENGLISH!F42)</f>
        <v/>
      </c>
      <c r="O42" s="100" t="str">
        <f t="shared" si="47"/>
        <v/>
      </c>
      <c r="P42" s="99" t="str">
        <f>IF(ENGLISH!G42="","",ENGLISH!G42)</f>
        <v/>
      </c>
      <c r="Q42" s="99" t="str">
        <f t="shared" si="48"/>
        <v/>
      </c>
      <c r="R42" s="100" t="str">
        <f>IFERROR(LARGE((M42,O42,Q42),1),"")</f>
        <v/>
      </c>
      <c r="S42" s="100" t="str">
        <f>IFERROR(LARGE((M42,O42,Q42),2),"")</f>
        <v/>
      </c>
      <c r="T42" s="99" t="str">
        <f t="shared" si="49"/>
        <v/>
      </c>
      <c r="U42" s="100" t="str">
        <f>IF(ENGLISH!H42="","",ENGLISH!H42)</f>
        <v/>
      </c>
      <c r="V42" s="99" t="str">
        <f>IF(ENGLISH!I42="","",ENGLISH!I42)</f>
        <v/>
      </c>
      <c r="W42" s="99" t="str">
        <f>IF(ENGLISH!J42="","",ENGLISH!J42)</f>
        <v/>
      </c>
      <c r="X42" s="99" t="str">
        <f t="shared" si="50"/>
        <v/>
      </c>
      <c r="Y42" s="100" t="str">
        <f>IF(ENGLISH!K42="","",ENGLISH!K42)</f>
        <v/>
      </c>
      <c r="Z42" s="100" t="str">
        <f t="shared" si="51"/>
        <v/>
      </c>
      <c r="AA42" s="101" t="str">
        <f t="shared" si="52"/>
        <v/>
      </c>
      <c r="AB42" s="99" t="str">
        <f t="shared" si="15"/>
        <v/>
      </c>
      <c r="AC42" s="99" t="str">
        <f>IF(ENGLISH!O42="","",ENGLISH!O42)</f>
        <v/>
      </c>
      <c r="AD42" s="99" t="str">
        <f t="shared" si="53"/>
        <v/>
      </c>
      <c r="AE42" s="99" t="str">
        <f t="shared" si="54"/>
        <v/>
      </c>
      <c r="AF42" s="99" t="str">
        <f t="shared" si="55"/>
        <v/>
      </c>
      <c r="AG42" s="102" t="str">
        <f>IF(C42="","",VLOOKUP(C42,'HINDI-SKT'!$D$7:$E$51,2,0))</f>
        <v/>
      </c>
      <c r="AH42" s="102" t="str">
        <f>IF('HINDI-SKT'!F42="","",'HINDI-SKT'!F42)</f>
        <v/>
      </c>
      <c r="AI42" s="103" t="str">
        <f t="shared" si="16"/>
        <v/>
      </c>
      <c r="AJ42" s="102" t="str">
        <f>IF('HINDI-SKT'!G42="","",'HINDI-SKT'!G42)</f>
        <v/>
      </c>
      <c r="AK42" s="103" t="str">
        <f t="shared" si="17"/>
        <v/>
      </c>
      <c r="AL42" s="102" t="str">
        <f>IF('HINDI-SKT'!H42="","",'HINDI-SKT'!H42)</f>
        <v/>
      </c>
      <c r="AM42" s="102" t="str">
        <f t="shared" si="18"/>
        <v/>
      </c>
      <c r="AN42" s="103" t="str">
        <f>IFERROR(LARGE((AI42,AK42,AM42),1),"")</f>
        <v/>
      </c>
      <c r="AO42" s="103" t="str">
        <f>IFERROR(LARGE((AI42,AK42,AM42),2),"")</f>
        <v/>
      </c>
      <c r="AP42" s="102" t="str">
        <f t="shared" si="19"/>
        <v/>
      </c>
      <c r="AQ42" s="103" t="str">
        <f>IF('HINDI-SKT'!I42="","",'HINDI-SKT'!I42)</f>
        <v/>
      </c>
      <c r="AR42" s="102" t="str">
        <f>IF('HINDI-SKT'!J42="","",'HINDI-SKT'!J42)</f>
        <v/>
      </c>
      <c r="AS42" s="102" t="str">
        <f>IF('HINDI-SKT'!K42="","",'HINDI-SKT'!K42)</f>
        <v/>
      </c>
      <c r="AT42" s="102" t="str">
        <f t="shared" si="56"/>
        <v/>
      </c>
      <c r="AU42" s="102" t="str">
        <f>IF('HINDI-SKT'!L42="","",'HINDI-SKT'!L42)</f>
        <v/>
      </c>
      <c r="AV42" s="103" t="str">
        <f t="shared" si="57"/>
        <v/>
      </c>
      <c r="AW42" s="102" t="str">
        <f t="shared" si="58"/>
        <v/>
      </c>
      <c r="AX42" s="102" t="str">
        <f t="shared" si="59"/>
        <v/>
      </c>
      <c r="AY42" s="102" t="str">
        <f>IF('HINDI-SKT'!P42="","",'HINDI-SKT'!P42)</f>
        <v/>
      </c>
      <c r="AZ42" s="102" t="str">
        <f t="shared" si="60"/>
        <v/>
      </c>
      <c r="BA42" s="102" t="str">
        <f t="shared" si="61"/>
        <v/>
      </c>
      <c r="BB42" s="102" t="str">
        <f t="shared" si="62"/>
        <v/>
      </c>
      <c r="BC42" s="99" t="str">
        <f>IF(MATHS!E42="","",MATHS!E42)</f>
        <v/>
      </c>
      <c r="BD42" s="100" t="str">
        <f t="shared" si="22"/>
        <v/>
      </c>
      <c r="BE42" s="99" t="str">
        <f>IF(MATHS!F42="","",MATHS!F42)</f>
        <v/>
      </c>
      <c r="BF42" s="100" t="str">
        <f t="shared" si="23"/>
        <v/>
      </c>
      <c r="BG42" s="99" t="str">
        <f>IF(MATHS!G42="","",MATHS!G42)</f>
        <v/>
      </c>
      <c r="BH42" s="99" t="str">
        <f t="shared" si="24"/>
        <v/>
      </c>
      <c r="BI42" s="100" t="str">
        <f>IFERROR(LARGE((BD42,BF42,BH42),1),"")</f>
        <v/>
      </c>
      <c r="BJ42" s="100" t="str">
        <f>IFERROR(LARGE((BD42,BF42,BH42),2),"")</f>
        <v/>
      </c>
      <c r="BK42" s="99" t="str">
        <f t="shared" si="25"/>
        <v/>
      </c>
      <c r="BL42" s="100" t="str">
        <f>IF(MATHS!H42="","",MATHS!H42)</f>
        <v/>
      </c>
      <c r="BM42" s="99" t="str">
        <f>IF(MATHS!I42="","",MATHS!I42)</f>
        <v/>
      </c>
      <c r="BN42" s="99" t="str">
        <f>IF(MATHS!J42="","",MATHS!J42)</f>
        <v/>
      </c>
      <c r="BO42" s="99" t="str">
        <f t="shared" si="63"/>
        <v/>
      </c>
      <c r="BP42" s="99" t="str">
        <f>IF(MATHS!K42="","",MATHS!K42)</f>
        <v/>
      </c>
      <c r="BQ42" s="100" t="str">
        <f t="shared" si="26"/>
        <v/>
      </c>
      <c r="BR42" s="99" t="str">
        <f t="shared" si="64"/>
        <v/>
      </c>
      <c r="BS42" s="99" t="str">
        <f t="shared" si="27"/>
        <v/>
      </c>
      <c r="BT42" s="99" t="str">
        <f>IF(MATHS!O42="","",MATHS!O42)</f>
        <v/>
      </c>
      <c r="BU42" s="99" t="str">
        <f t="shared" si="65"/>
        <v/>
      </c>
      <c r="BV42" s="99" t="str">
        <f t="shared" si="66"/>
        <v/>
      </c>
      <c r="BW42" s="99"/>
      <c r="BX42" s="102" t="str">
        <f>IF(SCIENCE!E42="","",SCIENCE!E42)</f>
        <v/>
      </c>
      <c r="BY42" s="103" t="str">
        <f t="shared" si="28"/>
        <v/>
      </c>
      <c r="BZ42" s="102" t="str">
        <f>IF(SCIENCE!F42="","",SCIENCE!F42)</f>
        <v/>
      </c>
      <c r="CA42" s="103" t="str">
        <f t="shared" si="29"/>
        <v/>
      </c>
      <c r="CB42" s="102" t="str">
        <f>IF(SCIENCE!G42="","",SCIENCE!G42)</f>
        <v/>
      </c>
      <c r="CC42" s="102" t="str">
        <f t="shared" si="30"/>
        <v/>
      </c>
      <c r="CD42" s="103" t="str">
        <f>IFERROR(LARGE((BY42,CA42,CC42),1),"")</f>
        <v/>
      </c>
      <c r="CE42" s="103" t="str">
        <f>IFERROR(LARGE((BY42,CA42,CC42),2),"")</f>
        <v/>
      </c>
      <c r="CF42" s="102" t="str">
        <f t="shared" si="31"/>
        <v/>
      </c>
      <c r="CG42" s="103" t="str">
        <f>IF(SCIENCE!H42="","",SCIENCE!H42)</f>
        <v/>
      </c>
      <c r="CH42" s="103" t="str">
        <f>IF(SCIENCE!I42="","",SCIENCE!I42)</f>
        <v/>
      </c>
      <c r="CI42" s="103" t="str">
        <f>IF(SCIENCE!J42="","",SCIENCE!J42)</f>
        <v/>
      </c>
      <c r="CJ42" s="103" t="str">
        <f t="shared" si="68"/>
        <v/>
      </c>
      <c r="CK42" s="103" t="str">
        <f>IF(SCIENCE!K42="","",SCIENCE!K42)</f>
        <v/>
      </c>
      <c r="CL42" s="103" t="str">
        <f t="shared" si="32"/>
        <v/>
      </c>
      <c r="CM42" s="102" t="str">
        <f t="shared" si="69"/>
        <v/>
      </c>
      <c r="CN42" s="102" t="str">
        <f t="shared" si="33"/>
        <v/>
      </c>
      <c r="CO42" s="102" t="str">
        <f>IF(SCIENCE!O42="","",SCIENCE!O42)</f>
        <v/>
      </c>
      <c r="CP42" s="102" t="str">
        <f t="shared" si="70"/>
        <v/>
      </c>
      <c r="CQ42" s="102" t="str">
        <f t="shared" si="71"/>
        <v/>
      </c>
      <c r="CR42" s="102" t="str">
        <f t="shared" si="72"/>
        <v/>
      </c>
      <c r="CS42" s="99" t="str">
        <f>IF(SST!E42="","",SST!E42)</f>
        <v/>
      </c>
      <c r="CT42" s="100" t="str">
        <f t="shared" si="34"/>
        <v/>
      </c>
      <c r="CU42" s="99" t="str">
        <f>IF(SST!F42="","",SST!F42)</f>
        <v/>
      </c>
      <c r="CV42" s="100" t="str">
        <f t="shared" si="35"/>
        <v/>
      </c>
      <c r="CW42" s="99" t="str">
        <f>IF(SST!G42="","",SST!G42)</f>
        <v/>
      </c>
      <c r="CX42" s="99" t="str">
        <f t="shared" si="36"/>
        <v/>
      </c>
      <c r="CY42" s="100" t="str">
        <f>IFERROR(LARGE((CT42,CV42,CX42),1),"")</f>
        <v/>
      </c>
      <c r="CZ42" s="100" t="str">
        <f>IFERROR(LARGE((CT42,CV42,CX42),2),"")</f>
        <v/>
      </c>
      <c r="DA42" s="99" t="str">
        <f t="shared" si="37"/>
        <v/>
      </c>
      <c r="DB42" s="100" t="str">
        <f>IF(SST!H42="","",SST!H42)</f>
        <v/>
      </c>
      <c r="DC42" s="100" t="str">
        <f>IF(SST!I42="","",SST!I42)</f>
        <v/>
      </c>
      <c r="DD42" s="100" t="str">
        <f>IF(SST!J42="","",SST!J42)</f>
        <v/>
      </c>
      <c r="DE42" s="100" t="str">
        <f t="shared" si="73"/>
        <v/>
      </c>
      <c r="DF42" s="100" t="str">
        <f>IF(SST!K42="","",SST!K42)</f>
        <v/>
      </c>
      <c r="DG42" s="100" t="str">
        <f t="shared" si="74"/>
        <v/>
      </c>
      <c r="DH42" s="99" t="str">
        <f t="shared" si="75"/>
        <v/>
      </c>
      <c r="DI42" s="99" t="str">
        <f t="shared" si="38"/>
        <v/>
      </c>
      <c r="DJ42" s="99" t="str">
        <f>IF(SST!O42="","",SST!O42)</f>
        <v/>
      </c>
      <c r="DK42" s="99" t="str">
        <f t="shared" si="76"/>
        <v/>
      </c>
      <c r="DL42" s="99" t="str">
        <f t="shared" si="77"/>
        <v/>
      </c>
      <c r="DM42" s="99" t="str">
        <f t="shared" si="78"/>
        <v/>
      </c>
      <c r="DN42" s="99"/>
      <c r="DO42" s="102" t="str">
        <f>IF(C42="","",IF(VLOOKUP(C42,VOCATIONAL!$D$7:$E$51,2,0)="","",VLOOKUP(C42,VOCATIONAL!$D$7:$E$51,2,0)))</f>
        <v/>
      </c>
      <c r="DP42" s="102" t="str">
        <f>IF(VOCATIONAL!F42="","",VOCATIONAL!F42)</f>
        <v/>
      </c>
      <c r="DQ42" s="102" t="str">
        <f>IF(VOCATIONAL!G42="","",VOCATIONAL!G42)</f>
        <v/>
      </c>
      <c r="DR42" s="102" t="str">
        <f t="shared" si="79"/>
        <v/>
      </c>
      <c r="DS42" s="102" t="str">
        <f t="shared" si="80"/>
        <v/>
      </c>
      <c r="DT42" s="102" t="str">
        <f>IF(VOCATIONAL!K42="","",VOCATIONAL!K42)</f>
        <v/>
      </c>
      <c r="DU42" s="102" t="str">
        <f t="shared" si="81"/>
        <v/>
      </c>
      <c r="DV42" s="102" t="str">
        <f t="shared" si="82"/>
        <v/>
      </c>
      <c r="DW42" s="99"/>
      <c r="DX42" s="104" t="str">
        <f t="shared" si="83"/>
        <v/>
      </c>
      <c r="DY42" s="104" t="str">
        <f t="shared" si="84"/>
        <v/>
      </c>
      <c r="DZ42" s="104" t="str">
        <f t="shared" si="85"/>
        <v/>
      </c>
      <c r="EA42" s="104" t="str">
        <f t="shared" si="86"/>
        <v/>
      </c>
      <c r="EB42" s="104" t="str">
        <f t="shared" si="87"/>
        <v/>
      </c>
      <c r="EC42" s="104" t="str">
        <f t="shared" si="88"/>
        <v/>
      </c>
      <c r="ED42" s="104" t="str">
        <f t="shared" si="89"/>
        <v/>
      </c>
      <c r="EE42" s="104" t="str">
        <f t="shared" si="90"/>
        <v/>
      </c>
      <c r="EF42" s="104" t="str">
        <f t="shared" si="91"/>
        <v/>
      </c>
      <c r="EG42" s="104" t="str">
        <f t="shared" si="92"/>
        <v/>
      </c>
      <c r="EH42" s="104" t="str">
        <f t="shared" si="93"/>
        <v/>
      </c>
      <c r="EI42" s="104" t="str">
        <f t="shared" si="94"/>
        <v/>
      </c>
      <c r="EJ42" s="105" t="str">
        <f t="shared" si="95"/>
        <v/>
      </c>
      <c r="EK42" s="105" t="str">
        <f t="shared" si="96"/>
        <v/>
      </c>
      <c r="EL42" s="105" t="str">
        <f t="shared" si="97"/>
        <v/>
      </c>
      <c r="EM42" s="105" t="str">
        <f t="shared" si="98"/>
        <v/>
      </c>
      <c r="EN42" s="105" t="str">
        <f t="shared" si="99"/>
        <v/>
      </c>
      <c r="EO42" s="363" t="str">
        <f t="shared" si="100"/>
        <v/>
      </c>
      <c r="EP42" s="106" t="str">
        <f t="shared" si="101"/>
        <v/>
      </c>
      <c r="EQ42" s="106" t="str">
        <f t="shared" si="102"/>
        <v/>
      </c>
      <c r="ER42" s="106" t="str">
        <f t="shared" si="103"/>
        <v/>
      </c>
      <c r="ES42" s="106" t="str">
        <f t="shared" si="104"/>
        <v/>
      </c>
      <c r="ET42" s="106" t="str">
        <f t="shared" si="105"/>
        <v/>
      </c>
      <c r="EU42" s="106" t="str">
        <f t="shared" si="106"/>
        <v/>
      </c>
      <c r="EV42" s="92" t="str">
        <f t="shared" si="107"/>
        <v/>
      </c>
      <c r="EW42" s="92" t="str">
        <f t="shared" si="108"/>
        <v/>
      </c>
      <c r="EX42" s="92" t="str">
        <f t="shared" si="109"/>
        <v/>
      </c>
      <c r="EY42" s="92" t="str">
        <f t="shared" si="110"/>
        <v/>
      </c>
      <c r="EZ42" s="92" t="str">
        <f t="shared" si="111"/>
        <v/>
      </c>
      <c r="FA42" s="92" t="str">
        <f t="shared" si="112"/>
        <v/>
      </c>
      <c r="FB42" s="93" t="str">
        <f t="shared" si="113"/>
        <v/>
      </c>
      <c r="FC42" s="93" t="str">
        <f t="shared" si="114"/>
        <v/>
      </c>
      <c r="FD42" s="93" t="str">
        <f t="shared" si="115"/>
        <v/>
      </c>
      <c r="FE42" s="93" t="str">
        <f t="shared" si="116"/>
        <v/>
      </c>
      <c r="FF42" s="93" t="str">
        <f t="shared" si="117"/>
        <v/>
      </c>
      <c r="FG42" s="93" t="str">
        <f t="shared" si="118"/>
        <v/>
      </c>
      <c r="FH42" s="107" t="str">
        <f t="shared" si="119"/>
        <v/>
      </c>
      <c r="FI42" s="107" t="str">
        <f t="shared" si="120"/>
        <v/>
      </c>
      <c r="FJ42" s="256" t="str">
        <f t="shared" si="121"/>
        <v/>
      </c>
      <c r="FK42" s="256" t="str">
        <f t="shared" si="122"/>
        <v/>
      </c>
      <c r="FL42" s="256" t="str">
        <f t="shared" si="123"/>
        <v/>
      </c>
      <c r="FM42" s="256" t="str">
        <f t="shared" si="124"/>
        <v/>
      </c>
      <c r="FN42" s="256" t="str">
        <f>IF(OR(C42="TC",C42=""),"",IF(OR(FJ42="PASS",FJ42="FAIL"),IF(EC42="",SUM(FB42:FF42),SUM(LARGE(FB42:FG42,{1,2,3,4,5}))),""))</f>
        <v/>
      </c>
      <c r="FO42" s="256" t="str">
        <f>IF(AND(FN42="",FK42="PASSED AFTER COMPARTMENT"),IF(EC42="",SUM(FB42:FF42),SUM(LARGE(FB42:FG42,{1,2,3,4,5}))),FN42)</f>
        <v/>
      </c>
      <c r="FP42" s="256" t="str">
        <f t="shared" si="125"/>
        <v/>
      </c>
      <c r="FQ42" s="256" t="str">
        <f t="shared" si="126"/>
        <v/>
      </c>
      <c r="FR42" s="256" t="str">
        <f t="shared" si="127"/>
        <v/>
      </c>
      <c r="FS42" s="256" t="str">
        <f t="shared" si="128"/>
        <v/>
      </c>
      <c r="FT42" s="108" t="str">
        <f t="shared" si="129"/>
        <v/>
      </c>
      <c r="FU42" s="256" t="str">
        <f t="shared" si="130"/>
        <v/>
      </c>
      <c r="FV42" s="109" t="str">
        <f>IF(ATTENDANCE!Q43="","",ATTENDANCE!Q43)</f>
        <v/>
      </c>
      <c r="FW42" s="110" t="str">
        <f t="shared" si="131"/>
        <v/>
      </c>
      <c r="FX42" s="110" t="str">
        <f t="shared" si="132"/>
        <v/>
      </c>
      <c r="FY42" s="365" t="str">
        <f t="shared" si="133"/>
        <v/>
      </c>
      <c r="FZ42" s="108" t="str">
        <f t="shared" si="134"/>
        <v/>
      </c>
      <c r="GA42" s="256" t="str">
        <f>IF(ATTENDANCE!Q43="","",ATTENDANCE!Q43)</f>
        <v/>
      </c>
      <c r="GB42" s="108" t="str">
        <f>IF(ATTENDANCE!Q43="","",ATTENDANCE!$Q43)</f>
        <v/>
      </c>
      <c r="GC42" s="108"/>
      <c r="GD42" s="60"/>
    </row>
    <row r="43" spans="1:186" ht="17.25" customHeight="1" x14ac:dyDescent="0.25">
      <c r="A43" s="60"/>
      <c r="B43" s="96">
        <f>IF(DATA!B41="","",DATA!B41)</f>
        <v>37</v>
      </c>
      <c r="C43" s="96" t="str">
        <f>IF(DATA!C41="","",DATA!C41)</f>
        <v/>
      </c>
      <c r="D43" s="96" t="str">
        <f>IF(DATA!D41="","",DATA!D41)</f>
        <v/>
      </c>
      <c r="E43" s="303" t="str">
        <f>IF(DATA!E41="","",DATA!E41)</f>
        <v/>
      </c>
      <c r="F43" s="303" t="str">
        <f>IF(DATA!F41="","",DATA!F41)</f>
        <v/>
      </c>
      <c r="G43" s="303" t="str">
        <f>IF(DATA!G41="","",DATA!G41)</f>
        <v/>
      </c>
      <c r="H43" s="98" t="str">
        <f>IF(DATA!H41="","",DATA!H41)</f>
        <v/>
      </c>
      <c r="I43" s="97" t="str">
        <f>IF(DATA!I41="","",DATA!I41)</f>
        <v/>
      </c>
      <c r="J43" s="97" t="str">
        <f>IF(DATA!J41="","",DATA!J41)</f>
        <v/>
      </c>
      <c r="K43" s="97" t="str">
        <f>IF(DATA!K41="","",DATA!K41)</f>
        <v/>
      </c>
      <c r="L43" s="99" t="str">
        <f>IF(ENGLISH!E43="","",ENGLISH!E43)</f>
        <v/>
      </c>
      <c r="M43" s="100" t="str">
        <f t="shared" si="46"/>
        <v/>
      </c>
      <c r="N43" s="99" t="str">
        <f>IF(ENGLISH!F43="","",ENGLISH!F43)</f>
        <v/>
      </c>
      <c r="O43" s="100" t="str">
        <f t="shared" si="47"/>
        <v/>
      </c>
      <c r="P43" s="99" t="str">
        <f>IF(ENGLISH!G43="","",ENGLISH!G43)</f>
        <v/>
      </c>
      <c r="Q43" s="99" t="str">
        <f t="shared" si="48"/>
        <v/>
      </c>
      <c r="R43" s="100" t="str">
        <f>IFERROR(LARGE((M43,O43,Q43),1),"")</f>
        <v/>
      </c>
      <c r="S43" s="100" t="str">
        <f>IFERROR(LARGE((M43,O43,Q43),2),"")</f>
        <v/>
      </c>
      <c r="T43" s="99" t="str">
        <f t="shared" si="49"/>
        <v/>
      </c>
      <c r="U43" s="100" t="str">
        <f>IF(ENGLISH!H43="","",ENGLISH!H43)</f>
        <v/>
      </c>
      <c r="V43" s="99" t="str">
        <f>IF(ENGLISH!I43="","",ENGLISH!I43)</f>
        <v/>
      </c>
      <c r="W43" s="99" t="str">
        <f>IF(ENGLISH!J43="","",ENGLISH!J43)</f>
        <v/>
      </c>
      <c r="X43" s="99" t="str">
        <f t="shared" si="50"/>
        <v/>
      </c>
      <c r="Y43" s="100" t="str">
        <f>IF(ENGLISH!K43="","",ENGLISH!K43)</f>
        <v/>
      </c>
      <c r="Z43" s="100" t="str">
        <f t="shared" si="51"/>
        <v/>
      </c>
      <c r="AA43" s="101" t="str">
        <f t="shared" si="52"/>
        <v/>
      </c>
      <c r="AB43" s="99" t="str">
        <f t="shared" si="15"/>
        <v/>
      </c>
      <c r="AC43" s="99" t="str">
        <f>IF(ENGLISH!O43="","",ENGLISH!O43)</f>
        <v/>
      </c>
      <c r="AD43" s="99" t="str">
        <f t="shared" si="53"/>
        <v/>
      </c>
      <c r="AE43" s="99" t="str">
        <f t="shared" si="54"/>
        <v/>
      </c>
      <c r="AF43" s="99" t="str">
        <f t="shared" si="55"/>
        <v/>
      </c>
      <c r="AG43" s="102" t="str">
        <f>IF(C43="","",VLOOKUP(C43,'HINDI-SKT'!$D$7:$E$51,2,0))</f>
        <v/>
      </c>
      <c r="AH43" s="102" t="str">
        <f>IF('HINDI-SKT'!F43="","",'HINDI-SKT'!F43)</f>
        <v/>
      </c>
      <c r="AI43" s="103" t="str">
        <f t="shared" si="16"/>
        <v/>
      </c>
      <c r="AJ43" s="102" t="str">
        <f>IF('HINDI-SKT'!G43="","",'HINDI-SKT'!G43)</f>
        <v/>
      </c>
      <c r="AK43" s="103" t="str">
        <f t="shared" si="17"/>
        <v/>
      </c>
      <c r="AL43" s="102" t="str">
        <f>IF('HINDI-SKT'!H43="","",'HINDI-SKT'!H43)</f>
        <v/>
      </c>
      <c r="AM43" s="102" t="str">
        <f t="shared" si="18"/>
        <v/>
      </c>
      <c r="AN43" s="103" t="str">
        <f>IFERROR(LARGE((AI43,AK43,AM43),1),"")</f>
        <v/>
      </c>
      <c r="AO43" s="103" t="str">
        <f>IFERROR(LARGE((AI43,AK43,AM43),2),"")</f>
        <v/>
      </c>
      <c r="AP43" s="102" t="str">
        <f t="shared" si="19"/>
        <v/>
      </c>
      <c r="AQ43" s="103" t="str">
        <f>IF('HINDI-SKT'!I43="","",'HINDI-SKT'!I43)</f>
        <v/>
      </c>
      <c r="AR43" s="102" t="str">
        <f>IF('HINDI-SKT'!J43="","",'HINDI-SKT'!J43)</f>
        <v/>
      </c>
      <c r="AS43" s="102" t="str">
        <f>IF('HINDI-SKT'!K43="","",'HINDI-SKT'!K43)</f>
        <v/>
      </c>
      <c r="AT43" s="102" t="str">
        <f t="shared" si="56"/>
        <v/>
      </c>
      <c r="AU43" s="102" t="str">
        <f>IF('HINDI-SKT'!L43="","",'HINDI-SKT'!L43)</f>
        <v/>
      </c>
      <c r="AV43" s="103" t="str">
        <f t="shared" si="57"/>
        <v/>
      </c>
      <c r="AW43" s="102" t="str">
        <f t="shared" si="58"/>
        <v/>
      </c>
      <c r="AX43" s="102" t="str">
        <f t="shared" si="59"/>
        <v/>
      </c>
      <c r="AY43" s="102" t="str">
        <f>IF('HINDI-SKT'!P43="","",'HINDI-SKT'!P43)</f>
        <v/>
      </c>
      <c r="AZ43" s="102" t="str">
        <f t="shared" si="60"/>
        <v/>
      </c>
      <c r="BA43" s="102" t="str">
        <f t="shared" si="61"/>
        <v/>
      </c>
      <c r="BB43" s="102" t="str">
        <f t="shared" si="62"/>
        <v/>
      </c>
      <c r="BC43" s="99" t="str">
        <f>IF(MATHS!E43="","",MATHS!E43)</f>
        <v/>
      </c>
      <c r="BD43" s="100" t="str">
        <f t="shared" si="22"/>
        <v/>
      </c>
      <c r="BE43" s="99" t="str">
        <f>IF(MATHS!F43="","",MATHS!F43)</f>
        <v/>
      </c>
      <c r="BF43" s="100" t="str">
        <f t="shared" si="23"/>
        <v/>
      </c>
      <c r="BG43" s="99" t="str">
        <f>IF(MATHS!G43="","",MATHS!G43)</f>
        <v/>
      </c>
      <c r="BH43" s="99" t="str">
        <f t="shared" si="24"/>
        <v/>
      </c>
      <c r="BI43" s="100" t="str">
        <f>IFERROR(LARGE((BD43,BF43,BH43),1),"")</f>
        <v/>
      </c>
      <c r="BJ43" s="100" t="str">
        <f>IFERROR(LARGE((BD43,BF43,BH43),2),"")</f>
        <v/>
      </c>
      <c r="BK43" s="99" t="str">
        <f t="shared" si="25"/>
        <v/>
      </c>
      <c r="BL43" s="100" t="str">
        <f>IF(MATHS!H43="","",MATHS!H43)</f>
        <v/>
      </c>
      <c r="BM43" s="99" t="str">
        <f>IF(MATHS!I43="","",MATHS!I43)</f>
        <v/>
      </c>
      <c r="BN43" s="99" t="str">
        <f>IF(MATHS!J43="","",MATHS!J43)</f>
        <v/>
      </c>
      <c r="BO43" s="99" t="str">
        <f t="shared" si="63"/>
        <v/>
      </c>
      <c r="BP43" s="99" t="str">
        <f>IF(MATHS!K43="","",MATHS!K43)</f>
        <v/>
      </c>
      <c r="BQ43" s="100" t="str">
        <f t="shared" si="26"/>
        <v/>
      </c>
      <c r="BR43" s="99" t="str">
        <f t="shared" si="64"/>
        <v/>
      </c>
      <c r="BS43" s="99" t="str">
        <f t="shared" si="27"/>
        <v/>
      </c>
      <c r="BT43" s="99" t="str">
        <f>IF(MATHS!O43="","",MATHS!O43)</f>
        <v/>
      </c>
      <c r="BU43" s="99" t="str">
        <f t="shared" si="65"/>
        <v/>
      </c>
      <c r="BV43" s="99" t="str">
        <f t="shared" si="66"/>
        <v/>
      </c>
      <c r="BW43" s="99"/>
      <c r="BX43" s="102" t="str">
        <f>IF(SCIENCE!E43="","",SCIENCE!E43)</f>
        <v/>
      </c>
      <c r="BY43" s="103" t="str">
        <f t="shared" si="28"/>
        <v/>
      </c>
      <c r="BZ43" s="102" t="str">
        <f>IF(SCIENCE!F43="","",SCIENCE!F43)</f>
        <v/>
      </c>
      <c r="CA43" s="103" t="str">
        <f t="shared" si="29"/>
        <v/>
      </c>
      <c r="CB43" s="102" t="str">
        <f>IF(SCIENCE!G43="","",SCIENCE!G43)</f>
        <v/>
      </c>
      <c r="CC43" s="102" t="str">
        <f t="shared" si="30"/>
        <v/>
      </c>
      <c r="CD43" s="103" t="str">
        <f>IFERROR(LARGE((BY43,CA43,CC43),1),"")</f>
        <v/>
      </c>
      <c r="CE43" s="103" t="str">
        <f>IFERROR(LARGE((BY43,CA43,CC43),2),"")</f>
        <v/>
      </c>
      <c r="CF43" s="102" t="str">
        <f t="shared" si="31"/>
        <v/>
      </c>
      <c r="CG43" s="103" t="str">
        <f>IF(SCIENCE!H43="","",SCIENCE!H43)</f>
        <v/>
      </c>
      <c r="CH43" s="103" t="str">
        <f>IF(SCIENCE!I43="","",SCIENCE!I43)</f>
        <v/>
      </c>
      <c r="CI43" s="103" t="str">
        <f>IF(SCIENCE!J43="","",SCIENCE!J43)</f>
        <v/>
      </c>
      <c r="CJ43" s="103" t="str">
        <f t="shared" si="68"/>
        <v/>
      </c>
      <c r="CK43" s="103" t="str">
        <f>IF(SCIENCE!K43="","",SCIENCE!K43)</f>
        <v/>
      </c>
      <c r="CL43" s="103" t="str">
        <f t="shared" si="32"/>
        <v/>
      </c>
      <c r="CM43" s="102" t="str">
        <f t="shared" si="69"/>
        <v/>
      </c>
      <c r="CN43" s="102" t="str">
        <f t="shared" si="33"/>
        <v/>
      </c>
      <c r="CO43" s="102" t="str">
        <f>IF(SCIENCE!O43="","",SCIENCE!O43)</f>
        <v/>
      </c>
      <c r="CP43" s="102" t="str">
        <f t="shared" si="70"/>
        <v/>
      </c>
      <c r="CQ43" s="102" t="str">
        <f t="shared" si="71"/>
        <v/>
      </c>
      <c r="CR43" s="102" t="str">
        <f t="shared" si="72"/>
        <v/>
      </c>
      <c r="CS43" s="99" t="str">
        <f>IF(SST!E43="","",SST!E43)</f>
        <v/>
      </c>
      <c r="CT43" s="100" t="str">
        <f t="shared" si="34"/>
        <v/>
      </c>
      <c r="CU43" s="99" t="str">
        <f>IF(SST!F43="","",SST!F43)</f>
        <v/>
      </c>
      <c r="CV43" s="100" t="str">
        <f t="shared" si="35"/>
        <v/>
      </c>
      <c r="CW43" s="99" t="str">
        <f>IF(SST!G43="","",SST!G43)</f>
        <v/>
      </c>
      <c r="CX43" s="99" t="str">
        <f t="shared" si="36"/>
        <v/>
      </c>
      <c r="CY43" s="100" t="str">
        <f>IFERROR(LARGE((CT43,CV43,CX43),1),"")</f>
        <v/>
      </c>
      <c r="CZ43" s="100" t="str">
        <f>IFERROR(LARGE((CT43,CV43,CX43),2),"")</f>
        <v/>
      </c>
      <c r="DA43" s="99" t="str">
        <f t="shared" si="37"/>
        <v/>
      </c>
      <c r="DB43" s="100" t="str">
        <f>IF(SST!H43="","",SST!H43)</f>
        <v/>
      </c>
      <c r="DC43" s="100" t="str">
        <f>IF(SST!I43="","",SST!I43)</f>
        <v/>
      </c>
      <c r="DD43" s="100" t="str">
        <f>IF(SST!J43="","",SST!J43)</f>
        <v/>
      </c>
      <c r="DE43" s="100" t="str">
        <f t="shared" si="73"/>
        <v/>
      </c>
      <c r="DF43" s="100" t="str">
        <f>IF(SST!K43="","",SST!K43)</f>
        <v/>
      </c>
      <c r="DG43" s="100" t="str">
        <f t="shared" si="74"/>
        <v/>
      </c>
      <c r="DH43" s="99" t="str">
        <f t="shared" si="75"/>
        <v/>
      </c>
      <c r="DI43" s="99" t="str">
        <f t="shared" si="38"/>
        <v/>
      </c>
      <c r="DJ43" s="99" t="str">
        <f>IF(SST!O43="","",SST!O43)</f>
        <v/>
      </c>
      <c r="DK43" s="99" t="str">
        <f t="shared" si="76"/>
        <v/>
      </c>
      <c r="DL43" s="99" t="str">
        <f t="shared" si="77"/>
        <v/>
      </c>
      <c r="DM43" s="99" t="str">
        <f t="shared" si="78"/>
        <v/>
      </c>
      <c r="DN43" s="99"/>
      <c r="DO43" s="102" t="str">
        <f>IF(C43="","",IF(VLOOKUP(C43,VOCATIONAL!$D$7:$E$51,2,0)="","",VLOOKUP(C43,VOCATIONAL!$D$7:$E$51,2,0)))</f>
        <v/>
      </c>
      <c r="DP43" s="102" t="str">
        <f>IF(VOCATIONAL!F43="","",VOCATIONAL!F43)</f>
        <v/>
      </c>
      <c r="DQ43" s="102" t="str">
        <f>IF(VOCATIONAL!G43="","",VOCATIONAL!G43)</f>
        <v/>
      </c>
      <c r="DR43" s="102" t="str">
        <f t="shared" si="79"/>
        <v/>
      </c>
      <c r="DS43" s="102" t="str">
        <f t="shared" si="80"/>
        <v/>
      </c>
      <c r="DT43" s="102" t="str">
        <f>IF(VOCATIONAL!K43="","",VOCATIONAL!K43)</f>
        <v/>
      </c>
      <c r="DU43" s="102" t="str">
        <f t="shared" si="81"/>
        <v/>
      </c>
      <c r="DV43" s="102" t="str">
        <f t="shared" si="82"/>
        <v/>
      </c>
      <c r="DW43" s="99"/>
      <c r="DX43" s="104" t="str">
        <f t="shared" si="83"/>
        <v/>
      </c>
      <c r="DY43" s="104" t="str">
        <f t="shared" si="84"/>
        <v/>
      </c>
      <c r="DZ43" s="104" t="str">
        <f t="shared" si="85"/>
        <v/>
      </c>
      <c r="EA43" s="104" t="str">
        <f t="shared" si="86"/>
        <v/>
      </c>
      <c r="EB43" s="104" t="str">
        <f t="shared" si="87"/>
        <v/>
      </c>
      <c r="EC43" s="104" t="str">
        <f t="shared" si="88"/>
        <v/>
      </c>
      <c r="ED43" s="104" t="str">
        <f t="shared" si="89"/>
        <v/>
      </c>
      <c r="EE43" s="104" t="str">
        <f t="shared" si="90"/>
        <v/>
      </c>
      <c r="EF43" s="104" t="str">
        <f t="shared" si="91"/>
        <v/>
      </c>
      <c r="EG43" s="104" t="str">
        <f t="shared" si="92"/>
        <v/>
      </c>
      <c r="EH43" s="104" t="str">
        <f t="shared" si="93"/>
        <v/>
      </c>
      <c r="EI43" s="104" t="str">
        <f t="shared" si="94"/>
        <v/>
      </c>
      <c r="EJ43" s="105" t="str">
        <f t="shared" si="95"/>
        <v/>
      </c>
      <c r="EK43" s="105" t="str">
        <f t="shared" si="96"/>
        <v/>
      </c>
      <c r="EL43" s="105" t="str">
        <f t="shared" si="97"/>
        <v/>
      </c>
      <c r="EM43" s="105" t="str">
        <f t="shared" si="98"/>
        <v/>
      </c>
      <c r="EN43" s="105" t="str">
        <f t="shared" si="99"/>
        <v/>
      </c>
      <c r="EO43" s="363" t="str">
        <f t="shared" si="100"/>
        <v/>
      </c>
      <c r="EP43" s="106" t="str">
        <f t="shared" si="101"/>
        <v/>
      </c>
      <c r="EQ43" s="106" t="str">
        <f t="shared" si="102"/>
        <v/>
      </c>
      <c r="ER43" s="106" t="str">
        <f t="shared" si="103"/>
        <v/>
      </c>
      <c r="ES43" s="106" t="str">
        <f t="shared" si="104"/>
        <v/>
      </c>
      <c r="ET43" s="106" t="str">
        <f t="shared" si="105"/>
        <v/>
      </c>
      <c r="EU43" s="106" t="str">
        <f t="shared" si="106"/>
        <v/>
      </c>
      <c r="EV43" s="92" t="str">
        <f t="shared" si="107"/>
        <v/>
      </c>
      <c r="EW43" s="92" t="str">
        <f t="shared" si="108"/>
        <v/>
      </c>
      <c r="EX43" s="92" t="str">
        <f t="shared" si="109"/>
        <v/>
      </c>
      <c r="EY43" s="92" t="str">
        <f t="shared" si="110"/>
        <v/>
      </c>
      <c r="EZ43" s="92" t="str">
        <f t="shared" si="111"/>
        <v/>
      </c>
      <c r="FA43" s="92" t="str">
        <f t="shared" si="112"/>
        <v/>
      </c>
      <c r="FB43" s="93" t="str">
        <f t="shared" si="113"/>
        <v/>
      </c>
      <c r="FC43" s="93" t="str">
        <f t="shared" si="114"/>
        <v/>
      </c>
      <c r="FD43" s="93" t="str">
        <f t="shared" si="115"/>
        <v/>
      </c>
      <c r="FE43" s="93" t="str">
        <f t="shared" si="116"/>
        <v/>
      </c>
      <c r="FF43" s="93" t="str">
        <f t="shared" si="117"/>
        <v/>
      </c>
      <c r="FG43" s="93" t="str">
        <f t="shared" si="118"/>
        <v/>
      </c>
      <c r="FH43" s="107" t="str">
        <f t="shared" si="119"/>
        <v/>
      </c>
      <c r="FI43" s="107" t="str">
        <f t="shared" si="120"/>
        <v/>
      </c>
      <c r="FJ43" s="256" t="str">
        <f t="shared" si="121"/>
        <v/>
      </c>
      <c r="FK43" s="256" t="str">
        <f t="shared" si="122"/>
        <v/>
      </c>
      <c r="FL43" s="256" t="str">
        <f t="shared" si="123"/>
        <v/>
      </c>
      <c r="FM43" s="256" t="str">
        <f t="shared" si="124"/>
        <v/>
      </c>
      <c r="FN43" s="256" t="str">
        <f>IF(OR(C43="TC",C43=""),"",IF(OR(FJ43="PASS",FJ43="FAIL"),IF(EC43="",SUM(FB43:FF43),SUM(LARGE(FB43:FG43,{1,2,3,4,5}))),""))</f>
        <v/>
      </c>
      <c r="FO43" s="256" t="str">
        <f>IF(AND(FN43="",FK43="PASSED AFTER COMPARTMENT"),IF(EC43="",SUM(FB43:FF43),SUM(LARGE(FB43:FG43,{1,2,3,4,5}))),FN43)</f>
        <v/>
      </c>
      <c r="FP43" s="256" t="str">
        <f t="shared" si="125"/>
        <v/>
      </c>
      <c r="FQ43" s="256" t="str">
        <f t="shared" si="126"/>
        <v/>
      </c>
      <c r="FR43" s="256" t="str">
        <f t="shared" si="127"/>
        <v/>
      </c>
      <c r="FS43" s="256" t="str">
        <f t="shared" si="128"/>
        <v/>
      </c>
      <c r="FT43" s="108" t="str">
        <f t="shared" si="129"/>
        <v/>
      </c>
      <c r="FU43" s="256" t="str">
        <f t="shared" si="130"/>
        <v/>
      </c>
      <c r="FV43" s="109" t="str">
        <f>IF(ATTENDANCE!Q44="","",ATTENDANCE!Q44)</f>
        <v/>
      </c>
      <c r="FW43" s="110" t="str">
        <f t="shared" si="131"/>
        <v/>
      </c>
      <c r="FX43" s="110" t="str">
        <f t="shared" si="132"/>
        <v/>
      </c>
      <c r="FY43" s="365" t="str">
        <f t="shared" si="133"/>
        <v/>
      </c>
      <c r="FZ43" s="108" t="str">
        <f t="shared" si="134"/>
        <v/>
      </c>
      <c r="GA43" s="256" t="str">
        <f>IF(ATTENDANCE!Q44="","",ATTENDANCE!Q44)</f>
        <v/>
      </c>
      <c r="GB43" s="108" t="str">
        <f>IF(ATTENDANCE!Q44="","",ATTENDANCE!$Q44)</f>
        <v/>
      </c>
      <c r="GC43" s="108"/>
      <c r="GD43" s="60"/>
    </row>
    <row r="44" spans="1:186" ht="15" customHeight="1" x14ac:dyDescent="0.25">
      <c r="A44" s="60"/>
      <c r="B44" s="96">
        <f>IF(DATA!B42="","",DATA!B42)</f>
        <v>38</v>
      </c>
      <c r="C44" s="96" t="str">
        <f>IF(DATA!C42="","",DATA!C42)</f>
        <v/>
      </c>
      <c r="D44" s="96" t="str">
        <f>IF(DATA!D42="","",DATA!D42)</f>
        <v/>
      </c>
      <c r="E44" s="303" t="str">
        <f>IF(DATA!E42="","",DATA!E42)</f>
        <v/>
      </c>
      <c r="F44" s="303" t="str">
        <f>IF(DATA!F42="","",DATA!F42)</f>
        <v/>
      </c>
      <c r="G44" s="303" t="str">
        <f>IF(DATA!G42="","",DATA!G42)</f>
        <v/>
      </c>
      <c r="H44" s="98" t="str">
        <f>IF(DATA!H42="","",DATA!H42)</f>
        <v/>
      </c>
      <c r="I44" s="97" t="str">
        <f>IF(DATA!I42="","",DATA!I42)</f>
        <v/>
      </c>
      <c r="J44" s="97" t="str">
        <f>IF(DATA!J42="","",DATA!J42)</f>
        <v/>
      </c>
      <c r="K44" s="97" t="str">
        <f>IF(DATA!K42="","",DATA!K42)</f>
        <v/>
      </c>
      <c r="L44" s="99" t="str">
        <f>IF(ENGLISH!E44="","",ENGLISH!E44)</f>
        <v/>
      </c>
      <c r="M44" s="100" t="str">
        <f t="shared" si="46"/>
        <v/>
      </c>
      <c r="N44" s="99" t="str">
        <f>IF(ENGLISH!F44="","",ENGLISH!F44)</f>
        <v/>
      </c>
      <c r="O44" s="100" t="str">
        <f t="shared" si="47"/>
        <v/>
      </c>
      <c r="P44" s="99" t="str">
        <f>IF(ENGLISH!G44="","",ENGLISH!G44)</f>
        <v/>
      </c>
      <c r="Q44" s="99" t="str">
        <f t="shared" si="48"/>
        <v/>
      </c>
      <c r="R44" s="100" t="str">
        <f>IFERROR(LARGE((M44,O44,Q44),1),"")</f>
        <v/>
      </c>
      <c r="S44" s="100" t="str">
        <f>IFERROR(LARGE((M44,O44,Q44),2),"")</f>
        <v/>
      </c>
      <c r="T44" s="99" t="str">
        <f t="shared" si="49"/>
        <v/>
      </c>
      <c r="U44" s="100" t="str">
        <f>IF(ENGLISH!H44="","",ENGLISH!H44)</f>
        <v/>
      </c>
      <c r="V44" s="99" t="str">
        <f>IF(ENGLISH!I44="","",ENGLISH!I44)</f>
        <v/>
      </c>
      <c r="W44" s="99" t="str">
        <f>IF(ENGLISH!J44="","",ENGLISH!J44)</f>
        <v/>
      </c>
      <c r="X44" s="99" t="str">
        <f t="shared" si="50"/>
        <v/>
      </c>
      <c r="Y44" s="100" t="str">
        <f>IF(ENGLISH!K44="","",ENGLISH!K44)</f>
        <v/>
      </c>
      <c r="Z44" s="100" t="str">
        <f t="shared" si="51"/>
        <v/>
      </c>
      <c r="AA44" s="101" t="str">
        <f t="shared" si="52"/>
        <v/>
      </c>
      <c r="AB44" s="99" t="str">
        <f t="shared" si="15"/>
        <v/>
      </c>
      <c r="AC44" s="99" t="str">
        <f>IF(ENGLISH!O44="","",ENGLISH!O44)</f>
        <v/>
      </c>
      <c r="AD44" s="99" t="str">
        <f t="shared" si="53"/>
        <v/>
      </c>
      <c r="AE44" s="99" t="str">
        <f t="shared" si="54"/>
        <v/>
      </c>
      <c r="AF44" s="99" t="str">
        <f t="shared" si="55"/>
        <v/>
      </c>
      <c r="AG44" s="102" t="str">
        <f>IF(C44="","",VLOOKUP(C44,'HINDI-SKT'!$D$7:$E$51,2,0))</f>
        <v/>
      </c>
      <c r="AH44" s="102" t="str">
        <f>IF('HINDI-SKT'!F44="","",'HINDI-SKT'!F44)</f>
        <v/>
      </c>
      <c r="AI44" s="103" t="str">
        <f t="shared" si="16"/>
        <v/>
      </c>
      <c r="AJ44" s="102" t="str">
        <f>IF('HINDI-SKT'!G44="","",'HINDI-SKT'!G44)</f>
        <v/>
      </c>
      <c r="AK44" s="103" t="str">
        <f t="shared" si="17"/>
        <v/>
      </c>
      <c r="AL44" s="102" t="str">
        <f>IF('HINDI-SKT'!H44="","",'HINDI-SKT'!H44)</f>
        <v/>
      </c>
      <c r="AM44" s="102" t="str">
        <f t="shared" si="18"/>
        <v/>
      </c>
      <c r="AN44" s="103" t="str">
        <f>IFERROR(LARGE((AI44,AK44,AM44),1),"")</f>
        <v/>
      </c>
      <c r="AO44" s="103" t="str">
        <f>IFERROR(LARGE((AI44,AK44,AM44),2),"")</f>
        <v/>
      </c>
      <c r="AP44" s="102" t="str">
        <f t="shared" si="19"/>
        <v/>
      </c>
      <c r="AQ44" s="103" t="str">
        <f>IF('HINDI-SKT'!I44="","",'HINDI-SKT'!I44)</f>
        <v/>
      </c>
      <c r="AR44" s="102" t="str">
        <f>IF('HINDI-SKT'!J44="","",'HINDI-SKT'!J44)</f>
        <v/>
      </c>
      <c r="AS44" s="102" t="str">
        <f>IF('HINDI-SKT'!K44="","",'HINDI-SKT'!K44)</f>
        <v/>
      </c>
      <c r="AT44" s="102" t="str">
        <f t="shared" si="56"/>
        <v/>
      </c>
      <c r="AU44" s="102" t="str">
        <f>IF('HINDI-SKT'!L44="","",'HINDI-SKT'!L44)</f>
        <v/>
      </c>
      <c r="AV44" s="103" t="str">
        <f t="shared" si="57"/>
        <v/>
      </c>
      <c r="AW44" s="102" t="str">
        <f t="shared" si="58"/>
        <v/>
      </c>
      <c r="AX44" s="102" t="str">
        <f t="shared" si="59"/>
        <v/>
      </c>
      <c r="AY44" s="102" t="str">
        <f>IF('HINDI-SKT'!P44="","",'HINDI-SKT'!P44)</f>
        <v/>
      </c>
      <c r="AZ44" s="102" t="str">
        <f t="shared" si="60"/>
        <v/>
      </c>
      <c r="BA44" s="102" t="str">
        <f t="shared" si="61"/>
        <v/>
      </c>
      <c r="BB44" s="102" t="str">
        <f t="shared" si="62"/>
        <v/>
      </c>
      <c r="BC44" s="99" t="str">
        <f>IF(MATHS!E44="","",MATHS!E44)</f>
        <v/>
      </c>
      <c r="BD44" s="100" t="str">
        <f t="shared" si="22"/>
        <v/>
      </c>
      <c r="BE44" s="99" t="str">
        <f>IF(MATHS!F44="","",MATHS!F44)</f>
        <v/>
      </c>
      <c r="BF44" s="100" t="str">
        <f t="shared" si="23"/>
        <v/>
      </c>
      <c r="BG44" s="99" t="str">
        <f>IF(MATHS!G44="","",MATHS!G44)</f>
        <v/>
      </c>
      <c r="BH44" s="99" t="str">
        <f t="shared" si="24"/>
        <v/>
      </c>
      <c r="BI44" s="100" t="str">
        <f>IFERROR(LARGE((BD44,BF44,BH44),1),"")</f>
        <v/>
      </c>
      <c r="BJ44" s="100" t="str">
        <f>IFERROR(LARGE((BD44,BF44,BH44),2),"")</f>
        <v/>
      </c>
      <c r="BK44" s="99" t="str">
        <f t="shared" si="25"/>
        <v/>
      </c>
      <c r="BL44" s="100" t="str">
        <f>IF(MATHS!H44="","",MATHS!H44)</f>
        <v/>
      </c>
      <c r="BM44" s="99" t="str">
        <f>IF(MATHS!I44="","",MATHS!I44)</f>
        <v/>
      </c>
      <c r="BN44" s="99" t="str">
        <f>IF(MATHS!J44="","",MATHS!J44)</f>
        <v/>
      </c>
      <c r="BO44" s="99" t="str">
        <f t="shared" si="63"/>
        <v/>
      </c>
      <c r="BP44" s="99" t="str">
        <f>IF(MATHS!K44="","",MATHS!K44)</f>
        <v/>
      </c>
      <c r="BQ44" s="100" t="str">
        <f t="shared" si="26"/>
        <v/>
      </c>
      <c r="BR44" s="99" t="str">
        <f t="shared" si="64"/>
        <v/>
      </c>
      <c r="BS44" s="99" t="str">
        <f t="shared" si="27"/>
        <v/>
      </c>
      <c r="BT44" s="99" t="str">
        <f>IF(MATHS!O44="","",MATHS!O44)</f>
        <v/>
      </c>
      <c r="BU44" s="99" t="str">
        <f t="shared" si="65"/>
        <v/>
      </c>
      <c r="BV44" s="99" t="str">
        <f t="shared" si="66"/>
        <v/>
      </c>
      <c r="BW44" s="99"/>
      <c r="BX44" s="102" t="str">
        <f>IF(SCIENCE!E44="","",SCIENCE!E44)</f>
        <v/>
      </c>
      <c r="BY44" s="103" t="str">
        <f t="shared" si="28"/>
        <v/>
      </c>
      <c r="BZ44" s="102" t="str">
        <f>IF(SCIENCE!F44="","",SCIENCE!F44)</f>
        <v/>
      </c>
      <c r="CA44" s="103" t="str">
        <f t="shared" si="29"/>
        <v/>
      </c>
      <c r="CB44" s="102" t="str">
        <f>IF(SCIENCE!G44="","",SCIENCE!G44)</f>
        <v/>
      </c>
      <c r="CC44" s="102" t="str">
        <f t="shared" si="30"/>
        <v/>
      </c>
      <c r="CD44" s="103" t="str">
        <f>IFERROR(LARGE((BY44,CA44,CC44),1),"")</f>
        <v/>
      </c>
      <c r="CE44" s="103" t="str">
        <f>IFERROR(LARGE((BY44,CA44,CC44),2),"")</f>
        <v/>
      </c>
      <c r="CF44" s="102" t="str">
        <f t="shared" si="31"/>
        <v/>
      </c>
      <c r="CG44" s="103" t="str">
        <f>IF(SCIENCE!H44="","",SCIENCE!H44)</f>
        <v/>
      </c>
      <c r="CH44" s="103" t="str">
        <f>IF(SCIENCE!I44="","",SCIENCE!I44)</f>
        <v/>
      </c>
      <c r="CI44" s="103" t="str">
        <f>IF(SCIENCE!J44="","",SCIENCE!J44)</f>
        <v/>
      </c>
      <c r="CJ44" s="103" t="str">
        <f t="shared" si="68"/>
        <v/>
      </c>
      <c r="CK44" s="103" t="str">
        <f>IF(SCIENCE!K44="","",SCIENCE!K44)</f>
        <v/>
      </c>
      <c r="CL44" s="103" t="str">
        <f t="shared" si="32"/>
        <v/>
      </c>
      <c r="CM44" s="102" t="str">
        <f t="shared" si="69"/>
        <v/>
      </c>
      <c r="CN44" s="102" t="str">
        <f t="shared" si="33"/>
        <v/>
      </c>
      <c r="CO44" s="102" t="str">
        <f>IF(SCIENCE!O44="","",SCIENCE!O44)</f>
        <v/>
      </c>
      <c r="CP44" s="102" t="str">
        <f t="shared" si="70"/>
        <v/>
      </c>
      <c r="CQ44" s="102" t="str">
        <f t="shared" si="71"/>
        <v/>
      </c>
      <c r="CR44" s="102" t="str">
        <f t="shared" si="72"/>
        <v/>
      </c>
      <c r="CS44" s="99" t="str">
        <f>IF(SST!E44="","",SST!E44)</f>
        <v/>
      </c>
      <c r="CT44" s="100" t="str">
        <f t="shared" si="34"/>
        <v/>
      </c>
      <c r="CU44" s="99" t="str">
        <f>IF(SST!F44="","",SST!F44)</f>
        <v/>
      </c>
      <c r="CV44" s="100" t="str">
        <f t="shared" si="35"/>
        <v/>
      </c>
      <c r="CW44" s="99" t="str">
        <f>IF(SST!G44="","",SST!G44)</f>
        <v/>
      </c>
      <c r="CX44" s="99" t="str">
        <f t="shared" si="36"/>
        <v/>
      </c>
      <c r="CY44" s="100" t="str">
        <f>IFERROR(LARGE((CT44,CV44,CX44),1),"")</f>
        <v/>
      </c>
      <c r="CZ44" s="100" t="str">
        <f>IFERROR(LARGE((CT44,CV44,CX44),2),"")</f>
        <v/>
      </c>
      <c r="DA44" s="99" t="str">
        <f t="shared" si="37"/>
        <v/>
      </c>
      <c r="DB44" s="100" t="str">
        <f>IF(SST!H44="","",SST!H44)</f>
        <v/>
      </c>
      <c r="DC44" s="100" t="str">
        <f>IF(SST!I44="","",SST!I44)</f>
        <v/>
      </c>
      <c r="DD44" s="100" t="str">
        <f>IF(SST!J44="","",SST!J44)</f>
        <v/>
      </c>
      <c r="DE44" s="100" t="str">
        <f t="shared" si="73"/>
        <v/>
      </c>
      <c r="DF44" s="100" t="str">
        <f>IF(SST!K44="","",SST!K44)</f>
        <v/>
      </c>
      <c r="DG44" s="100" t="str">
        <f t="shared" si="74"/>
        <v/>
      </c>
      <c r="DH44" s="99" t="str">
        <f t="shared" si="75"/>
        <v/>
      </c>
      <c r="DI44" s="99" t="str">
        <f t="shared" si="38"/>
        <v/>
      </c>
      <c r="DJ44" s="99" t="str">
        <f>IF(SST!O44="","",SST!O44)</f>
        <v/>
      </c>
      <c r="DK44" s="99" t="str">
        <f t="shared" si="76"/>
        <v/>
      </c>
      <c r="DL44" s="99" t="str">
        <f t="shared" si="77"/>
        <v/>
      </c>
      <c r="DM44" s="99" t="str">
        <f t="shared" si="78"/>
        <v/>
      </c>
      <c r="DN44" s="99"/>
      <c r="DO44" s="102" t="str">
        <f>IF(C44="","",IF(VLOOKUP(C44,VOCATIONAL!$D$7:$E$51,2,0)="","",VLOOKUP(C44,VOCATIONAL!$D$7:$E$51,2,0)))</f>
        <v/>
      </c>
      <c r="DP44" s="102" t="str">
        <f>IF(VOCATIONAL!F44="","",VOCATIONAL!F44)</f>
        <v/>
      </c>
      <c r="DQ44" s="102" t="str">
        <f>IF(VOCATIONAL!G44="","",VOCATIONAL!G44)</f>
        <v/>
      </c>
      <c r="DR44" s="102" t="str">
        <f t="shared" si="79"/>
        <v/>
      </c>
      <c r="DS44" s="102" t="str">
        <f t="shared" si="80"/>
        <v/>
      </c>
      <c r="DT44" s="102" t="str">
        <f>IF(VOCATIONAL!K44="","",VOCATIONAL!K44)</f>
        <v/>
      </c>
      <c r="DU44" s="102" t="str">
        <f t="shared" si="81"/>
        <v/>
      </c>
      <c r="DV44" s="102" t="str">
        <f t="shared" si="82"/>
        <v/>
      </c>
      <c r="DW44" s="99"/>
      <c r="DX44" s="104" t="str">
        <f t="shared" si="83"/>
        <v/>
      </c>
      <c r="DY44" s="104" t="str">
        <f t="shared" si="84"/>
        <v/>
      </c>
      <c r="DZ44" s="104" t="str">
        <f t="shared" si="85"/>
        <v/>
      </c>
      <c r="EA44" s="104" t="str">
        <f t="shared" si="86"/>
        <v/>
      </c>
      <c r="EB44" s="104" t="str">
        <f t="shared" si="87"/>
        <v/>
      </c>
      <c r="EC44" s="104" t="str">
        <f t="shared" si="88"/>
        <v/>
      </c>
      <c r="ED44" s="104" t="str">
        <f t="shared" si="89"/>
        <v/>
      </c>
      <c r="EE44" s="104" t="str">
        <f t="shared" si="90"/>
        <v/>
      </c>
      <c r="EF44" s="104" t="str">
        <f t="shared" si="91"/>
        <v/>
      </c>
      <c r="EG44" s="104" t="str">
        <f t="shared" si="92"/>
        <v/>
      </c>
      <c r="EH44" s="104" t="str">
        <f t="shared" si="93"/>
        <v/>
      </c>
      <c r="EI44" s="104" t="str">
        <f t="shared" si="94"/>
        <v/>
      </c>
      <c r="EJ44" s="105" t="str">
        <f t="shared" si="95"/>
        <v/>
      </c>
      <c r="EK44" s="105" t="str">
        <f t="shared" si="96"/>
        <v/>
      </c>
      <c r="EL44" s="105" t="str">
        <f t="shared" si="97"/>
        <v/>
      </c>
      <c r="EM44" s="105" t="str">
        <f t="shared" si="98"/>
        <v/>
      </c>
      <c r="EN44" s="105" t="str">
        <f t="shared" si="99"/>
        <v/>
      </c>
      <c r="EO44" s="363" t="str">
        <f t="shared" si="100"/>
        <v/>
      </c>
      <c r="EP44" s="106" t="str">
        <f t="shared" si="101"/>
        <v/>
      </c>
      <c r="EQ44" s="106" t="str">
        <f t="shared" si="102"/>
        <v/>
      </c>
      <c r="ER44" s="106" t="str">
        <f t="shared" si="103"/>
        <v/>
      </c>
      <c r="ES44" s="106" t="str">
        <f t="shared" si="104"/>
        <v/>
      </c>
      <c r="ET44" s="106" t="str">
        <f t="shared" si="105"/>
        <v/>
      </c>
      <c r="EU44" s="106" t="str">
        <f t="shared" si="106"/>
        <v/>
      </c>
      <c r="EV44" s="92" t="str">
        <f t="shared" si="107"/>
        <v/>
      </c>
      <c r="EW44" s="92" t="str">
        <f t="shared" si="108"/>
        <v/>
      </c>
      <c r="EX44" s="92" t="str">
        <f t="shared" si="109"/>
        <v/>
      </c>
      <c r="EY44" s="92" t="str">
        <f t="shared" si="110"/>
        <v/>
      </c>
      <c r="EZ44" s="92" t="str">
        <f t="shared" si="111"/>
        <v/>
      </c>
      <c r="FA44" s="92" t="str">
        <f t="shared" si="112"/>
        <v/>
      </c>
      <c r="FB44" s="93" t="str">
        <f t="shared" si="113"/>
        <v/>
      </c>
      <c r="FC44" s="93" t="str">
        <f t="shared" si="114"/>
        <v/>
      </c>
      <c r="FD44" s="93" t="str">
        <f t="shared" si="115"/>
        <v/>
      </c>
      <c r="FE44" s="93" t="str">
        <f t="shared" si="116"/>
        <v/>
      </c>
      <c r="FF44" s="93" t="str">
        <f t="shared" si="117"/>
        <v/>
      </c>
      <c r="FG44" s="93" t="str">
        <f t="shared" si="118"/>
        <v/>
      </c>
      <c r="FH44" s="107" t="str">
        <f t="shared" si="119"/>
        <v/>
      </c>
      <c r="FI44" s="107" t="str">
        <f t="shared" si="120"/>
        <v/>
      </c>
      <c r="FJ44" s="256" t="str">
        <f t="shared" si="121"/>
        <v/>
      </c>
      <c r="FK44" s="256" t="str">
        <f t="shared" si="122"/>
        <v/>
      </c>
      <c r="FL44" s="256" t="str">
        <f t="shared" si="123"/>
        <v/>
      </c>
      <c r="FM44" s="256" t="str">
        <f t="shared" si="124"/>
        <v/>
      </c>
      <c r="FN44" s="256" t="str">
        <f>IF(OR(C44="TC",C44=""),"",IF(OR(FJ44="PASS",FJ44="FAIL"),IF(EC44="",SUM(FB44:FF44),SUM(LARGE(FB44:FG44,{1,2,3,4,5}))),""))</f>
        <v/>
      </c>
      <c r="FO44" s="256" t="str">
        <f>IF(AND(FN44="",FK44="PASSED AFTER COMPARTMENT"),IF(EC44="",SUM(FB44:FF44),SUM(LARGE(FB44:FG44,{1,2,3,4,5}))),FN44)</f>
        <v/>
      </c>
      <c r="FP44" s="256" t="str">
        <f t="shared" si="125"/>
        <v/>
      </c>
      <c r="FQ44" s="256" t="str">
        <f t="shared" si="126"/>
        <v/>
      </c>
      <c r="FR44" s="256" t="str">
        <f t="shared" si="127"/>
        <v/>
      </c>
      <c r="FS44" s="256" t="str">
        <f t="shared" si="128"/>
        <v/>
      </c>
      <c r="FT44" s="108" t="str">
        <f t="shared" si="129"/>
        <v/>
      </c>
      <c r="FU44" s="256" t="str">
        <f t="shared" si="130"/>
        <v/>
      </c>
      <c r="FV44" s="109" t="str">
        <f>IF(ATTENDANCE!Q45="","",ATTENDANCE!Q45)</f>
        <v/>
      </c>
      <c r="FW44" s="110" t="str">
        <f t="shared" si="131"/>
        <v/>
      </c>
      <c r="FX44" s="110" t="str">
        <f t="shared" si="132"/>
        <v/>
      </c>
      <c r="FY44" s="365" t="str">
        <f t="shared" si="133"/>
        <v/>
      </c>
      <c r="FZ44" s="108" t="str">
        <f t="shared" si="134"/>
        <v/>
      </c>
      <c r="GA44" s="256" t="str">
        <f>IF(ATTENDANCE!Q45="","",ATTENDANCE!Q45)</f>
        <v/>
      </c>
      <c r="GB44" s="108" t="str">
        <f>IF(ATTENDANCE!Q45="","",ATTENDANCE!$Q45)</f>
        <v/>
      </c>
      <c r="GC44" s="108"/>
      <c r="GD44" s="60"/>
    </row>
    <row r="45" spans="1:186" ht="15" customHeight="1" x14ac:dyDescent="0.25">
      <c r="A45" s="60"/>
      <c r="B45" s="96">
        <f>IF(DATA!B43="","",DATA!B43)</f>
        <v>39</v>
      </c>
      <c r="C45" s="96" t="str">
        <f>IF(DATA!C43="","",DATA!C43)</f>
        <v/>
      </c>
      <c r="D45" s="96" t="str">
        <f>IF(DATA!D43="","",DATA!D43)</f>
        <v/>
      </c>
      <c r="E45" s="303" t="str">
        <f>IF(DATA!E43="","",DATA!E43)</f>
        <v/>
      </c>
      <c r="F45" s="303" t="str">
        <f>IF(DATA!F43="","",DATA!F43)</f>
        <v/>
      </c>
      <c r="G45" s="303" t="str">
        <f>IF(DATA!G43="","",DATA!G43)</f>
        <v/>
      </c>
      <c r="H45" s="98" t="str">
        <f>IF(DATA!H43="","",DATA!H43)</f>
        <v/>
      </c>
      <c r="I45" s="97" t="str">
        <f>IF(DATA!I43="","",DATA!I43)</f>
        <v/>
      </c>
      <c r="J45" s="97" t="str">
        <f>IF(DATA!J43="","",DATA!J43)</f>
        <v/>
      </c>
      <c r="K45" s="97" t="str">
        <f>IF(DATA!K43="","",DATA!K43)</f>
        <v/>
      </c>
      <c r="L45" s="99" t="str">
        <f>IF(ENGLISH!E45="","",ENGLISH!E45)</f>
        <v/>
      </c>
      <c r="M45" s="100" t="str">
        <f t="shared" si="46"/>
        <v/>
      </c>
      <c r="N45" s="99" t="str">
        <f>IF(ENGLISH!F45="","",ENGLISH!F45)</f>
        <v/>
      </c>
      <c r="O45" s="100" t="str">
        <f t="shared" si="47"/>
        <v/>
      </c>
      <c r="P45" s="99" t="str">
        <f>IF(ENGLISH!G45="","",ENGLISH!G45)</f>
        <v/>
      </c>
      <c r="Q45" s="99" t="str">
        <f t="shared" si="48"/>
        <v/>
      </c>
      <c r="R45" s="100" t="str">
        <f>IFERROR(LARGE((M45,O45,Q45),1),"")</f>
        <v/>
      </c>
      <c r="S45" s="100" t="str">
        <f>IFERROR(LARGE((M45,O45,Q45),2),"")</f>
        <v/>
      </c>
      <c r="T45" s="99" t="str">
        <f t="shared" si="49"/>
        <v/>
      </c>
      <c r="U45" s="100" t="str">
        <f>IF(ENGLISH!H45="","",ENGLISH!H45)</f>
        <v/>
      </c>
      <c r="V45" s="99" t="str">
        <f>IF(ENGLISH!I45="","",ENGLISH!I45)</f>
        <v/>
      </c>
      <c r="W45" s="99" t="str">
        <f>IF(ENGLISH!J45="","",ENGLISH!J45)</f>
        <v/>
      </c>
      <c r="X45" s="99" t="str">
        <f t="shared" si="50"/>
        <v/>
      </c>
      <c r="Y45" s="100" t="str">
        <f>IF(ENGLISH!K45="","",ENGLISH!K45)</f>
        <v/>
      </c>
      <c r="Z45" s="100" t="str">
        <f t="shared" si="51"/>
        <v/>
      </c>
      <c r="AA45" s="101" t="str">
        <f t="shared" si="52"/>
        <v/>
      </c>
      <c r="AB45" s="99" t="str">
        <f t="shared" si="15"/>
        <v/>
      </c>
      <c r="AC45" s="99" t="str">
        <f>IF(ENGLISH!O45="","",ENGLISH!O45)</f>
        <v/>
      </c>
      <c r="AD45" s="99" t="str">
        <f t="shared" si="53"/>
        <v/>
      </c>
      <c r="AE45" s="99" t="str">
        <f t="shared" si="54"/>
        <v/>
      </c>
      <c r="AF45" s="99" t="str">
        <f t="shared" si="55"/>
        <v/>
      </c>
      <c r="AG45" s="102" t="str">
        <f>IF(C45="","",VLOOKUP(C45,'HINDI-SKT'!$D$7:$E$51,2,0))</f>
        <v/>
      </c>
      <c r="AH45" s="102" t="str">
        <f>IF('HINDI-SKT'!F45="","",'HINDI-SKT'!F45)</f>
        <v/>
      </c>
      <c r="AI45" s="103" t="str">
        <f t="shared" si="16"/>
        <v/>
      </c>
      <c r="AJ45" s="102" t="str">
        <f>IF('HINDI-SKT'!G45="","",'HINDI-SKT'!G45)</f>
        <v/>
      </c>
      <c r="AK45" s="103" t="str">
        <f t="shared" si="17"/>
        <v/>
      </c>
      <c r="AL45" s="102" t="str">
        <f>IF('HINDI-SKT'!H45="","",'HINDI-SKT'!H45)</f>
        <v/>
      </c>
      <c r="AM45" s="102" t="str">
        <f t="shared" si="18"/>
        <v/>
      </c>
      <c r="AN45" s="103" t="str">
        <f>IFERROR(LARGE((AI45,AK45,AM45),1),"")</f>
        <v/>
      </c>
      <c r="AO45" s="103" t="str">
        <f>IFERROR(LARGE((AI45,AK45,AM45),2),"")</f>
        <v/>
      </c>
      <c r="AP45" s="102" t="str">
        <f t="shared" si="19"/>
        <v/>
      </c>
      <c r="AQ45" s="103" t="str">
        <f>IF('HINDI-SKT'!I45="","",'HINDI-SKT'!I45)</f>
        <v/>
      </c>
      <c r="AR45" s="102" t="str">
        <f>IF('HINDI-SKT'!J45="","",'HINDI-SKT'!J45)</f>
        <v/>
      </c>
      <c r="AS45" s="102" t="str">
        <f>IF('HINDI-SKT'!K45="","",'HINDI-SKT'!K45)</f>
        <v/>
      </c>
      <c r="AT45" s="102" t="str">
        <f t="shared" si="56"/>
        <v/>
      </c>
      <c r="AU45" s="102" t="str">
        <f>IF('HINDI-SKT'!L45="","",'HINDI-SKT'!L45)</f>
        <v/>
      </c>
      <c r="AV45" s="103" t="str">
        <f t="shared" si="57"/>
        <v/>
      </c>
      <c r="AW45" s="102" t="str">
        <f t="shared" si="58"/>
        <v/>
      </c>
      <c r="AX45" s="102" t="str">
        <f t="shared" si="59"/>
        <v/>
      </c>
      <c r="AY45" s="102" t="str">
        <f>IF('HINDI-SKT'!P45="","",'HINDI-SKT'!P45)</f>
        <v/>
      </c>
      <c r="AZ45" s="102" t="str">
        <f t="shared" si="60"/>
        <v/>
      </c>
      <c r="BA45" s="102" t="str">
        <f t="shared" si="61"/>
        <v/>
      </c>
      <c r="BB45" s="102" t="str">
        <f t="shared" si="62"/>
        <v/>
      </c>
      <c r="BC45" s="99" t="str">
        <f>IF(MATHS!E45="","",MATHS!E45)</f>
        <v/>
      </c>
      <c r="BD45" s="100" t="str">
        <f t="shared" si="22"/>
        <v/>
      </c>
      <c r="BE45" s="99" t="str">
        <f>IF(MATHS!F45="","",MATHS!F45)</f>
        <v/>
      </c>
      <c r="BF45" s="100" t="str">
        <f t="shared" si="23"/>
        <v/>
      </c>
      <c r="BG45" s="99" t="str">
        <f>IF(MATHS!G45="","",MATHS!G45)</f>
        <v/>
      </c>
      <c r="BH45" s="99" t="str">
        <f t="shared" si="24"/>
        <v/>
      </c>
      <c r="BI45" s="100" t="str">
        <f>IFERROR(LARGE((BD45,BF45,BH45),1),"")</f>
        <v/>
      </c>
      <c r="BJ45" s="100" t="str">
        <f>IFERROR(LARGE((BD45,BF45,BH45),2),"")</f>
        <v/>
      </c>
      <c r="BK45" s="99" t="str">
        <f t="shared" si="25"/>
        <v/>
      </c>
      <c r="BL45" s="100" t="str">
        <f>IF(MATHS!H45="","",MATHS!H45)</f>
        <v/>
      </c>
      <c r="BM45" s="99" t="str">
        <f>IF(MATHS!I45="","",MATHS!I45)</f>
        <v/>
      </c>
      <c r="BN45" s="99" t="str">
        <f>IF(MATHS!J45="","",MATHS!J45)</f>
        <v/>
      </c>
      <c r="BO45" s="99" t="str">
        <f t="shared" si="63"/>
        <v/>
      </c>
      <c r="BP45" s="99" t="str">
        <f>IF(MATHS!K45="","",MATHS!K45)</f>
        <v/>
      </c>
      <c r="BQ45" s="100" t="str">
        <f t="shared" si="26"/>
        <v/>
      </c>
      <c r="BR45" s="99" t="str">
        <f t="shared" si="64"/>
        <v/>
      </c>
      <c r="BS45" s="99" t="str">
        <f t="shared" si="27"/>
        <v/>
      </c>
      <c r="BT45" s="99" t="str">
        <f>IF(MATHS!O45="","",MATHS!O45)</f>
        <v/>
      </c>
      <c r="BU45" s="99" t="str">
        <f t="shared" si="65"/>
        <v/>
      </c>
      <c r="BV45" s="99" t="str">
        <f t="shared" si="66"/>
        <v/>
      </c>
      <c r="BW45" s="99"/>
      <c r="BX45" s="102" t="str">
        <f>IF(SCIENCE!E45="","",SCIENCE!E45)</f>
        <v/>
      </c>
      <c r="BY45" s="103" t="str">
        <f t="shared" si="28"/>
        <v/>
      </c>
      <c r="BZ45" s="102" t="str">
        <f>IF(SCIENCE!F45="","",SCIENCE!F45)</f>
        <v/>
      </c>
      <c r="CA45" s="103" t="str">
        <f t="shared" si="29"/>
        <v/>
      </c>
      <c r="CB45" s="102" t="str">
        <f>IF(SCIENCE!G45="","",SCIENCE!G45)</f>
        <v/>
      </c>
      <c r="CC45" s="102" t="str">
        <f t="shared" si="30"/>
        <v/>
      </c>
      <c r="CD45" s="103" t="str">
        <f>IFERROR(LARGE((BY45,CA45,CC45),1),"")</f>
        <v/>
      </c>
      <c r="CE45" s="103" t="str">
        <f>IFERROR(LARGE((BY45,CA45,CC45),2),"")</f>
        <v/>
      </c>
      <c r="CF45" s="102" t="str">
        <f t="shared" si="31"/>
        <v/>
      </c>
      <c r="CG45" s="103" t="str">
        <f>IF(SCIENCE!H45="","",SCIENCE!H45)</f>
        <v/>
      </c>
      <c r="CH45" s="103" t="str">
        <f>IF(SCIENCE!I45="","",SCIENCE!I45)</f>
        <v/>
      </c>
      <c r="CI45" s="103" t="str">
        <f>IF(SCIENCE!J45="","",SCIENCE!J45)</f>
        <v/>
      </c>
      <c r="CJ45" s="103" t="str">
        <f t="shared" si="68"/>
        <v/>
      </c>
      <c r="CK45" s="103" t="str">
        <f>IF(SCIENCE!K45="","",SCIENCE!K45)</f>
        <v/>
      </c>
      <c r="CL45" s="103" t="str">
        <f t="shared" si="32"/>
        <v/>
      </c>
      <c r="CM45" s="102" t="str">
        <f t="shared" si="69"/>
        <v/>
      </c>
      <c r="CN45" s="102" t="str">
        <f t="shared" si="33"/>
        <v/>
      </c>
      <c r="CO45" s="102" t="str">
        <f>IF(SCIENCE!O45="","",SCIENCE!O45)</f>
        <v/>
      </c>
      <c r="CP45" s="102" t="str">
        <f t="shared" si="70"/>
        <v/>
      </c>
      <c r="CQ45" s="102" t="str">
        <f t="shared" si="71"/>
        <v/>
      </c>
      <c r="CR45" s="102" t="str">
        <f t="shared" si="72"/>
        <v/>
      </c>
      <c r="CS45" s="99" t="str">
        <f>IF(SST!E45="","",SST!E45)</f>
        <v/>
      </c>
      <c r="CT45" s="100" t="str">
        <f t="shared" si="34"/>
        <v/>
      </c>
      <c r="CU45" s="99" t="str">
        <f>IF(SST!F45="","",SST!F45)</f>
        <v/>
      </c>
      <c r="CV45" s="100" t="str">
        <f t="shared" si="35"/>
        <v/>
      </c>
      <c r="CW45" s="99" t="str">
        <f>IF(SST!G45="","",SST!G45)</f>
        <v/>
      </c>
      <c r="CX45" s="99" t="str">
        <f t="shared" si="36"/>
        <v/>
      </c>
      <c r="CY45" s="100" t="str">
        <f>IFERROR(LARGE((CT45,CV45,CX45),1),"")</f>
        <v/>
      </c>
      <c r="CZ45" s="100" t="str">
        <f>IFERROR(LARGE((CT45,CV45,CX45),2),"")</f>
        <v/>
      </c>
      <c r="DA45" s="99" t="str">
        <f t="shared" si="37"/>
        <v/>
      </c>
      <c r="DB45" s="100" t="str">
        <f>IF(SST!H45="","",SST!H45)</f>
        <v/>
      </c>
      <c r="DC45" s="100" t="str">
        <f>IF(SST!I45="","",SST!I45)</f>
        <v/>
      </c>
      <c r="DD45" s="100" t="str">
        <f>IF(SST!J45="","",SST!J45)</f>
        <v/>
      </c>
      <c r="DE45" s="100" t="str">
        <f t="shared" si="73"/>
        <v/>
      </c>
      <c r="DF45" s="100" t="str">
        <f>IF(SST!K45="","",SST!K45)</f>
        <v/>
      </c>
      <c r="DG45" s="100" t="str">
        <f t="shared" si="74"/>
        <v/>
      </c>
      <c r="DH45" s="99" t="str">
        <f t="shared" si="75"/>
        <v/>
      </c>
      <c r="DI45" s="99" t="str">
        <f t="shared" si="38"/>
        <v/>
      </c>
      <c r="DJ45" s="99" t="str">
        <f>IF(SST!O45="","",SST!O45)</f>
        <v/>
      </c>
      <c r="DK45" s="99" t="str">
        <f t="shared" si="76"/>
        <v/>
      </c>
      <c r="DL45" s="99" t="str">
        <f t="shared" si="77"/>
        <v/>
      </c>
      <c r="DM45" s="99" t="str">
        <f t="shared" si="78"/>
        <v/>
      </c>
      <c r="DN45" s="99"/>
      <c r="DO45" s="102" t="str">
        <f>IF(C45="","",IF(VLOOKUP(C45,VOCATIONAL!$D$7:$E$51,2,0)="","",VLOOKUP(C45,VOCATIONAL!$D$7:$E$51,2,0)))</f>
        <v/>
      </c>
      <c r="DP45" s="102" t="str">
        <f>IF(VOCATIONAL!F45="","",VOCATIONAL!F45)</f>
        <v/>
      </c>
      <c r="DQ45" s="102" t="str">
        <f>IF(VOCATIONAL!G45="","",VOCATIONAL!G45)</f>
        <v/>
      </c>
      <c r="DR45" s="102" t="str">
        <f t="shared" si="79"/>
        <v/>
      </c>
      <c r="DS45" s="102" t="str">
        <f t="shared" si="80"/>
        <v/>
      </c>
      <c r="DT45" s="102" t="str">
        <f>IF(VOCATIONAL!K45="","",VOCATIONAL!K45)</f>
        <v/>
      </c>
      <c r="DU45" s="102" t="str">
        <f t="shared" si="81"/>
        <v/>
      </c>
      <c r="DV45" s="102" t="str">
        <f t="shared" si="82"/>
        <v/>
      </c>
      <c r="DW45" s="99"/>
      <c r="DX45" s="104" t="str">
        <f t="shared" si="83"/>
        <v/>
      </c>
      <c r="DY45" s="104" t="str">
        <f t="shared" si="84"/>
        <v/>
      </c>
      <c r="DZ45" s="104" t="str">
        <f t="shared" si="85"/>
        <v/>
      </c>
      <c r="EA45" s="104" t="str">
        <f t="shared" si="86"/>
        <v/>
      </c>
      <c r="EB45" s="104" t="str">
        <f t="shared" si="87"/>
        <v/>
      </c>
      <c r="EC45" s="104" t="str">
        <f t="shared" si="88"/>
        <v/>
      </c>
      <c r="ED45" s="104" t="str">
        <f t="shared" si="89"/>
        <v/>
      </c>
      <c r="EE45" s="104" t="str">
        <f t="shared" si="90"/>
        <v/>
      </c>
      <c r="EF45" s="104" t="str">
        <f t="shared" si="91"/>
        <v/>
      </c>
      <c r="EG45" s="104" t="str">
        <f t="shared" si="92"/>
        <v/>
      </c>
      <c r="EH45" s="104" t="str">
        <f t="shared" si="93"/>
        <v/>
      </c>
      <c r="EI45" s="104" t="str">
        <f t="shared" si="94"/>
        <v/>
      </c>
      <c r="EJ45" s="105" t="str">
        <f t="shared" si="95"/>
        <v/>
      </c>
      <c r="EK45" s="105" t="str">
        <f t="shared" si="96"/>
        <v/>
      </c>
      <c r="EL45" s="105" t="str">
        <f t="shared" si="97"/>
        <v/>
      </c>
      <c r="EM45" s="105" t="str">
        <f t="shared" si="98"/>
        <v/>
      </c>
      <c r="EN45" s="105" t="str">
        <f t="shared" si="99"/>
        <v/>
      </c>
      <c r="EO45" s="363" t="str">
        <f t="shared" si="100"/>
        <v/>
      </c>
      <c r="EP45" s="106" t="str">
        <f t="shared" si="101"/>
        <v/>
      </c>
      <c r="EQ45" s="106" t="str">
        <f t="shared" si="102"/>
        <v/>
      </c>
      <c r="ER45" s="106" t="str">
        <f t="shared" si="103"/>
        <v/>
      </c>
      <c r="ES45" s="106" t="str">
        <f t="shared" si="104"/>
        <v/>
      </c>
      <c r="ET45" s="106" t="str">
        <f t="shared" si="105"/>
        <v/>
      </c>
      <c r="EU45" s="106" t="str">
        <f t="shared" si="106"/>
        <v/>
      </c>
      <c r="EV45" s="92" t="str">
        <f t="shared" si="107"/>
        <v/>
      </c>
      <c r="EW45" s="92" t="str">
        <f t="shared" si="108"/>
        <v/>
      </c>
      <c r="EX45" s="92" t="str">
        <f t="shared" si="109"/>
        <v/>
      </c>
      <c r="EY45" s="92" t="str">
        <f t="shared" si="110"/>
        <v/>
      </c>
      <c r="EZ45" s="92" t="str">
        <f t="shared" si="111"/>
        <v/>
      </c>
      <c r="FA45" s="92" t="str">
        <f t="shared" si="112"/>
        <v/>
      </c>
      <c r="FB45" s="93" t="str">
        <f t="shared" si="113"/>
        <v/>
      </c>
      <c r="FC45" s="93" t="str">
        <f t="shared" si="114"/>
        <v/>
      </c>
      <c r="FD45" s="93" t="str">
        <f t="shared" si="115"/>
        <v/>
      </c>
      <c r="FE45" s="93" t="str">
        <f t="shared" si="116"/>
        <v/>
      </c>
      <c r="FF45" s="93" t="str">
        <f t="shared" si="117"/>
        <v/>
      </c>
      <c r="FG45" s="93" t="str">
        <f t="shared" si="118"/>
        <v/>
      </c>
      <c r="FH45" s="107" t="str">
        <f t="shared" si="119"/>
        <v/>
      </c>
      <c r="FI45" s="107" t="str">
        <f t="shared" si="120"/>
        <v/>
      </c>
      <c r="FJ45" s="256" t="str">
        <f t="shared" si="121"/>
        <v/>
      </c>
      <c r="FK45" s="256" t="str">
        <f t="shared" si="122"/>
        <v/>
      </c>
      <c r="FL45" s="256" t="str">
        <f t="shared" si="123"/>
        <v/>
      </c>
      <c r="FM45" s="256" t="str">
        <f t="shared" si="124"/>
        <v/>
      </c>
      <c r="FN45" s="256" t="str">
        <f>IF(OR(C45="TC",C45=""),"",IF(OR(FJ45="PASS",FJ45="FAIL"),IF(EC45="",SUM(FB45:FF45),SUM(LARGE(FB45:FG45,{1,2,3,4,5}))),""))</f>
        <v/>
      </c>
      <c r="FO45" s="256" t="str">
        <f>IF(AND(FN45="",FK45="PASSED AFTER COMPARTMENT"),IF(EC45="",SUM(FB45:FF45),SUM(LARGE(FB45:FG45,{1,2,3,4,5}))),FN45)</f>
        <v/>
      </c>
      <c r="FP45" s="256" t="str">
        <f t="shared" si="125"/>
        <v/>
      </c>
      <c r="FQ45" s="256" t="str">
        <f t="shared" si="126"/>
        <v/>
      </c>
      <c r="FR45" s="256" t="str">
        <f t="shared" si="127"/>
        <v/>
      </c>
      <c r="FS45" s="256" t="str">
        <f t="shared" si="128"/>
        <v/>
      </c>
      <c r="FT45" s="108" t="str">
        <f t="shared" si="129"/>
        <v/>
      </c>
      <c r="FU45" s="256" t="str">
        <f t="shared" si="130"/>
        <v/>
      </c>
      <c r="FV45" s="109" t="str">
        <f>IF(ATTENDANCE!Q46="","",ATTENDANCE!Q46)</f>
        <v/>
      </c>
      <c r="FW45" s="110" t="str">
        <f t="shared" si="131"/>
        <v/>
      </c>
      <c r="FX45" s="110" t="str">
        <f t="shared" si="132"/>
        <v/>
      </c>
      <c r="FY45" s="365" t="str">
        <f t="shared" si="133"/>
        <v/>
      </c>
      <c r="FZ45" s="108" t="str">
        <f t="shared" si="134"/>
        <v/>
      </c>
      <c r="GA45" s="256" t="str">
        <f>IF(ATTENDANCE!Q46="","",ATTENDANCE!Q46)</f>
        <v/>
      </c>
      <c r="GB45" s="108" t="str">
        <f>IF(ATTENDANCE!Q46="","",ATTENDANCE!$Q46)</f>
        <v/>
      </c>
      <c r="GC45" s="108"/>
      <c r="GD45" s="60"/>
    </row>
    <row r="46" spans="1:186" ht="15" customHeight="1" x14ac:dyDescent="0.25">
      <c r="A46" s="60"/>
      <c r="B46" s="96">
        <f>IF(DATA!B44="","",DATA!B44)</f>
        <v>40</v>
      </c>
      <c r="C46" s="96" t="str">
        <f>IF(DATA!C44="","",DATA!C44)</f>
        <v/>
      </c>
      <c r="D46" s="96" t="str">
        <f>IF(DATA!D44="","",DATA!D44)</f>
        <v/>
      </c>
      <c r="E46" s="303" t="str">
        <f>IF(DATA!E44="","",DATA!E44)</f>
        <v/>
      </c>
      <c r="F46" s="303" t="str">
        <f>IF(DATA!F44="","",DATA!F44)</f>
        <v/>
      </c>
      <c r="G46" s="303" t="str">
        <f>IF(DATA!G44="","",DATA!G44)</f>
        <v/>
      </c>
      <c r="H46" s="98" t="str">
        <f>IF(DATA!H44="","",DATA!H44)</f>
        <v/>
      </c>
      <c r="I46" s="97" t="str">
        <f>IF(DATA!I44="","",DATA!I44)</f>
        <v/>
      </c>
      <c r="J46" s="97" t="str">
        <f>IF(DATA!J44="","",DATA!J44)</f>
        <v/>
      </c>
      <c r="K46" s="97" t="str">
        <f>IF(DATA!K44="","",DATA!K44)</f>
        <v/>
      </c>
      <c r="L46" s="99" t="str">
        <f>IF(ENGLISH!E46="","",ENGLISH!E46)</f>
        <v/>
      </c>
      <c r="M46" s="100" t="str">
        <f t="shared" si="46"/>
        <v/>
      </c>
      <c r="N46" s="99" t="str">
        <f>IF(ENGLISH!F46="","",ENGLISH!F46)</f>
        <v/>
      </c>
      <c r="O46" s="100" t="str">
        <f t="shared" si="47"/>
        <v/>
      </c>
      <c r="P46" s="99" t="str">
        <f>IF(ENGLISH!G46="","",ENGLISH!G46)</f>
        <v/>
      </c>
      <c r="Q46" s="99" t="str">
        <f t="shared" si="48"/>
        <v/>
      </c>
      <c r="R46" s="100" t="str">
        <f>IFERROR(LARGE((M46,O46,Q46),1),"")</f>
        <v/>
      </c>
      <c r="S46" s="100" t="str">
        <f>IFERROR(LARGE((M46,O46,Q46),2),"")</f>
        <v/>
      </c>
      <c r="T46" s="99" t="str">
        <f t="shared" si="49"/>
        <v/>
      </c>
      <c r="U46" s="100" t="str">
        <f>IF(ENGLISH!H46="","",ENGLISH!H46)</f>
        <v/>
      </c>
      <c r="V46" s="99" t="str">
        <f>IF(ENGLISH!I46="","",ENGLISH!I46)</f>
        <v/>
      </c>
      <c r="W46" s="99" t="str">
        <f>IF(ENGLISH!J46="","",ENGLISH!J46)</f>
        <v/>
      </c>
      <c r="X46" s="99" t="str">
        <f t="shared" si="50"/>
        <v/>
      </c>
      <c r="Y46" s="100" t="str">
        <f>IF(ENGLISH!K46="","",ENGLISH!K46)</f>
        <v/>
      </c>
      <c r="Z46" s="100" t="str">
        <f t="shared" si="51"/>
        <v/>
      </c>
      <c r="AA46" s="101" t="str">
        <f t="shared" si="52"/>
        <v/>
      </c>
      <c r="AB46" s="99" t="str">
        <f t="shared" si="15"/>
        <v/>
      </c>
      <c r="AC46" s="99" t="str">
        <f>IF(ENGLISH!O46="","",ENGLISH!O46)</f>
        <v/>
      </c>
      <c r="AD46" s="99" t="str">
        <f t="shared" si="53"/>
        <v/>
      </c>
      <c r="AE46" s="99" t="str">
        <f t="shared" si="54"/>
        <v/>
      </c>
      <c r="AF46" s="99" t="str">
        <f t="shared" si="55"/>
        <v/>
      </c>
      <c r="AG46" s="102" t="str">
        <f>IF(C46="","",VLOOKUP(C46,'HINDI-SKT'!$D$7:$E$51,2,0))</f>
        <v/>
      </c>
      <c r="AH46" s="102" t="str">
        <f>IF('HINDI-SKT'!F46="","",'HINDI-SKT'!F46)</f>
        <v/>
      </c>
      <c r="AI46" s="103" t="str">
        <f t="shared" si="16"/>
        <v/>
      </c>
      <c r="AJ46" s="102" t="str">
        <f>IF('HINDI-SKT'!G46="","",'HINDI-SKT'!G46)</f>
        <v/>
      </c>
      <c r="AK46" s="103" t="str">
        <f t="shared" si="17"/>
        <v/>
      </c>
      <c r="AL46" s="102" t="str">
        <f>IF('HINDI-SKT'!H46="","",'HINDI-SKT'!H46)</f>
        <v/>
      </c>
      <c r="AM46" s="102" t="str">
        <f t="shared" si="18"/>
        <v/>
      </c>
      <c r="AN46" s="103" t="str">
        <f>IFERROR(LARGE((AI46,AK46,AM46),1),"")</f>
        <v/>
      </c>
      <c r="AO46" s="103" t="str">
        <f>IFERROR(LARGE((AI46,AK46,AM46),2),"")</f>
        <v/>
      </c>
      <c r="AP46" s="102" t="str">
        <f t="shared" si="19"/>
        <v/>
      </c>
      <c r="AQ46" s="103" t="str">
        <f>IF('HINDI-SKT'!I46="","",'HINDI-SKT'!I46)</f>
        <v/>
      </c>
      <c r="AR46" s="102" t="str">
        <f>IF('HINDI-SKT'!J46="","",'HINDI-SKT'!J46)</f>
        <v/>
      </c>
      <c r="AS46" s="102" t="str">
        <f>IF('HINDI-SKT'!K46="","",'HINDI-SKT'!K46)</f>
        <v/>
      </c>
      <c r="AT46" s="102" t="str">
        <f t="shared" si="56"/>
        <v/>
      </c>
      <c r="AU46" s="102" t="str">
        <f>IF('HINDI-SKT'!L46="","",'HINDI-SKT'!L46)</f>
        <v/>
      </c>
      <c r="AV46" s="103" t="str">
        <f t="shared" si="57"/>
        <v/>
      </c>
      <c r="AW46" s="102" t="str">
        <f t="shared" si="58"/>
        <v/>
      </c>
      <c r="AX46" s="102" t="str">
        <f t="shared" si="59"/>
        <v/>
      </c>
      <c r="AY46" s="102" t="str">
        <f>IF('HINDI-SKT'!P46="","",'HINDI-SKT'!P46)</f>
        <v/>
      </c>
      <c r="AZ46" s="102" t="str">
        <f t="shared" si="60"/>
        <v/>
      </c>
      <c r="BA46" s="102" t="str">
        <f t="shared" si="61"/>
        <v/>
      </c>
      <c r="BB46" s="102" t="str">
        <f t="shared" si="62"/>
        <v/>
      </c>
      <c r="BC46" s="99" t="str">
        <f>IF(MATHS!E46="","",MATHS!E46)</f>
        <v/>
      </c>
      <c r="BD46" s="100" t="str">
        <f t="shared" si="22"/>
        <v/>
      </c>
      <c r="BE46" s="99" t="str">
        <f>IF(MATHS!F46="","",MATHS!F46)</f>
        <v/>
      </c>
      <c r="BF46" s="100" t="str">
        <f t="shared" si="23"/>
        <v/>
      </c>
      <c r="BG46" s="99" t="str">
        <f>IF(MATHS!G46="","",MATHS!G46)</f>
        <v/>
      </c>
      <c r="BH46" s="99" t="str">
        <f t="shared" si="24"/>
        <v/>
      </c>
      <c r="BI46" s="100" t="str">
        <f>IFERROR(LARGE((BD46,BF46,BH46),1),"")</f>
        <v/>
      </c>
      <c r="BJ46" s="100" t="str">
        <f>IFERROR(LARGE((BD46,BF46,BH46),2),"")</f>
        <v/>
      </c>
      <c r="BK46" s="99" t="str">
        <f t="shared" si="25"/>
        <v/>
      </c>
      <c r="BL46" s="100" t="str">
        <f>IF(MATHS!H46="","",MATHS!H46)</f>
        <v/>
      </c>
      <c r="BM46" s="99" t="str">
        <f>IF(MATHS!I46="","",MATHS!I46)</f>
        <v/>
      </c>
      <c r="BN46" s="99" t="str">
        <f>IF(MATHS!J46="","",MATHS!J46)</f>
        <v/>
      </c>
      <c r="BO46" s="99" t="str">
        <f t="shared" si="63"/>
        <v/>
      </c>
      <c r="BP46" s="99" t="str">
        <f>IF(MATHS!K46="","",MATHS!K46)</f>
        <v/>
      </c>
      <c r="BQ46" s="100" t="str">
        <f t="shared" si="26"/>
        <v/>
      </c>
      <c r="BR46" s="99" t="str">
        <f t="shared" si="64"/>
        <v/>
      </c>
      <c r="BS46" s="99" t="str">
        <f t="shared" si="27"/>
        <v/>
      </c>
      <c r="BT46" s="99" t="str">
        <f>IF(MATHS!O46="","",MATHS!O46)</f>
        <v/>
      </c>
      <c r="BU46" s="99" t="str">
        <f t="shared" si="65"/>
        <v/>
      </c>
      <c r="BV46" s="99" t="str">
        <f t="shared" si="66"/>
        <v/>
      </c>
      <c r="BW46" s="99"/>
      <c r="BX46" s="102" t="str">
        <f>IF(SCIENCE!E46="","",SCIENCE!E46)</f>
        <v/>
      </c>
      <c r="BY46" s="103" t="str">
        <f t="shared" si="28"/>
        <v/>
      </c>
      <c r="BZ46" s="102" t="str">
        <f>IF(SCIENCE!F46="","",SCIENCE!F46)</f>
        <v/>
      </c>
      <c r="CA46" s="103" t="str">
        <f t="shared" si="29"/>
        <v/>
      </c>
      <c r="CB46" s="102" t="str">
        <f>IF(SCIENCE!G46="","",SCIENCE!G46)</f>
        <v/>
      </c>
      <c r="CC46" s="102" t="str">
        <f t="shared" si="30"/>
        <v/>
      </c>
      <c r="CD46" s="103" t="str">
        <f>IFERROR(LARGE((BY46,CA46,CC46),1),"")</f>
        <v/>
      </c>
      <c r="CE46" s="103" t="str">
        <f>IFERROR(LARGE((BY46,CA46,CC46),2),"")</f>
        <v/>
      </c>
      <c r="CF46" s="102" t="str">
        <f t="shared" si="31"/>
        <v/>
      </c>
      <c r="CG46" s="103" t="str">
        <f>IF(SCIENCE!H46="","",SCIENCE!H46)</f>
        <v/>
      </c>
      <c r="CH46" s="103" t="str">
        <f>IF(SCIENCE!I46="","",SCIENCE!I46)</f>
        <v/>
      </c>
      <c r="CI46" s="103" t="str">
        <f>IF(SCIENCE!J46="","",SCIENCE!J46)</f>
        <v/>
      </c>
      <c r="CJ46" s="103" t="str">
        <f t="shared" si="68"/>
        <v/>
      </c>
      <c r="CK46" s="103" t="str">
        <f>IF(SCIENCE!K46="","",SCIENCE!K46)</f>
        <v/>
      </c>
      <c r="CL46" s="103" t="str">
        <f t="shared" si="32"/>
        <v/>
      </c>
      <c r="CM46" s="102" t="str">
        <f t="shared" si="69"/>
        <v/>
      </c>
      <c r="CN46" s="102" t="str">
        <f t="shared" si="33"/>
        <v/>
      </c>
      <c r="CO46" s="102" t="str">
        <f>IF(SCIENCE!O46="","",SCIENCE!O46)</f>
        <v/>
      </c>
      <c r="CP46" s="102" t="str">
        <f t="shared" si="70"/>
        <v/>
      </c>
      <c r="CQ46" s="102" t="str">
        <f t="shared" si="71"/>
        <v/>
      </c>
      <c r="CR46" s="102" t="str">
        <f t="shared" si="72"/>
        <v/>
      </c>
      <c r="CS46" s="99" t="str">
        <f>IF(SST!E46="","",SST!E46)</f>
        <v/>
      </c>
      <c r="CT46" s="100" t="str">
        <f t="shared" si="34"/>
        <v/>
      </c>
      <c r="CU46" s="99" t="str">
        <f>IF(SST!F46="","",SST!F46)</f>
        <v/>
      </c>
      <c r="CV46" s="100" t="str">
        <f t="shared" si="35"/>
        <v/>
      </c>
      <c r="CW46" s="99" t="str">
        <f>IF(SST!G46="","",SST!G46)</f>
        <v/>
      </c>
      <c r="CX46" s="99" t="str">
        <f t="shared" si="36"/>
        <v/>
      </c>
      <c r="CY46" s="100" t="str">
        <f>IFERROR(LARGE((CT46,CV46,CX46),1),"")</f>
        <v/>
      </c>
      <c r="CZ46" s="100" t="str">
        <f>IFERROR(LARGE((CT46,CV46,CX46),2),"")</f>
        <v/>
      </c>
      <c r="DA46" s="99" t="str">
        <f t="shared" si="37"/>
        <v/>
      </c>
      <c r="DB46" s="100" t="str">
        <f>IF(SST!H46="","",SST!H46)</f>
        <v/>
      </c>
      <c r="DC46" s="100" t="str">
        <f>IF(SST!I46="","",SST!I46)</f>
        <v/>
      </c>
      <c r="DD46" s="100" t="str">
        <f>IF(SST!J46="","",SST!J46)</f>
        <v/>
      </c>
      <c r="DE46" s="100" t="str">
        <f t="shared" si="73"/>
        <v/>
      </c>
      <c r="DF46" s="100" t="str">
        <f>IF(SST!K46="","",SST!K46)</f>
        <v/>
      </c>
      <c r="DG46" s="100" t="str">
        <f t="shared" si="74"/>
        <v/>
      </c>
      <c r="DH46" s="99" t="str">
        <f t="shared" si="75"/>
        <v/>
      </c>
      <c r="DI46" s="99" t="str">
        <f t="shared" si="38"/>
        <v/>
      </c>
      <c r="DJ46" s="99" t="str">
        <f>IF(SST!O46="","",SST!O46)</f>
        <v/>
      </c>
      <c r="DK46" s="99" t="str">
        <f t="shared" si="76"/>
        <v/>
      </c>
      <c r="DL46" s="99" t="str">
        <f t="shared" si="77"/>
        <v/>
      </c>
      <c r="DM46" s="99" t="str">
        <f t="shared" si="78"/>
        <v/>
      </c>
      <c r="DN46" s="99"/>
      <c r="DO46" s="102" t="str">
        <f>IF(C46="","",IF(VLOOKUP(C46,VOCATIONAL!$D$7:$E$51,2,0)="","",VLOOKUP(C46,VOCATIONAL!$D$7:$E$51,2,0)))</f>
        <v/>
      </c>
      <c r="DP46" s="102" t="str">
        <f>IF(VOCATIONAL!F46="","",VOCATIONAL!F46)</f>
        <v/>
      </c>
      <c r="DQ46" s="102" t="str">
        <f>IF(VOCATIONAL!G46="","",VOCATIONAL!G46)</f>
        <v/>
      </c>
      <c r="DR46" s="102" t="str">
        <f t="shared" si="79"/>
        <v/>
      </c>
      <c r="DS46" s="102" t="str">
        <f t="shared" si="80"/>
        <v/>
      </c>
      <c r="DT46" s="102" t="str">
        <f>IF(VOCATIONAL!K46="","",VOCATIONAL!K46)</f>
        <v/>
      </c>
      <c r="DU46" s="102" t="str">
        <f t="shared" si="81"/>
        <v/>
      </c>
      <c r="DV46" s="102" t="str">
        <f t="shared" si="82"/>
        <v/>
      </c>
      <c r="DW46" s="99"/>
      <c r="DX46" s="104" t="str">
        <f t="shared" si="83"/>
        <v/>
      </c>
      <c r="DY46" s="104" t="str">
        <f t="shared" si="84"/>
        <v/>
      </c>
      <c r="DZ46" s="104" t="str">
        <f t="shared" si="85"/>
        <v/>
      </c>
      <c r="EA46" s="104" t="str">
        <f t="shared" si="86"/>
        <v/>
      </c>
      <c r="EB46" s="104" t="str">
        <f t="shared" si="87"/>
        <v/>
      </c>
      <c r="EC46" s="104" t="str">
        <f t="shared" si="88"/>
        <v/>
      </c>
      <c r="ED46" s="104" t="str">
        <f t="shared" si="89"/>
        <v/>
      </c>
      <c r="EE46" s="104" t="str">
        <f t="shared" si="90"/>
        <v/>
      </c>
      <c r="EF46" s="104" t="str">
        <f t="shared" si="91"/>
        <v/>
      </c>
      <c r="EG46" s="104" t="str">
        <f t="shared" si="92"/>
        <v/>
      </c>
      <c r="EH46" s="104" t="str">
        <f t="shared" si="93"/>
        <v/>
      </c>
      <c r="EI46" s="104" t="str">
        <f t="shared" si="94"/>
        <v/>
      </c>
      <c r="EJ46" s="105" t="str">
        <f t="shared" si="95"/>
        <v/>
      </c>
      <c r="EK46" s="105" t="str">
        <f t="shared" si="96"/>
        <v/>
      </c>
      <c r="EL46" s="105" t="str">
        <f t="shared" si="97"/>
        <v/>
      </c>
      <c r="EM46" s="105" t="str">
        <f t="shared" si="98"/>
        <v/>
      </c>
      <c r="EN46" s="105" t="str">
        <f t="shared" si="99"/>
        <v/>
      </c>
      <c r="EO46" s="363" t="str">
        <f t="shared" si="100"/>
        <v/>
      </c>
      <c r="EP46" s="106" t="str">
        <f t="shared" si="101"/>
        <v/>
      </c>
      <c r="EQ46" s="106" t="str">
        <f t="shared" si="102"/>
        <v/>
      </c>
      <c r="ER46" s="106" t="str">
        <f t="shared" si="103"/>
        <v/>
      </c>
      <c r="ES46" s="106" t="str">
        <f t="shared" si="104"/>
        <v/>
      </c>
      <c r="ET46" s="106" t="str">
        <f t="shared" si="105"/>
        <v/>
      </c>
      <c r="EU46" s="106" t="str">
        <f t="shared" si="106"/>
        <v/>
      </c>
      <c r="EV46" s="92" t="str">
        <f t="shared" si="107"/>
        <v/>
      </c>
      <c r="EW46" s="92" t="str">
        <f t="shared" si="108"/>
        <v/>
      </c>
      <c r="EX46" s="92" t="str">
        <f t="shared" si="109"/>
        <v/>
      </c>
      <c r="EY46" s="92" t="str">
        <f t="shared" si="110"/>
        <v/>
      </c>
      <c r="EZ46" s="92" t="str">
        <f t="shared" si="111"/>
        <v/>
      </c>
      <c r="FA46" s="92" t="str">
        <f t="shared" si="112"/>
        <v/>
      </c>
      <c r="FB46" s="93" t="str">
        <f t="shared" si="113"/>
        <v/>
      </c>
      <c r="FC46" s="93" t="str">
        <f t="shared" si="114"/>
        <v/>
      </c>
      <c r="FD46" s="93" t="str">
        <f t="shared" si="115"/>
        <v/>
      </c>
      <c r="FE46" s="93" t="str">
        <f t="shared" si="116"/>
        <v/>
      </c>
      <c r="FF46" s="93" t="str">
        <f t="shared" si="117"/>
        <v/>
      </c>
      <c r="FG46" s="93" t="str">
        <f t="shared" si="118"/>
        <v/>
      </c>
      <c r="FH46" s="107" t="str">
        <f t="shared" si="119"/>
        <v/>
      </c>
      <c r="FI46" s="107" t="str">
        <f t="shared" si="120"/>
        <v/>
      </c>
      <c r="FJ46" s="256" t="str">
        <f t="shared" si="121"/>
        <v/>
      </c>
      <c r="FK46" s="256" t="str">
        <f t="shared" si="122"/>
        <v/>
      </c>
      <c r="FL46" s="256" t="str">
        <f t="shared" si="123"/>
        <v/>
      </c>
      <c r="FM46" s="256" t="str">
        <f t="shared" si="124"/>
        <v/>
      </c>
      <c r="FN46" s="256" t="str">
        <f>IF(OR(C46="TC",C46=""),"",IF(OR(FJ46="PASS",FJ46="FAIL"),IF(EC46="",SUM(FB46:FF46),SUM(LARGE(FB46:FG46,{1,2,3,4,5}))),""))</f>
        <v/>
      </c>
      <c r="FO46" s="256" t="str">
        <f>IF(AND(FN46="",FK46="PASSED AFTER COMPARTMENT"),IF(EC46="",SUM(FB46:FF46),SUM(LARGE(FB46:FG46,{1,2,3,4,5}))),FN46)</f>
        <v/>
      </c>
      <c r="FP46" s="256" t="str">
        <f t="shared" si="125"/>
        <v/>
      </c>
      <c r="FQ46" s="256" t="str">
        <f t="shared" si="126"/>
        <v/>
      </c>
      <c r="FR46" s="256" t="str">
        <f t="shared" si="127"/>
        <v/>
      </c>
      <c r="FS46" s="256" t="str">
        <f t="shared" si="128"/>
        <v/>
      </c>
      <c r="FT46" s="108" t="str">
        <f t="shared" si="129"/>
        <v/>
      </c>
      <c r="FU46" s="256" t="str">
        <f t="shared" si="130"/>
        <v/>
      </c>
      <c r="FV46" s="109" t="str">
        <f>IF(ATTENDANCE!Q47="","",ATTENDANCE!Q47)</f>
        <v/>
      </c>
      <c r="FW46" s="110" t="str">
        <f t="shared" si="131"/>
        <v/>
      </c>
      <c r="FX46" s="110" t="str">
        <f t="shared" si="132"/>
        <v/>
      </c>
      <c r="FY46" s="365" t="str">
        <f t="shared" si="133"/>
        <v/>
      </c>
      <c r="FZ46" s="108" t="str">
        <f t="shared" si="134"/>
        <v/>
      </c>
      <c r="GA46" s="256" t="str">
        <f>IF(ATTENDANCE!Q47="","",ATTENDANCE!Q47)</f>
        <v/>
      </c>
      <c r="GB46" s="108" t="str">
        <f>IF(ATTENDANCE!Q47="","",ATTENDANCE!$Q47)</f>
        <v/>
      </c>
      <c r="GC46" s="108"/>
      <c r="GD46" s="60"/>
    </row>
    <row r="47" spans="1:186" ht="15" customHeight="1" x14ac:dyDescent="0.25">
      <c r="A47" s="60"/>
      <c r="B47" s="96">
        <f>IF(DATA!B45="","",DATA!B45)</f>
        <v>41</v>
      </c>
      <c r="C47" s="96" t="str">
        <f>IF(DATA!C45="","",DATA!C45)</f>
        <v/>
      </c>
      <c r="D47" s="96" t="str">
        <f>IF(DATA!D45="","",DATA!D45)</f>
        <v/>
      </c>
      <c r="E47" s="303" t="str">
        <f>IF(DATA!E45="","",DATA!E45)</f>
        <v/>
      </c>
      <c r="F47" s="303" t="str">
        <f>IF(DATA!F45="","",DATA!F45)</f>
        <v/>
      </c>
      <c r="G47" s="303" t="str">
        <f>IF(DATA!G45="","",DATA!G45)</f>
        <v/>
      </c>
      <c r="H47" s="98" t="str">
        <f>IF(DATA!H45="","",DATA!H45)</f>
        <v/>
      </c>
      <c r="I47" s="97" t="str">
        <f>IF(DATA!I45="","",DATA!I45)</f>
        <v/>
      </c>
      <c r="J47" s="97" t="str">
        <f>IF(DATA!J45="","",DATA!J45)</f>
        <v/>
      </c>
      <c r="K47" s="97" t="str">
        <f>IF(DATA!K45="","",DATA!K45)</f>
        <v/>
      </c>
      <c r="L47" s="99" t="str">
        <f>IF(ENGLISH!E47="","",ENGLISH!E47)</f>
        <v/>
      </c>
      <c r="M47" s="100" t="str">
        <f t="shared" si="46"/>
        <v/>
      </c>
      <c r="N47" s="99" t="str">
        <f>IF(ENGLISH!F47="","",ENGLISH!F47)</f>
        <v/>
      </c>
      <c r="O47" s="100" t="str">
        <f t="shared" si="47"/>
        <v/>
      </c>
      <c r="P47" s="99" t="str">
        <f>IF(ENGLISH!G47="","",ENGLISH!G47)</f>
        <v/>
      </c>
      <c r="Q47" s="99" t="str">
        <f t="shared" si="48"/>
        <v/>
      </c>
      <c r="R47" s="100" t="str">
        <f>IFERROR(LARGE((M47,O47,Q47),1),"")</f>
        <v/>
      </c>
      <c r="S47" s="100" t="str">
        <f>IFERROR(LARGE((M47,O47,Q47),2),"")</f>
        <v/>
      </c>
      <c r="T47" s="99" t="str">
        <f t="shared" si="49"/>
        <v/>
      </c>
      <c r="U47" s="100" t="str">
        <f>IF(ENGLISH!H47="","",ENGLISH!H47)</f>
        <v/>
      </c>
      <c r="V47" s="99" t="str">
        <f>IF(ENGLISH!I47="","",ENGLISH!I47)</f>
        <v/>
      </c>
      <c r="W47" s="99" t="str">
        <f>IF(ENGLISH!J47="","",ENGLISH!J47)</f>
        <v/>
      </c>
      <c r="X47" s="99" t="str">
        <f t="shared" si="50"/>
        <v/>
      </c>
      <c r="Y47" s="100" t="str">
        <f>IF(ENGLISH!K47="","",ENGLISH!K47)</f>
        <v/>
      </c>
      <c r="Z47" s="100" t="str">
        <f t="shared" si="51"/>
        <v/>
      </c>
      <c r="AA47" s="101" t="str">
        <f t="shared" si="52"/>
        <v/>
      </c>
      <c r="AB47" s="99" t="str">
        <f t="shared" si="15"/>
        <v/>
      </c>
      <c r="AC47" s="99" t="str">
        <f>IF(ENGLISH!O47="","",ENGLISH!O47)</f>
        <v/>
      </c>
      <c r="AD47" s="99" t="str">
        <f t="shared" si="53"/>
        <v/>
      </c>
      <c r="AE47" s="99" t="str">
        <f t="shared" si="54"/>
        <v/>
      </c>
      <c r="AF47" s="99" t="str">
        <f t="shared" si="55"/>
        <v/>
      </c>
      <c r="AG47" s="102" t="str">
        <f>IF(C47="","",VLOOKUP(C47,'HINDI-SKT'!$D$7:$E$51,2,0))</f>
        <v/>
      </c>
      <c r="AH47" s="102" t="str">
        <f>IF('HINDI-SKT'!F47="","",'HINDI-SKT'!F47)</f>
        <v/>
      </c>
      <c r="AI47" s="103" t="str">
        <f t="shared" si="16"/>
        <v/>
      </c>
      <c r="AJ47" s="102" t="str">
        <f>IF('HINDI-SKT'!G47="","",'HINDI-SKT'!G47)</f>
        <v/>
      </c>
      <c r="AK47" s="103" t="str">
        <f t="shared" si="17"/>
        <v/>
      </c>
      <c r="AL47" s="102" t="str">
        <f>IF('HINDI-SKT'!H47="","",'HINDI-SKT'!H47)</f>
        <v/>
      </c>
      <c r="AM47" s="102" t="str">
        <f t="shared" si="18"/>
        <v/>
      </c>
      <c r="AN47" s="103" t="str">
        <f>IFERROR(LARGE((AI47,AK47,AM47),1),"")</f>
        <v/>
      </c>
      <c r="AO47" s="103" t="str">
        <f>IFERROR(LARGE((AI47,AK47,AM47),2),"")</f>
        <v/>
      </c>
      <c r="AP47" s="102" t="str">
        <f t="shared" si="19"/>
        <v/>
      </c>
      <c r="AQ47" s="103" t="str">
        <f>IF('HINDI-SKT'!I47="","",'HINDI-SKT'!I47)</f>
        <v/>
      </c>
      <c r="AR47" s="102" t="str">
        <f>IF('HINDI-SKT'!J47="","",'HINDI-SKT'!J47)</f>
        <v/>
      </c>
      <c r="AS47" s="102" t="str">
        <f>IF('HINDI-SKT'!K47="","",'HINDI-SKT'!K47)</f>
        <v/>
      </c>
      <c r="AT47" s="102" t="str">
        <f t="shared" si="56"/>
        <v/>
      </c>
      <c r="AU47" s="102" t="str">
        <f>IF('HINDI-SKT'!L47="","",'HINDI-SKT'!L47)</f>
        <v/>
      </c>
      <c r="AV47" s="103" t="str">
        <f t="shared" si="57"/>
        <v/>
      </c>
      <c r="AW47" s="102" t="str">
        <f t="shared" si="58"/>
        <v/>
      </c>
      <c r="AX47" s="102" t="str">
        <f t="shared" si="59"/>
        <v/>
      </c>
      <c r="AY47" s="102" t="str">
        <f>IF('HINDI-SKT'!P47="","",'HINDI-SKT'!P47)</f>
        <v/>
      </c>
      <c r="AZ47" s="102" t="str">
        <f t="shared" si="60"/>
        <v/>
      </c>
      <c r="BA47" s="102" t="str">
        <f t="shared" si="61"/>
        <v/>
      </c>
      <c r="BB47" s="102" t="str">
        <f t="shared" si="62"/>
        <v/>
      </c>
      <c r="BC47" s="99" t="str">
        <f>IF(MATHS!E47="","",MATHS!E47)</f>
        <v/>
      </c>
      <c r="BD47" s="100" t="str">
        <f t="shared" si="22"/>
        <v/>
      </c>
      <c r="BE47" s="99" t="str">
        <f>IF(MATHS!F47="","",MATHS!F47)</f>
        <v/>
      </c>
      <c r="BF47" s="100" t="str">
        <f t="shared" si="23"/>
        <v/>
      </c>
      <c r="BG47" s="99" t="str">
        <f>IF(MATHS!G47="","",MATHS!G47)</f>
        <v/>
      </c>
      <c r="BH47" s="99" t="str">
        <f t="shared" si="24"/>
        <v/>
      </c>
      <c r="BI47" s="100" t="str">
        <f>IFERROR(LARGE((BD47,BF47,BH47),1),"")</f>
        <v/>
      </c>
      <c r="BJ47" s="100" t="str">
        <f>IFERROR(LARGE((BD47,BF47,BH47),2),"")</f>
        <v/>
      </c>
      <c r="BK47" s="99" t="str">
        <f t="shared" si="25"/>
        <v/>
      </c>
      <c r="BL47" s="100" t="str">
        <f>IF(MATHS!H47="","",MATHS!H47)</f>
        <v/>
      </c>
      <c r="BM47" s="99" t="str">
        <f>IF(MATHS!I47="","",MATHS!I47)</f>
        <v/>
      </c>
      <c r="BN47" s="99" t="str">
        <f>IF(MATHS!J47="","",MATHS!J47)</f>
        <v/>
      </c>
      <c r="BO47" s="99" t="str">
        <f t="shared" si="63"/>
        <v/>
      </c>
      <c r="BP47" s="99" t="str">
        <f>IF(MATHS!K47="","",MATHS!K47)</f>
        <v/>
      </c>
      <c r="BQ47" s="100" t="str">
        <f t="shared" si="26"/>
        <v/>
      </c>
      <c r="BR47" s="99" t="str">
        <f t="shared" si="64"/>
        <v/>
      </c>
      <c r="BS47" s="99" t="str">
        <f t="shared" si="27"/>
        <v/>
      </c>
      <c r="BT47" s="99" t="str">
        <f>IF(MATHS!O47="","",MATHS!O47)</f>
        <v/>
      </c>
      <c r="BU47" s="99" t="str">
        <f t="shared" si="65"/>
        <v/>
      </c>
      <c r="BV47" s="99" t="str">
        <f t="shared" si="66"/>
        <v/>
      </c>
      <c r="BW47" s="99"/>
      <c r="BX47" s="102" t="str">
        <f>IF(SCIENCE!E47="","",SCIENCE!E47)</f>
        <v/>
      </c>
      <c r="BY47" s="103" t="str">
        <f t="shared" si="28"/>
        <v/>
      </c>
      <c r="BZ47" s="102" t="str">
        <f>IF(SCIENCE!F47="","",SCIENCE!F47)</f>
        <v/>
      </c>
      <c r="CA47" s="103" t="str">
        <f t="shared" si="29"/>
        <v/>
      </c>
      <c r="CB47" s="102" t="str">
        <f>IF(SCIENCE!G47="","",SCIENCE!G47)</f>
        <v/>
      </c>
      <c r="CC47" s="102" t="str">
        <f t="shared" si="30"/>
        <v/>
      </c>
      <c r="CD47" s="103" t="str">
        <f>IFERROR(LARGE((BY47,CA47,CC47),1),"")</f>
        <v/>
      </c>
      <c r="CE47" s="103" t="str">
        <f>IFERROR(LARGE((BY47,CA47,CC47),2),"")</f>
        <v/>
      </c>
      <c r="CF47" s="102" t="str">
        <f t="shared" si="31"/>
        <v/>
      </c>
      <c r="CG47" s="103" t="str">
        <f>IF(SCIENCE!H47="","",SCIENCE!H47)</f>
        <v/>
      </c>
      <c r="CH47" s="103" t="str">
        <f>IF(SCIENCE!I47="","",SCIENCE!I47)</f>
        <v/>
      </c>
      <c r="CI47" s="103" t="str">
        <f>IF(SCIENCE!J47="","",SCIENCE!J47)</f>
        <v/>
      </c>
      <c r="CJ47" s="103" t="str">
        <f t="shared" si="68"/>
        <v/>
      </c>
      <c r="CK47" s="103" t="str">
        <f>IF(SCIENCE!K47="","",SCIENCE!K47)</f>
        <v/>
      </c>
      <c r="CL47" s="103" t="str">
        <f t="shared" si="32"/>
        <v/>
      </c>
      <c r="CM47" s="102" t="str">
        <f t="shared" si="69"/>
        <v/>
      </c>
      <c r="CN47" s="102" t="str">
        <f t="shared" si="33"/>
        <v/>
      </c>
      <c r="CO47" s="102" t="str">
        <f>IF(SCIENCE!O47="","",SCIENCE!O47)</f>
        <v/>
      </c>
      <c r="CP47" s="102" t="str">
        <f t="shared" si="70"/>
        <v/>
      </c>
      <c r="CQ47" s="102" t="str">
        <f t="shared" si="71"/>
        <v/>
      </c>
      <c r="CR47" s="102" t="str">
        <f t="shared" si="72"/>
        <v/>
      </c>
      <c r="CS47" s="99" t="str">
        <f>IF(SST!E47="","",SST!E47)</f>
        <v/>
      </c>
      <c r="CT47" s="100" t="str">
        <f t="shared" si="34"/>
        <v/>
      </c>
      <c r="CU47" s="99" t="str">
        <f>IF(SST!F47="","",SST!F47)</f>
        <v/>
      </c>
      <c r="CV47" s="100" t="str">
        <f t="shared" si="35"/>
        <v/>
      </c>
      <c r="CW47" s="99" t="str">
        <f>IF(SST!G47="","",SST!G47)</f>
        <v/>
      </c>
      <c r="CX47" s="99" t="str">
        <f t="shared" si="36"/>
        <v/>
      </c>
      <c r="CY47" s="100" t="str">
        <f>IFERROR(LARGE((CT47,CV47,CX47),1),"")</f>
        <v/>
      </c>
      <c r="CZ47" s="100" t="str">
        <f>IFERROR(LARGE((CT47,CV47,CX47),2),"")</f>
        <v/>
      </c>
      <c r="DA47" s="99" t="str">
        <f t="shared" si="37"/>
        <v/>
      </c>
      <c r="DB47" s="100" t="str">
        <f>IF(SST!H47="","",SST!H47)</f>
        <v/>
      </c>
      <c r="DC47" s="100" t="str">
        <f>IF(SST!I47="","",SST!I47)</f>
        <v/>
      </c>
      <c r="DD47" s="100" t="str">
        <f>IF(SST!J47="","",SST!J47)</f>
        <v/>
      </c>
      <c r="DE47" s="100" t="str">
        <f t="shared" si="73"/>
        <v/>
      </c>
      <c r="DF47" s="100" t="str">
        <f>IF(SST!K47="","",SST!K47)</f>
        <v/>
      </c>
      <c r="DG47" s="100" t="str">
        <f t="shared" si="74"/>
        <v/>
      </c>
      <c r="DH47" s="99" t="str">
        <f t="shared" si="75"/>
        <v/>
      </c>
      <c r="DI47" s="99" t="str">
        <f t="shared" si="38"/>
        <v/>
      </c>
      <c r="DJ47" s="99" t="str">
        <f>IF(SST!O47="","",SST!O47)</f>
        <v/>
      </c>
      <c r="DK47" s="99" t="str">
        <f t="shared" si="76"/>
        <v/>
      </c>
      <c r="DL47" s="99" t="str">
        <f t="shared" si="77"/>
        <v/>
      </c>
      <c r="DM47" s="99" t="str">
        <f t="shared" si="78"/>
        <v/>
      </c>
      <c r="DN47" s="99"/>
      <c r="DO47" s="102" t="str">
        <f>IF(C47="","",IF(VLOOKUP(C47,VOCATIONAL!$D$7:$E$51,2,0)="","",VLOOKUP(C47,VOCATIONAL!$D$7:$E$51,2,0)))</f>
        <v/>
      </c>
      <c r="DP47" s="102" t="str">
        <f>IF(VOCATIONAL!F47="","",VOCATIONAL!F47)</f>
        <v/>
      </c>
      <c r="DQ47" s="102" t="str">
        <f>IF(VOCATIONAL!G47="","",VOCATIONAL!G47)</f>
        <v/>
      </c>
      <c r="DR47" s="102" t="str">
        <f t="shared" si="79"/>
        <v/>
      </c>
      <c r="DS47" s="102" t="str">
        <f t="shared" si="80"/>
        <v/>
      </c>
      <c r="DT47" s="102" t="str">
        <f>IF(VOCATIONAL!K47="","",VOCATIONAL!K47)</f>
        <v/>
      </c>
      <c r="DU47" s="102" t="str">
        <f t="shared" si="81"/>
        <v/>
      </c>
      <c r="DV47" s="102" t="str">
        <f t="shared" si="82"/>
        <v/>
      </c>
      <c r="DW47" s="99"/>
      <c r="DX47" s="104" t="str">
        <f t="shared" si="83"/>
        <v/>
      </c>
      <c r="DY47" s="104" t="str">
        <f t="shared" si="84"/>
        <v/>
      </c>
      <c r="DZ47" s="104" t="str">
        <f t="shared" si="85"/>
        <v/>
      </c>
      <c r="EA47" s="104" t="str">
        <f t="shared" si="86"/>
        <v/>
      </c>
      <c r="EB47" s="104" t="str">
        <f t="shared" si="87"/>
        <v/>
      </c>
      <c r="EC47" s="104" t="str">
        <f t="shared" si="88"/>
        <v/>
      </c>
      <c r="ED47" s="104" t="str">
        <f t="shared" si="89"/>
        <v/>
      </c>
      <c r="EE47" s="104" t="str">
        <f t="shared" si="90"/>
        <v/>
      </c>
      <c r="EF47" s="104" t="str">
        <f t="shared" si="91"/>
        <v/>
      </c>
      <c r="EG47" s="104" t="str">
        <f t="shared" si="92"/>
        <v/>
      </c>
      <c r="EH47" s="104" t="str">
        <f t="shared" si="93"/>
        <v/>
      </c>
      <c r="EI47" s="104" t="str">
        <f t="shared" si="94"/>
        <v/>
      </c>
      <c r="EJ47" s="105" t="str">
        <f t="shared" si="95"/>
        <v/>
      </c>
      <c r="EK47" s="105" t="str">
        <f t="shared" si="96"/>
        <v/>
      </c>
      <c r="EL47" s="105" t="str">
        <f t="shared" si="97"/>
        <v/>
      </c>
      <c r="EM47" s="105" t="str">
        <f t="shared" si="98"/>
        <v/>
      </c>
      <c r="EN47" s="105" t="str">
        <f t="shared" si="99"/>
        <v/>
      </c>
      <c r="EO47" s="363" t="str">
        <f t="shared" si="100"/>
        <v/>
      </c>
      <c r="EP47" s="106" t="str">
        <f t="shared" si="101"/>
        <v/>
      </c>
      <c r="EQ47" s="106" t="str">
        <f t="shared" si="102"/>
        <v/>
      </c>
      <c r="ER47" s="106" t="str">
        <f t="shared" si="103"/>
        <v/>
      </c>
      <c r="ES47" s="106" t="str">
        <f t="shared" si="104"/>
        <v/>
      </c>
      <c r="ET47" s="106" t="str">
        <f t="shared" si="105"/>
        <v/>
      </c>
      <c r="EU47" s="106" t="str">
        <f t="shared" si="106"/>
        <v/>
      </c>
      <c r="EV47" s="92" t="str">
        <f t="shared" si="107"/>
        <v/>
      </c>
      <c r="EW47" s="92" t="str">
        <f t="shared" si="108"/>
        <v/>
      </c>
      <c r="EX47" s="92" t="str">
        <f t="shared" si="109"/>
        <v/>
      </c>
      <c r="EY47" s="92" t="str">
        <f t="shared" si="110"/>
        <v/>
      </c>
      <c r="EZ47" s="92" t="str">
        <f t="shared" si="111"/>
        <v/>
      </c>
      <c r="FA47" s="92" t="str">
        <f t="shared" si="112"/>
        <v/>
      </c>
      <c r="FB47" s="93" t="str">
        <f t="shared" si="113"/>
        <v/>
      </c>
      <c r="FC47" s="93" t="str">
        <f t="shared" si="114"/>
        <v/>
      </c>
      <c r="FD47" s="93" t="str">
        <f t="shared" si="115"/>
        <v/>
      </c>
      <c r="FE47" s="93" t="str">
        <f t="shared" si="116"/>
        <v/>
      </c>
      <c r="FF47" s="93" t="str">
        <f t="shared" si="117"/>
        <v/>
      </c>
      <c r="FG47" s="93" t="str">
        <f t="shared" si="118"/>
        <v/>
      </c>
      <c r="FH47" s="107" t="str">
        <f t="shared" si="119"/>
        <v/>
      </c>
      <c r="FI47" s="107" t="str">
        <f t="shared" si="120"/>
        <v/>
      </c>
      <c r="FJ47" s="256" t="str">
        <f t="shared" si="121"/>
        <v/>
      </c>
      <c r="FK47" s="256" t="str">
        <f t="shared" si="122"/>
        <v/>
      </c>
      <c r="FL47" s="256" t="str">
        <f t="shared" si="123"/>
        <v/>
      </c>
      <c r="FM47" s="256" t="str">
        <f t="shared" si="124"/>
        <v/>
      </c>
      <c r="FN47" s="256" t="str">
        <f>IF(OR(C47="TC",C47=""),"",IF(OR(FJ47="PASS",FJ47="FAIL"),IF(EC47="",SUM(FB47:FF47),SUM(LARGE(FB47:FG47,{1,2,3,4,5}))),""))</f>
        <v/>
      </c>
      <c r="FO47" s="256" t="str">
        <f>IF(AND(FN47="",FK47="PASSED AFTER COMPARTMENT"),IF(EC47="",SUM(FB47:FF47),SUM(LARGE(FB47:FG47,{1,2,3,4,5}))),FN47)</f>
        <v/>
      </c>
      <c r="FP47" s="256" t="str">
        <f t="shared" si="125"/>
        <v/>
      </c>
      <c r="FQ47" s="256" t="str">
        <f t="shared" si="126"/>
        <v/>
      </c>
      <c r="FR47" s="256" t="str">
        <f t="shared" si="127"/>
        <v/>
      </c>
      <c r="FS47" s="256" t="str">
        <f t="shared" si="128"/>
        <v/>
      </c>
      <c r="FT47" s="108" t="str">
        <f t="shared" si="129"/>
        <v/>
      </c>
      <c r="FU47" s="256" t="str">
        <f t="shared" si="130"/>
        <v/>
      </c>
      <c r="FV47" s="109" t="str">
        <f>IF(ATTENDANCE!Q48="","",ATTENDANCE!Q48)</f>
        <v/>
      </c>
      <c r="FW47" s="110" t="str">
        <f t="shared" si="131"/>
        <v/>
      </c>
      <c r="FX47" s="110" t="str">
        <f t="shared" si="132"/>
        <v/>
      </c>
      <c r="FY47" s="365" t="str">
        <f t="shared" si="133"/>
        <v/>
      </c>
      <c r="FZ47" s="108" t="str">
        <f t="shared" si="134"/>
        <v/>
      </c>
      <c r="GA47" s="256" t="str">
        <f>IF(ATTENDANCE!Q48="","",ATTENDANCE!Q48)</f>
        <v/>
      </c>
      <c r="GB47" s="108" t="str">
        <f>IF(ATTENDANCE!Q48="","",ATTENDANCE!$Q48)</f>
        <v/>
      </c>
      <c r="GC47" s="108"/>
      <c r="GD47" s="60"/>
    </row>
    <row r="48" spans="1:186" ht="15" customHeight="1" x14ac:dyDescent="0.25">
      <c r="A48" s="60"/>
      <c r="B48" s="96">
        <f>IF(DATA!B46="","",DATA!B46)</f>
        <v>42</v>
      </c>
      <c r="C48" s="96" t="str">
        <f>IF(DATA!C46="","",DATA!C46)</f>
        <v/>
      </c>
      <c r="D48" s="96" t="str">
        <f>IF(DATA!D46="","",DATA!D46)</f>
        <v/>
      </c>
      <c r="E48" s="303" t="str">
        <f>IF(DATA!E46="","",DATA!E46)</f>
        <v/>
      </c>
      <c r="F48" s="303" t="str">
        <f>IF(DATA!F46="","",DATA!F46)</f>
        <v/>
      </c>
      <c r="G48" s="303" t="str">
        <f>IF(DATA!G46="","",DATA!G46)</f>
        <v/>
      </c>
      <c r="H48" s="98" t="str">
        <f>IF(DATA!H46="","",DATA!H46)</f>
        <v/>
      </c>
      <c r="I48" s="97" t="str">
        <f>IF(DATA!I46="","",DATA!I46)</f>
        <v/>
      </c>
      <c r="J48" s="97" t="str">
        <f>IF(DATA!J46="","",DATA!J46)</f>
        <v/>
      </c>
      <c r="K48" s="97" t="str">
        <f>IF(DATA!K46="","",DATA!K46)</f>
        <v/>
      </c>
      <c r="L48" s="99" t="str">
        <f>IF(ENGLISH!E48="","",ENGLISH!E48)</f>
        <v/>
      </c>
      <c r="M48" s="100" t="str">
        <f t="shared" si="46"/>
        <v/>
      </c>
      <c r="N48" s="99" t="str">
        <f>IF(ENGLISH!F48="","",ENGLISH!F48)</f>
        <v/>
      </c>
      <c r="O48" s="100" t="str">
        <f t="shared" si="47"/>
        <v/>
      </c>
      <c r="P48" s="99" t="str">
        <f>IF(ENGLISH!G48="","",ENGLISH!G48)</f>
        <v/>
      </c>
      <c r="Q48" s="99" t="str">
        <f t="shared" si="48"/>
        <v/>
      </c>
      <c r="R48" s="100" t="str">
        <f>IFERROR(LARGE((M48,O48,Q48),1),"")</f>
        <v/>
      </c>
      <c r="S48" s="100" t="str">
        <f>IFERROR(LARGE((M48,O48,Q48),2),"")</f>
        <v/>
      </c>
      <c r="T48" s="99" t="str">
        <f t="shared" si="49"/>
        <v/>
      </c>
      <c r="U48" s="100" t="str">
        <f>IF(ENGLISH!H48="","",ENGLISH!H48)</f>
        <v/>
      </c>
      <c r="V48" s="99" t="str">
        <f>IF(ENGLISH!I48="","",ENGLISH!I48)</f>
        <v/>
      </c>
      <c r="W48" s="99" t="str">
        <f>IF(ENGLISH!J48="","",ENGLISH!J48)</f>
        <v/>
      </c>
      <c r="X48" s="99" t="str">
        <f t="shared" si="50"/>
        <v/>
      </c>
      <c r="Y48" s="100" t="str">
        <f>IF(ENGLISH!K48="","",ENGLISH!K48)</f>
        <v/>
      </c>
      <c r="Z48" s="100" t="str">
        <f t="shared" si="51"/>
        <v/>
      </c>
      <c r="AA48" s="101" t="str">
        <f t="shared" si="52"/>
        <v/>
      </c>
      <c r="AB48" s="99" t="str">
        <f t="shared" si="15"/>
        <v/>
      </c>
      <c r="AC48" s="99" t="str">
        <f>IF(ENGLISH!O48="","",ENGLISH!O48)</f>
        <v/>
      </c>
      <c r="AD48" s="99" t="str">
        <f t="shared" si="53"/>
        <v/>
      </c>
      <c r="AE48" s="99" t="str">
        <f t="shared" si="54"/>
        <v/>
      </c>
      <c r="AF48" s="99" t="str">
        <f t="shared" si="55"/>
        <v/>
      </c>
      <c r="AG48" s="102" t="str">
        <f>IF(C48="","",VLOOKUP(C48,'HINDI-SKT'!$D$7:$E$51,2,0))</f>
        <v/>
      </c>
      <c r="AH48" s="102" t="str">
        <f>IF('HINDI-SKT'!F48="","",'HINDI-SKT'!F48)</f>
        <v/>
      </c>
      <c r="AI48" s="103" t="str">
        <f t="shared" si="16"/>
        <v/>
      </c>
      <c r="AJ48" s="102" t="str">
        <f>IF('HINDI-SKT'!G48="","",'HINDI-SKT'!G48)</f>
        <v/>
      </c>
      <c r="AK48" s="103" t="str">
        <f t="shared" si="17"/>
        <v/>
      </c>
      <c r="AL48" s="102" t="str">
        <f>IF('HINDI-SKT'!H48="","",'HINDI-SKT'!H48)</f>
        <v/>
      </c>
      <c r="AM48" s="102" t="str">
        <f t="shared" si="18"/>
        <v/>
      </c>
      <c r="AN48" s="103" t="str">
        <f>IFERROR(LARGE((AI48,AK48,AM48),1),"")</f>
        <v/>
      </c>
      <c r="AO48" s="103" t="str">
        <f>IFERROR(LARGE((AI48,AK48,AM48),2),"")</f>
        <v/>
      </c>
      <c r="AP48" s="102" t="str">
        <f t="shared" si="19"/>
        <v/>
      </c>
      <c r="AQ48" s="103" t="str">
        <f>IF('HINDI-SKT'!I48="","",'HINDI-SKT'!I48)</f>
        <v/>
      </c>
      <c r="AR48" s="102" t="str">
        <f>IF('HINDI-SKT'!J48="","",'HINDI-SKT'!J48)</f>
        <v/>
      </c>
      <c r="AS48" s="102" t="str">
        <f>IF('HINDI-SKT'!K48="","",'HINDI-SKT'!K48)</f>
        <v/>
      </c>
      <c r="AT48" s="102" t="str">
        <f t="shared" si="56"/>
        <v/>
      </c>
      <c r="AU48" s="102" t="str">
        <f>IF('HINDI-SKT'!L48="","",'HINDI-SKT'!L48)</f>
        <v/>
      </c>
      <c r="AV48" s="103" t="str">
        <f t="shared" si="57"/>
        <v/>
      </c>
      <c r="AW48" s="102" t="str">
        <f t="shared" si="58"/>
        <v/>
      </c>
      <c r="AX48" s="102" t="str">
        <f t="shared" si="59"/>
        <v/>
      </c>
      <c r="AY48" s="102" t="str">
        <f>IF('HINDI-SKT'!P48="","",'HINDI-SKT'!P48)</f>
        <v/>
      </c>
      <c r="AZ48" s="102" t="str">
        <f t="shared" si="60"/>
        <v/>
      </c>
      <c r="BA48" s="102" t="str">
        <f t="shared" si="61"/>
        <v/>
      </c>
      <c r="BB48" s="102" t="str">
        <f t="shared" si="62"/>
        <v/>
      </c>
      <c r="BC48" s="99" t="str">
        <f>IF(MATHS!E48="","",MATHS!E48)</f>
        <v/>
      </c>
      <c r="BD48" s="100" t="str">
        <f t="shared" si="22"/>
        <v/>
      </c>
      <c r="BE48" s="99" t="str">
        <f>IF(MATHS!F48="","",MATHS!F48)</f>
        <v/>
      </c>
      <c r="BF48" s="100" t="str">
        <f t="shared" si="23"/>
        <v/>
      </c>
      <c r="BG48" s="99" t="str">
        <f>IF(MATHS!G48="","",MATHS!G48)</f>
        <v/>
      </c>
      <c r="BH48" s="99" t="str">
        <f t="shared" si="24"/>
        <v/>
      </c>
      <c r="BI48" s="100" t="str">
        <f>IFERROR(LARGE((BD48,BF48,BH48),1),"")</f>
        <v/>
      </c>
      <c r="BJ48" s="100" t="str">
        <f>IFERROR(LARGE((BD48,BF48,BH48),2),"")</f>
        <v/>
      </c>
      <c r="BK48" s="99" t="str">
        <f t="shared" si="25"/>
        <v/>
      </c>
      <c r="BL48" s="100" t="str">
        <f>IF(MATHS!H48="","",MATHS!H48)</f>
        <v/>
      </c>
      <c r="BM48" s="99" t="str">
        <f>IF(MATHS!I48="","",MATHS!I48)</f>
        <v/>
      </c>
      <c r="BN48" s="99" t="str">
        <f>IF(MATHS!J48="","",MATHS!J48)</f>
        <v/>
      </c>
      <c r="BO48" s="99" t="str">
        <f t="shared" si="63"/>
        <v/>
      </c>
      <c r="BP48" s="99" t="str">
        <f>IF(MATHS!K48="","",MATHS!K48)</f>
        <v/>
      </c>
      <c r="BQ48" s="100" t="str">
        <f t="shared" si="26"/>
        <v/>
      </c>
      <c r="BR48" s="99" t="str">
        <f t="shared" si="64"/>
        <v/>
      </c>
      <c r="BS48" s="99" t="str">
        <f t="shared" si="27"/>
        <v/>
      </c>
      <c r="BT48" s="99" t="str">
        <f>IF(MATHS!O48="","",MATHS!O48)</f>
        <v/>
      </c>
      <c r="BU48" s="99" t="str">
        <f t="shared" si="65"/>
        <v/>
      </c>
      <c r="BV48" s="99" t="str">
        <f t="shared" si="66"/>
        <v/>
      </c>
      <c r="BW48" s="99"/>
      <c r="BX48" s="102" t="str">
        <f>IF(SCIENCE!E48="","",SCIENCE!E48)</f>
        <v/>
      </c>
      <c r="BY48" s="103" t="str">
        <f t="shared" si="28"/>
        <v/>
      </c>
      <c r="BZ48" s="102" t="str">
        <f>IF(SCIENCE!F48="","",SCIENCE!F48)</f>
        <v/>
      </c>
      <c r="CA48" s="103" t="str">
        <f t="shared" si="29"/>
        <v/>
      </c>
      <c r="CB48" s="102" t="str">
        <f>IF(SCIENCE!G48="","",SCIENCE!G48)</f>
        <v/>
      </c>
      <c r="CC48" s="102" t="str">
        <f t="shared" si="30"/>
        <v/>
      </c>
      <c r="CD48" s="103" t="str">
        <f>IFERROR(LARGE((BY48,CA48,CC48),1),"")</f>
        <v/>
      </c>
      <c r="CE48" s="103" t="str">
        <f>IFERROR(LARGE((BY48,CA48,CC48),2),"")</f>
        <v/>
      </c>
      <c r="CF48" s="102" t="str">
        <f t="shared" si="31"/>
        <v/>
      </c>
      <c r="CG48" s="103" t="str">
        <f>IF(SCIENCE!H48="","",SCIENCE!H48)</f>
        <v/>
      </c>
      <c r="CH48" s="103" t="str">
        <f>IF(SCIENCE!I48="","",SCIENCE!I48)</f>
        <v/>
      </c>
      <c r="CI48" s="103" t="str">
        <f>IF(SCIENCE!J48="","",SCIENCE!J48)</f>
        <v/>
      </c>
      <c r="CJ48" s="103" t="str">
        <f t="shared" si="68"/>
        <v/>
      </c>
      <c r="CK48" s="103" t="str">
        <f>IF(SCIENCE!K48="","",SCIENCE!K48)</f>
        <v/>
      </c>
      <c r="CL48" s="103" t="str">
        <f t="shared" si="32"/>
        <v/>
      </c>
      <c r="CM48" s="102" t="str">
        <f t="shared" si="69"/>
        <v/>
      </c>
      <c r="CN48" s="102" t="str">
        <f t="shared" si="33"/>
        <v/>
      </c>
      <c r="CO48" s="102" t="str">
        <f>IF(SCIENCE!O48="","",SCIENCE!O48)</f>
        <v/>
      </c>
      <c r="CP48" s="102" t="str">
        <f t="shared" si="70"/>
        <v/>
      </c>
      <c r="CQ48" s="102" t="str">
        <f t="shared" si="71"/>
        <v/>
      </c>
      <c r="CR48" s="102" t="str">
        <f t="shared" si="72"/>
        <v/>
      </c>
      <c r="CS48" s="99" t="str">
        <f>IF(SST!E48="","",SST!E48)</f>
        <v/>
      </c>
      <c r="CT48" s="100" t="str">
        <f t="shared" si="34"/>
        <v/>
      </c>
      <c r="CU48" s="99" t="str">
        <f>IF(SST!F48="","",SST!F48)</f>
        <v/>
      </c>
      <c r="CV48" s="100" t="str">
        <f t="shared" si="35"/>
        <v/>
      </c>
      <c r="CW48" s="99" t="str">
        <f>IF(SST!G48="","",SST!G48)</f>
        <v/>
      </c>
      <c r="CX48" s="99" t="str">
        <f t="shared" si="36"/>
        <v/>
      </c>
      <c r="CY48" s="100" t="str">
        <f>IFERROR(LARGE((CT48,CV48,CX48),1),"")</f>
        <v/>
      </c>
      <c r="CZ48" s="100" t="str">
        <f>IFERROR(LARGE((CT48,CV48,CX48),2),"")</f>
        <v/>
      </c>
      <c r="DA48" s="99" t="str">
        <f t="shared" si="37"/>
        <v/>
      </c>
      <c r="DB48" s="100" t="str">
        <f>IF(SST!H48="","",SST!H48)</f>
        <v/>
      </c>
      <c r="DC48" s="100" t="str">
        <f>IF(SST!I48="","",SST!I48)</f>
        <v/>
      </c>
      <c r="DD48" s="100" t="str">
        <f>IF(SST!J48="","",SST!J48)</f>
        <v/>
      </c>
      <c r="DE48" s="100" t="str">
        <f t="shared" si="73"/>
        <v/>
      </c>
      <c r="DF48" s="100" t="str">
        <f>IF(SST!K48="","",SST!K48)</f>
        <v/>
      </c>
      <c r="DG48" s="100" t="str">
        <f t="shared" si="74"/>
        <v/>
      </c>
      <c r="DH48" s="99" t="str">
        <f t="shared" si="75"/>
        <v/>
      </c>
      <c r="DI48" s="99" t="str">
        <f t="shared" si="38"/>
        <v/>
      </c>
      <c r="DJ48" s="99" t="str">
        <f>IF(SST!O48="","",SST!O48)</f>
        <v/>
      </c>
      <c r="DK48" s="99" t="str">
        <f t="shared" si="76"/>
        <v/>
      </c>
      <c r="DL48" s="99" t="str">
        <f t="shared" si="77"/>
        <v/>
      </c>
      <c r="DM48" s="99" t="str">
        <f t="shared" si="78"/>
        <v/>
      </c>
      <c r="DN48" s="99"/>
      <c r="DO48" s="102" t="str">
        <f>IF(C48="","",IF(VLOOKUP(C48,VOCATIONAL!$D$7:$E$51,2,0)="","",VLOOKUP(C48,VOCATIONAL!$D$7:$E$51,2,0)))</f>
        <v/>
      </c>
      <c r="DP48" s="102" t="str">
        <f>IF(VOCATIONAL!F48="","",VOCATIONAL!F48)</f>
        <v/>
      </c>
      <c r="DQ48" s="102" t="str">
        <f>IF(VOCATIONAL!G48="","",VOCATIONAL!G48)</f>
        <v/>
      </c>
      <c r="DR48" s="102" t="str">
        <f t="shared" si="79"/>
        <v/>
      </c>
      <c r="DS48" s="102" t="str">
        <f t="shared" si="80"/>
        <v/>
      </c>
      <c r="DT48" s="102" t="str">
        <f>IF(VOCATIONAL!K48="","",VOCATIONAL!K48)</f>
        <v/>
      </c>
      <c r="DU48" s="102" t="str">
        <f t="shared" si="81"/>
        <v/>
      </c>
      <c r="DV48" s="102" t="str">
        <f t="shared" si="82"/>
        <v/>
      </c>
      <c r="DW48" s="99"/>
      <c r="DX48" s="104" t="str">
        <f t="shared" si="83"/>
        <v/>
      </c>
      <c r="DY48" s="104" t="str">
        <f t="shared" si="84"/>
        <v/>
      </c>
      <c r="DZ48" s="104" t="str">
        <f t="shared" si="85"/>
        <v/>
      </c>
      <c r="EA48" s="104" t="str">
        <f t="shared" si="86"/>
        <v/>
      </c>
      <c r="EB48" s="104" t="str">
        <f t="shared" si="87"/>
        <v/>
      </c>
      <c r="EC48" s="104" t="str">
        <f t="shared" si="88"/>
        <v/>
      </c>
      <c r="ED48" s="104" t="str">
        <f t="shared" si="89"/>
        <v/>
      </c>
      <c r="EE48" s="104" t="str">
        <f t="shared" si="90"/>
        <v/>
      </c>
      <c r="EF48" s="104" t="str">
        <f t="shared" si="91"/>
        <v/>
      </c>
      <c r="EG48" s="104" t="str">
        <f t="shared" si="92"/>
        <v/>
      </c>
      <c r="EH48" s="104" t="str">
        <f t="shared" si="93"/>
        <v/>
      </c>
      <c r="EI48" s="104" t="str">
        <f t="shared" si="94"/>
        <v/>
      </c>
      <c r="EJ48" s="105" t="str">
        <f t="shared" si="95"/>
        <v/>
      </c>
      <c r="EK48" s="105" t="str">
        <f t="shared" si="96"/>
        <v/>
      </c>
      <c r="EL48" s="105" t="str">
        <f t="shared" si="97"/>
        <v/>
      </c>
      <c r="EM48" s="105" t="str">
        <f t="shared" si="98"/>
        <v/>
      </c>
      <c r="EN48" s="105" t="str">
        <f t="shared" si="99"/>
        <v/>
      </c>
      <c r="EO48" s="363" t="str">
        <f t="shared" si="100"/>
        <v/>
      </c>
      <c r="EP48" s="106" t="str">
        <f t="shared" si="101"/>
        <v/>
      </c>
      <c r="EQ48" s="106" t="str">
        <f t="shared" si="102"/>
        <v/>
      </c>
      <c r="ER48" s="106" t="str">
        <f t="shared" si="103"/>
        <v/>
      </c>
      <c r="ES48" s="106" t="str">
        <f t="shared" si="104"/>
        <v/>
      </c>
      <c r="ET48" s="106" t="str">
        <f t="shared" si="105"/>
        <v/>
      </c>
      <c r="EU48" s="106" t="str">
        <f t="shared" si="106"/>
        <v/>
      </c>
      <c r="EV48" s="92" t="str">
        <f t="shared" si="107"/>
        <v/>
      </c>
      <c r="EW48" s="92" t="str">
        <f t="shared" si="108"/>
        <v/>
      </c>
      <c r="EX48" s="92" t="str">
        <f t="shared" si="109"/>
        <v/>
      </c>
      <c r="EY48" s="92" t="str">
        <f t="shared" si="110"/>
        <v/>
      </c>
      <c r="EZ48" s="92" t="str">
        <f t="shared" si="111"/>
        <v/>
      </c>
      <c r="FA48" s="92" t="str">
        <f t="shared" si="112"/>
        <v/>
      </c>
      <c r="FB48" s="93" t="str">
        <f t="shared" si="113"/>
        <v/>
      </c>
      <c r="FC48" s="93" t="str">
        <f t="shared" si="114"/>
        <v/>
      </c>
      <c r="FD48" s="93" t="str">
        <f t="shared" si="115"/>
        <v/>
      </c>
      <c r="FE48" s="93" t="str">
        <f t="shared" si="116"/>
        <v/>
      </c>
      <c r="FF48" s="93" t="str">
        <f t="shared" si="117"/>
        <v/>
      </c>
      <c r="FG48" s="93" t="str">
        <f t="shared" si="118"/>
        <v/>
      </c>
      <c r="FH48" s="107" t="str">
        <f t="shared" si="119"/>
        <v/>
      </c>
      <c r="FI48" s="107" t="str">
        <f t="shared" si="120"/>
        <v/>
      </c>
      <c r="FJ48" s="256" t="str">
        <f t="shared" si="121"/>
        <v/>
      </c>
      <c r="FK48" s="256" t="str">
        <f t="shared" si="122"/>
        <v/>
      </c>
      <c r="FL48" s="256" t="str">
        <f t="shared" si="123"/>
        <v/>
      </c>
      <c r="FM48" s="256" t="str">
        <f t="shared" si="124"/>
        <v/>
      </c>
      <c r="FN48" s="256" t="str">
        <f>IF(OR(C48="TC",C48=""),"",IF(OR(FJ48="PASS",FJ48="FAIL"),IF(EC48="",SUM(FB48:FF48),SUM(LARGE(FB48:FG48,{1,2,3,4,5}))),""))</f>
        <v/>
      </c>
      <c r="FO48" s="256" t="str">
        <f>IF(AND(FN48="",FK48="PASSED AFTER COMPARTMENT"),IF(EC48="",SUM(FB48:FF48),SUM(LARGE(FB48:FG48,{1,2,3,4,5}))),FN48)</f>
        <v/>
      </c>
      <c r="FP48" s="256" t="str">
        <f t="shared" si="125"/>
        <v/>
      </c>
      <c r="FQ48" s="256" t="str">
        <f t="shared" si="126"/>
        <v/>
      </c>
      <c r="FR48" s="256" t="str">
        <f t="shared" si="127"/>
        <v/>
      </c>
      <c r="FS48" s="256" t="str">
        <f t="shared" si="128"/>
        <v/>
      </c>
      <c r="FT48" s="108" t="str">
        <f t="shared" si="129"/>
        <v/>
      </c>
      <c r="FU48" s="256" t="str">
        <f t="shared" si="130"/>
        <v/>
      </c>
      <c r="FV48" s="109" t="str">
        <f>IF(ATTENDANCE!Q49="","",ATTENDANCE!Q49)</f>
        <v/>
      </c>
      <c r="FW48" s="110" t="str">
        <f t="shared" si="131"/>
        <v/>
      </c>
      <c r="FX48" s="110" t="str">
        <f t="shared" si="132"/>
        <v/>
      </c>
      <c r="FY48" s="365" t="str">
        <f t="shared" si="133"/>
        <v/>
      </c>
      <c r="FZ48" s="108" t="str">
        <f t="shared" si="134"/>
        <v/>
      </c>
      <c r="GA48" s="256" t="str">
        <f>IF(ATTENDANCE!Q49="","",ATTENDANCE!Q49)</f>
        <v/>
      </c>
      <c r="GB48" s="108" t="str">
        <f>IF(ATTENDANCE!Q49="","",ATTENDANCE!$Q49)</f>
        <v/>
      </c>
      <c r="GC48" s="108"/>
      <c r="GD48" s="60"/>
    </row>
    <row r="49" spans="1:186" ht="15" customHeight="1" x14ac:dyDescent="0.25">
      <c r="A49" s="60"/>
      <c r="B49" s="96">
        <f>IF(DATA!B47="","",DATA!B47)</f>
        <v>43</v>
      </c>
      <c r="C49" s="96" t="str">
        <f>IF(DATA!C47="","",DATA!C47)</f>
        <v/>
      </c>
      <c r="D49" s="96" t="str">
        <f>IF(DATA!D47="","",DATA!D47)</f>
        <v/>
      </c>
      <c r="E49" s="303" t="str">
        <f>IF(DATA!E47="","",DATA!E47)</f>
        <v/>
      </c>
      <c r="F49" s="303" t="str">
        <f>IF(DATA!F47="","",DATA!F47)</f>
        <v/>
      </c>
      <c r="G49" s="303" t="str">
        <f>IF(DATA!G47="","",DATA!G47)</f>
        <v/>
      </c>
      <c r="H49" s="98" t="str">
        <f>IF(DATA!H47="","",DATA!H47)</f>
        <v/>
      </c>
      <c r="I49" s="97" t="str">
        <f>IF(DATA!I47="","",DATA!I47)</f>
        <v/>
      </c>
      <c r="J49" s="97" t="str">
        <f>IF(DATA!J47="","",DATA!J47)</f>
        <v/>
      </c>
      <c r="K49" s="97" t="str">
        <f>IF(DATA!K47="","",DATA!K47)</f>
        <v/>
      </c>
      <c r="L49" s="99" t="str">
        <f>IF(ENGLISH!E49="","",ENGLISH!E49)</f>
        <v/>
      </c>
      <c r="M49" s="100" t="str">
        <f t="shared" si="46"/>
        <v/>
      </c>
      <c r="N49" s="99" t="str">
        <f>IF(ENGLISH!F49="","",ENGLISH!F49)</f>
        <v/>
      </c>
      <c r="O49" s="100" t="str">
        <f t="shared" si="47"/>
        <v/>
      </c>
      <c r="P49" s="99" t="str">
        <f>IF(ENGLISH!G49="","",ENGLISH!G49)</f>
        <v/>
      </c>
      <c r="Q49" s="99" t="str">
        <f t="shared" si="48"/>
        <v/>
      </c>
      <c r="R49" s="100" t="str">
        <f>IFERROR(LARGE((M49,O49,Q49),1),"")</f>
        <v/>
      </c>
      <c r="S49" s="100" t="str">
        <f>IFERROR(LARGE((M49,O49,Q49),2),"")</f>
        <v/>
      </c>
      <c r="T49" s="99" t="str">
        <f t="shared" si="49"/>
        <v/>
      </c>
      <c r="U49" s="100" t="str">
        <f>IF(ENGLISH!H49="","",ENGLISH!H49)</f>
        <v/>
      </c>
      <c r="V49" s="99" t="str">
        <f>IF(ENGLISH!I49="","",ENGLISH!I49)</f>
        <v/>
      </c>
      <c r="W49" s="99" t="str">
        <f>IF(ENGLISH!J49="","",ENGLISH!J49)</f>
        <v/>
      </c>
      <c r="X49" s="99" t="str">
        <f t="shared" si="50"/>
        <v/>
      </c>
      <c r="Y49" s="100" t="str">
        <f>IF(ENGLISH!K49="","",ENGLISH!K49)</f>
        <v/>
      </c>
      <c r="Z49" s="100" t="str">
        <f t="shared" si="51"/>
        <v/>
      </c>
      <c r="AA49" s="101" t="str">
        <f t="shared" si="52"/>
        <v/>
      </c>
      <c r="AB49" s="99" t="str">
        <f t="shared" si="15"/>
        <v/>
      </c>
      <c r="AC49" s="99" t="str">
        <f>IF(ENGLISH!O49="","",ENGLISH!O49)</f>
        <v/>
      </c>
      <c r="AD49" s="99" t="str">
        <f t="shared" si="53"/>
        <v/>
      </c>
      <c r="AE49" s="99" t="str">
        <f t="shared" si="54"/>
        <v/>
      </c>
      <c r="AF49" s="99" t="str">
        <f t="shared" si="55"/>
        <v/>
      </c>
      <c r="AG49" s="102" t="str">
        <f>IF(C49="","",VLOOKUP(C49,'HINDI-SKT'!$D$7:$E$51,2,0))</f>
        <v/>
      </c>
      <c r="AH49" s="102" t="str">
        <f>IF('HINDI-SKT'!F49="","",'HINDI-SKT'!F49)</f>
        <v/>
      </c>
      <c r="AI49" s="103" t="str">
        <f t="shared" si="16"/>
        <v/>
      </c>
      <c r="AJ49" s="102" t="str">
        <f>IF('HINDI-SKT'!G49="","",'HINDI-SKT'!G49)</f>
        <v/>
      </c>
      <c r="AK49" s="103" t="str">
        <f t="shared" si="17"/>
        <v/>
      </c>
      <c r="AL49" s="102" t="str">
        <f>IF('HINDI-SKT'!H49="","",'HINDI-SKT'!H49)</f>
        <v/>
      </c>
      <c r="AM49" s="102" t="str">
        <f t="shared" si="18"/>
        <v/>
      </c>
      <c r="AN49" s="103" t="str">
        <f>IFERROR(LARGE((AI49,AK49,AM49),1),"")</f>
        <v/>
      </c>
      <c r="AO49" s="103" t="str">
        <f>IFERROR(LARGE((AI49,AK49,AM49),2),"")</f>
        <v/>
      </c>
      <c r="AP49" s="102" t="str">
        <f t="shared" si="19"/>
        <v/>
      </c>
      <c r="AQ49" s="103" t="str">
        <f>IF('HINDI-SKT'!I49="","",'HINDI-SKT'!I49)</f>
        <v/>
      </c>
      <c r="AR49" s="102" t="str">
        <f>IF('HINDI-SKT'!J49="","",'HINDI-SKT'!J49)</f>
        <v/>
      </c>
      <c r="AS49" s="102" t="str">
        <f>IF('HINDI-SKT'!K49="","",'HINDI-SKT'!K49)</f>
        <v/>
      </c>
      <c r="AT49" s="102" t="str">
        <f t="shared" si="56"/>
        <v/>
      </c>
      <c r="AU49" s="102" t="str">
        <f>IF('HINDI-SKT'!L49="","",'HINDI-SKT'!L49)</f>
        <v/>
      </c>
      <c r="AV49" s="103" t="str">
        <f t="shared" si="57"/>
        <v/>
      </c>
      <c r="AW49" s="102" t="str">
        <f t="shared" si="58"/>
        <v/>
      </c>
      <c r="AX49" s="102" t="str">
        <f t="shared" si="59"/>
        <v/>
      </c>
      <c r="AY49" s="102" t="str">
        <f>IF('HINDI-SKT'!P49="","",'HINDI-SKT'!P49)</f>
        <v/>
      </c>
      <c r="AZ49" s="102" t="str">
        <f t="shared" si="60"/>
        <v/>
      </c>
      <c r="BA49" s="102" t="str">
        <f t="shared" si="61"/>
        <v/>
      </c>
      <c r="BB49" s="102" t="str">
        <f t="shared" si="62"/>
        <v/>
      </c>
      <c r="BC49" s="99" t="str">
        <f>IF(MATHS!E49="","",MATHS!E49)</f>
        <v/>
      </c>
      <c r="BD49" s="100" t="str">
        <f t="shared" si="22"/>
        <v/>
      </c>
      <c r="BE49" s="99" t="str">
        <f>IF(MATHS!F49="","",MATHS!F49)</f>
        <v/>
      </c>
      <c r="BF49" s="100" t="str">
        <f t="shared" si="23"/>
        <v/>
      </c>
      <c r="BG49" s="99" t="str">
        <f>IF(MATHS!G49="","",MATHS!G49)</f>
        <v/>
      </c>
      <c r="BH49" s="99" t="str">
        <f t="shared" si="24"/>
        <v/>
      </c>
      <c r="BI49" s="100" t="str">
        <f>IFERROR(LARGE((BD49,BF49,BH49),1),"")</f>
        <v/>
      </c>
      <c r="BJ49" s="100" t="str">
        <f>IFERROR(LARGE((BD49,BF49,BH49),2),"")</f>
        <v/>
      </c>
      <c r="BK49" s="99" t="str">
        <f t="shared" si="25"/>
        <v/>
      </c>
      <c r="BL49" s="100" t="str">
        <f>IF(MATHS!H49="","",MATHS!H49)</f>
        <v/>
      </c>
      <c r="BM49" s="99" t="str">
        <f>IF(MATHS!I49="","",MATHS!I49)</f>
        <v/>
      </c>
      <c r="BN49" s="99" t="str">
        <f>IF(MATHS!J49="","",MATHS!J49)</f>
        <v/>
      </c>
      <c r="BO49" s="99" t="str">
        <f t="shared" si="63"/>
        <v/>
      </c>
      <c r="BP49" s="99" t="str">
        <f>IF(MATHS!K49="","",MATHS!K49)</f>
        <v/>
      </c>
      <c r="BQ49" s="100" t="str">
        <f t="shared" si="26"/>
        <v/>
      </c>
      <c r="BR49" s="99" t="str">
        <f t="shared" si="64"/>
        <v/>
      </c>
      <c r="BS49" s="99" t="str">
        <f t="shared" si="27"/>
        <v/>
      </c>
      <c r="BT49" s="99" t="str">
        <f>IF(MATHS!O49="","",MATHS!O49)</f>
        <v/>
      </c>
      <c r="BU49" s="99" t="str">
        <f t="shared" si="65"/>
        <v/>
      </c>
      <c r="BV49" s="99" t="str">
        <f t="shared" si="66"/>
        <v/>
      </c>
      <c r="BW49" s="99"/>
      <c r="BX49" s="102" t="str">
        <f>IF(SCIENCE!E49="","",SCIENCE!E49)</f>
        <v/>
      </c>
      <c r="BY49" s="103" t="str">
        <f t="shared" si="28"/>
        <v/>
      </c>
      <c r="BZ49" s="102" t="str">
        <f>IF(SCIENCE!F49="","",SCIENCE!F49)</f>
        <v/>
      </c>
      <c r="CA49" s="103" t="str">
        <f t="shared" si="29"/>
        <v/>
      </c>
      <c r="CB49" s="102" t="str">
        <f>IF(SCIENCE!G49="","",SCIENCE!G49)</f>
        <v/>
      </c>
      <c r="CC49" s="102" t="str">
        <f t="shared" si="30"/>
        <v/>
      </c>
      <c r="CD49" s="103" t="str">
        <f>IFERROR(LARGE((BY49,CA49,CC49),1),"")</f>
        <v/>
      </c>
      <c r="CE49" s="103" t="str">
        <f>IFERROR(LARGE((BY49,CA49,CC49),2),"")</f>
        <v/>
      </c>
      <c r="CF49" s="102" t="str">
        <f t="shared" si="31"/>
        <v/>
      </c>
      <c r="CG49" s="103" t="str">
        <f>IF(SCIENCE!H49="","",SCIENCE!H49)</f>
        <v/>
      </c>
      <c r="CH49" s="103" t="str">
        <f>IF(SCIENCE!I49="","",SCIENCE!I49)</f>
        <v/>
      </c>
      <c r="CI49" s="103" t="str">
        <f>IF(SCIENCE!J49="","",SCIENCE!J49)</f>
        <v/>
      </c>
      <c r="CJ49" s="103" t="str">
        <f t="shared" si="68"/>
        <v/>
      </c>
      <c r="CK49" s="103" t="str">
        <f>IF(SCIENCE!K49="","",SCIENCE!K49)</f>
        <v/>
      </c>
      <c r="CL49" s="103" t="str">
        <f t="shared" si="32"/>
        <v/>
      </c>
      <c r="CM49" s="102" t="str">
        <f t="shared" si="69"/>
        <v/>
      </c>
      <c r="CN49" s="102" t="str">
        <f t="shared" si="33"/>
        <v/>
      </c>
      <c r="CO49" s="102" t="str">
        <f>IF(SCIENCE!O49="","",SCIENCE!O49)</f>
        <v/>
      </c>
      <c r="CP49" s="102" t="str">
        <f t="shared" si="70"/>
        <v/>
      </c>
      <c r="CQ49" s="102" t="str">
        <f t="shared" si="71"/>
        <v/>
      </c>
      <c r="CR49" s="102" t="str">
        <f t="shared" si="72"/>
        <v/>
      </c>
      <c r="CS49" s="99" t="str">
        <f>IF(SST!E49="","",SST!E49)</f>
        <v/>
      </c>
      <c r="CT49" s="100" t="str">
        <f t="shared" si="34"/>
        <v/>
      </c>
      <c r="CU49" s="99" t="str">
        <f>IF(SST!F49="","",SST!F49)</f>
        <v/>
      </c>
      <c r="CV49" s="100" t="str">
        <f t="shared" si="35"/>
        <v/>
      </c>
      <c r="CW49" s="99" t="str">
        <f>IF(SST!G49="","",SST!G49)</f>
        <v/>
      </c>
      <c r="CX49" s="99" t="str">
        <f t="shared" si="36"/>
        <v/>
      </c>
      <c r="CY49" s="100" t="str">
        <f>IFERROR(LARGE((CT49,CV49,CX49),1),"")</f>
        <v/>
      </c>
      <c r="CZ49" s="100" t="str">
        <f>IFERROR(LARGE((CT49,CV49,CX49),2),"")</f>
        <v/>
      </c>
      <c r="DA49" s="99" t="str">
        <f t="shared" si="37"/>
        <v/>
      </c>
      <c r="DB49" s="100" t="str">
        <f>IF(SST!H49="","",SST!H49)</f>
        <v/>
      </c>
      <c r="DC49" s="100" t="str">
        <f>IF(SST!I49="","",SST!I49)</f>
        <v/>
      </c>
      <c r="DD49" s="100" t="str">
        <f>IF(SST!J49="","",SST!J49)</f>
        <v/>
      </c>
      <c r="DE49" s="100" t="str">
        <f t="shared" si="73"/>
        <v/>
      </c>
      <c r="DF49" s="100" t="str">
        <f>IF(SST!K49="","",SST!K49)</f>
        <v/>
      </c>
      <c r="DG49" s="100" t="str">
        <f t="shared" si="74"/>
        <v/>
      </c>
      <c r="DH49" s="99" t="str">
        <f t="shared" si="75"/>
        <v/>
      </c>
      <c r="DI49" s="99" t="str">
        <f t="shared" si="38"/>
        <v/>
      </c>
      <c r="DJ49" s="99" t="str">
        <f>IF(SST!O49="","",SST!O49)</f>
        <v/>
      </c>
      <c r="DK49" s="99" t="str">
        <f t="shared" si="76"/>
        <v/>
      </c>
      <c r="DL49" s="99" t="str">
        <f t="shared" si="77"/>
        <v/>
      </c>
      <c r="DM49" s="99" t="str">
        <f t="shared" si="78"/>
        <v/>
      </c>
      <c r="DN49" s="99"/>
      <c r="DO49" s="102" t="str">
        <f>IF(C49="","",IF(VLOOKUP(C49,VOCATIONAL!$D$7:$E$51,2,0)="","",VLOOKUP(C49,VOCATIONAL!$D$7:$E$51,2,0)))</f>
        <v/>
      </c>
      <c r="DP49" s="102" t="str">
        <f>IF(VOCATIONAL!F49="","",VOCATIONAL!F49)</f>
        <v/>
      </c>
      <c r="DQ49" s="102" t="str">
        <f>IF(VOCATIONAL!G49="","",VOCATIONAL!G49)</f>
        <v/>
      </c>
      <c r="DR49" s="102" t="str">
        <f t="shared" si="79"/>
        <v/>
      </c>
      <c r="DS49" s="102" t="str">
        <f t="shared" si="80"/>
        <v/>
      </c>
      <c r="DT49" s="102" t="str">
        <f>IF(VOCATIONAL!K49="","",VOCATIONAL!K49)</f>
        <v/>
      </c>
      <c r="DU49" s="102" t="str">
        <f t="shared" si="81"/>
        <v/>
      </c>
      <c r="DV49" s="102" t="str">
        <f t="shared" si="82"/>
        <v/>
      </c>
      <c r="DW49" s="99"/>
      <c r="DX49" s="104" t="str">
        <f t="shared" si="83"/>
        <v/>
      </c>
      <c r="DY49" s="104" t="str">
        <f t="shared" si="84"/>
        <v/>
      </c>
      <c r="DZ49" s="104" t="str">
        <f t="shared" si="85"/>
        <v/>
      </c>
      <c r="EA49" s="104" t="str">
        <f t="shared" si="86"/>
        <v/>
      </c>
      <c r="EB49" s="104" t="str">
        <f t="shared" si="87"/>
        <v/>
      </c>
      <c r="EC49" s="104" t="str">
        <f t="shared" si="88"/>
        <v/>
      </c>
      <c r="ED49" s="104" t="str">
        <f t="shared" si="89"/>
        <v/>
      </c>
      <c r="EE49" s="104" t="str">
        <f t="shared" si="90"/>
        <v/>
      </c>
      <c r="EF49" s="104" t="str">
        <f t="shared" si="91"/>
        <v/>
      </c>
      <c r="EG49" s="104" t="str">
        <f t="shared" si="92"/>
        <v/>
      </c>
      <c r="EH49" s="104" t="str">
        <f t="shared" si="93"/>
        <v/>
      </c>
      <c r="EI49" s="104" t="str">
        <f t="shared" si="94"/>
        <v/>
      </c>
      <c r="EJ49" s="105" t="str">
        <f t="shared" si="95"/>
        <v/>
      </c>
      <c r="EK49" s="105" t="str">
        <f t="shared" si="96"/>
        <v/>
      </c>
      <c r="EL49" s="105" t="str">
        <f t="shared" si="97"/>
        <v/>
      </c>
      <c r="EM49" s="105" t="str">
        <f t="shared" si="98"/>
        <v/>
      </c>
      <c r="EN49" s="105" t="str">
        <f t="shared" si="99"/>
        <v/>
      </c>
      <c r="EO49" s="363" t="str">
        <f t="shared" si="100"/>
        <v/>
      </c>
      <c r="EP49" s="106" t="str">
        <f t="shared" si="101"/>
        <v/>
      </c>
      <c r="EQ49" s="106" t="str">
        <f t="shared" si="102"/>
        <v/>
      </c>
      <c r="ER49" s="106" t="str">
        <f t="shared" si="103"/>
        <v/>
      </c>
      <c r="ES49" s="106" t="str">
        <f t="shared" si="104"/>
        <v/>
      </c>
      <c r="ET49" s="106" t="str">
        <f t="shared" si="105"/>
        <v/>
      </c>
      <c r="EU49" s="106" t="str">
        <f t="shared" si="106"/>
        <v/>
      </c>
      <c r="EV49" s="92" t="str">
        <f t="shared" si="107"/>
        <v/>
      </c>
      <c r="EW49" s="92" t="str">
        <f t="shared" si="108"/>
        <v/>
      </c>
      <c r="EX49" s="92" t="str">
        <f t="shared" si="109"/>
        <v/>
      </c>
      <c r="EY49" s="92" t="str">
        <f t="shared" si="110"/>
        <v/>
      </c>
      <c r="EZ49" s="92" t="str">
        <f t="shared" si="111"/>
        <v/>
      </c>
      <c r="FA49" s="92" t="str">
        <f t="shared" si="112"/>
        <v/>
      </c>
      <c r="FB49" s="93" t="str">
        <f t="shared" si="113"/>
        <v/>
      </c>
      <c r="FC49" s="93" t="str">
        <f t="shared" si="114"/>
        <v/>
      </c>
      <c r="FD49" s="93" t="str">
        <f t="shared" si="115"/>
        <v/>
      </c>
      <c r="FE49" s="93" t="str">
        <f t="shared" si="116"/>
        <v/>
      </c>
      <c r="FF49" s="93" t="str">
        <f t="shared" si="117"/>
        <v/>
      </c>
      <c r="FG49" s="93" t="str">
        <f t="shared" si="118"/>
        <v/>
      </c>
      <c r="FH49" s="107" t="str">
        <f t="shared" si="119"/>
        <v/>
      </c>
      <c r="FI49" s="107" t="str">
        <f t="shared" si="120"/>
        <v/>
      </c>
      <c r="FJ49" s="256" t="str">
        <f t="shared" si="121"/>
        <v/>
      </c>
      <c r="FK49" s="256" t="str">
        <f t="shared" si="122"/>
        <v/>
      </c>
      <c r="FL49" s="256" t="str">
        <f t="shared" si="123"/>
        <v/>
      </c>
      <c r="FM49" s="256" t="str">
        <f t="shared" si="124"/>
        <v/>
      </c>
      <c r="FN49" s="256" t="str">
        <f>IF(OR(C49="TC",C49=""),"",IF(OR(FJ49="PASS",FJ49="FAIL"),IF(EC49="",SUM(FB49:FF49),SUM(LARGE(FB49:FG49,{1,2,3,4,5}))),""))</f>
        <v/>
      </c>
      <c r="FO49" s="256" t="str">
        <f>IF(AND(FN49="",FK49="PASSED AFTER COMPARTMENT"),IF(EC49="",SUM(FB49:FF49),SUM(LARGE(FB49:FG49,{1,2,3,4,5}))),FN49)</f>
        <v/>
      </c>
      <c r="FP49" s="256" t="str">
        <f t="shared" si="125"/>
        <v/>
      </c>
      <c r="FQ49" s="256" t="str">
        <f t="shared" si="126"/>
        <v/>
      </c>
      <c r="FR49" s="256" t="str">
        <f t="shared" si="127"/>
        <v/>
      </c>
      <c r="FS49" s="256" t="str">
        <f t="shared" si="128"/>
        <v/>
      </c>
      <c r="FT49" s="108" t="str">
        <f t="shared" si="129"/>
        <v/>
      </c>
      <c r="FU49" s="256" t="str">
        <f t="shared" si="130"/>
        <v/>
      </c>
      <c r="FV49" s="109" t="str">
        <f>IF(ATTENDANCE!Q50="","",ATTENDANCE!Q50)</f>
        <v/>
      </c>
      <c r="FW49" s="110" t="str">
        <f t="shared" si="131"/>
        <v/>
      </c>
      <c r="FX49" s="110" t="str">
        <f t="shared" si="132"/>
        <v/>
      </c>
      <c r="FY49" s="365" t="str">
        <f t="shared" si="133"/>
        <v/>
      </c>
      <c r="FZ49" s="108" t="str">
        <f t="shared" si="134"/>
        <v/>
      </c>
      <c r="GA49" s="256" t="str">
        <f>IF(ATTENDANCE!Q50="","",ATTENDANCE!Q50)</f>
        <v/>
      </c>
      <c r="GB49" s="108" t="str">
        <f>IF(ATTENDANCE!Q50="","",ATTENDANCE!$Q50)</f>
        <v/>
      </c>
      <c r="GC49" s="108"/>
      <c r="GD49" s="60"/>
    </row>
    <row r="50" spans="1:186" ht="15" customHeight="1" x14ac:dyDescent="0.25">
      <c r="A50" s="60"/>
      <c r="B50" s="96">
        <f>IF(DATA!B48="","",DATA!B48)</f>
        <v>44</v>
      </c>
      <c r="C50" s="96" t="str">
        <f>IF(DATA!C48="","",DATA!C48)</f>
        <v/>
      </c>
      <c r="D50" s="96" t="str">
        <f>IF(DATA!D48="","",DATA!D48)</f>
        <v/>
      </c>
      <c r="E50" s="303" t="str">
        <f>IF(DATA!E48="","",DATA!E48)</f>
        <v/>
      </c>
      <c r="F50" s="303" t="str">
        <f>IF(DATA!F48="","",DATA!F48)</f>
        <v/>
      </c>
      <c r="G50" s="303" t="str">
        <f>IF(DATA!G48="","",DATA!G48)</f>
        <v/>
      </c>
      <c r="H50" s="97" t="str">
        <f>IF(DATA!H48="","",DATA!H48)</f>
        <v/>
      </c>
      <c r="I50" s="97" t="str">
        <f>IF(DATA!I48="","",DATA!I48)</f>
        <v/>
      </c>
      <c r="J50" s="97" t="str">
        <f>IF(DATA!J48="","",DATA!J48)</f>
        <v/>
      </c>
      <c r="K50" s="97" t="str">
        <f>IF(DATA!K48="","",DATA!K48)</f>
        <v/>
      </c>
      <c r="L50" s="99" t="str">
        <f>IF(ENGLISH!E50="","",ENGLISH!E50)</f>
        <v/>
      </c>
      <c r="M50" s="100" t="str">
        <f t="shared" si="46"/>
        <v/>
      </c>
      <c r="N50" s="99" t="str">
        <f>IF(ENGLISH!F50="","",ENGLISH!F50)</f>
        <v/>
      </c>
      <c r="O50" s="100" t="str">
        <f t="shared" si="47"/>
        <v/>
      </c>
      <c r="P50" s="99" t="str">
        <f>IF(ENGLISH!G50="","",ENGLISH!G50)</f>
        <v/>
      </c>
      <c r="Q50" s="99" t="str">
        <f t="shared" si="48"/>
        <v/>
      </c>
      <c r="R50" s="100" t="str">
        <f>IFERROR(LARGE((M50,O50,Q50),1),"")</f>
        <v/>
      </c>
      <c r="S50" s="100" t="str">
        <f>IFERROR(LARGE((M50,O50,Q50),2),"")</f>
        <v/>
      </c>
      <c r="T50" s="99" t="str">
        <f t="shared" si="49"/>
        <v/>
      </c>
      <c r="U50" s="100" t="str">
        <f>IF(ENGLISH!H50="","",ENGLISH!H50)</f>
        <v/>
      </c>
      <c r="V50" s="99" t="str">
        <f>IF(ENGLISH!I50="","",ENGLISH!I50)</f>
        <v/>
      </c>
      <c r="W50" s="99" t="str">
        <f>IF(ENGLISH!J50="","",ENGLISH!J50)</f>
        <v/>
      </c>
      <c r="X50" s="99" t="str">
        <f t="shared" si="50"/>
        <v/>
      </c>
      <c r="Y50" s="100" t="str">
        <f>IF(ENGLISH!K50="","",ENGLISH!K50)</f>
        <v/>
      </c>
      <c r="Z50" s="100" t="str">
        <f t="shared" si="51"/>
        <v/>
      </c>
      <c r="AA50" s="101" t="str">
        <f t="shared" si="52"/>
        <v/>
      </c>
      <c r="AB50" s="99" t="str">
        <f t="shared" si="15"/>
        <v/>
      </c>
      <c r="AC50" s="99" t="str">
        <f>IF(ENGLISH!O50="","",ENGLISH!O50)</f>
        <v/>
      </c>
      <c r="AD50" s="99" t="str">
        <f t="shared" si="53"/>
        <v/>
      </c>
      <c r="AE50" s="99" t="str">
        <f t="shared" si="54"/>
        <v/>
      </c>
      <c r="AF50" s="99" t="str">
        <f t="shared" si="55"/>
        <v/>
      </c>
      <c r="AG50" s="102" t="str">
        <f>IF(C50="","",VLOOKUP(C50,'HINDI-SKT'!$D$7:$E$51,2,0))</f>
        <v/>
      </c>
      <c r="AH50" s="112" t="str">
        <f>IF('HINDI-SKT'!F50="","",'HINDI-SKT'!F50)</f>
        <v/>
      </c>
      <c r="AI50" s="113" t="str">
        <f t="shared" ref="AI50:AI112" si="135">IF(AH50="","",ROUNDUP((AH50/$L$6)*10,1))</f>
        <v/>
      </c>
      <c r="AJ50" s="112" t="str">
        <f>IF('HINDI-SKT'!G50="","",'HINDI-SKT'!G50)</f>
        <v/>
      </c>
      <c r="AK50" s="113" t="str">
        <f t="shared" ref="AK50:AK112" si="136">IF(AJ50="","",ROUNDUP((AJ50/$N$6)*10,1))</f>
        <v/>
      </c>
      <c r="AL50" s="112" t="str">
        <f>IF('HINDI-SKT'!H50="","",'HINDI-SKT'!H50)</f>
        <v/>
      </c>
      <c r="AM50" s="112" t="str">
        <f t="shared" ref="AM50:AM112" si="137">IF(AL50="","",ROUNDUP((AL50/$P$6)*10,1))</f>
        <v/>
      </c>
      <c r="AN50" s="103" t="str">
        <f>IFERROR(LARGE((AI50,AK50,AM50),1),"")</f>
        <v/>
      </c>
      <c r="AO50" s="103" t="str">
        <f>IFERROR(LARGE((AI50,AK50,AM50),2),"")</f>
        <v/>
      </c>
      <c r="AP50" s="112" t="str">
        <f t="shared" ref="AP50:AP112" si="138">IF(AND(AN50="",AO50=""),"",SUM(AN50:AO50)/2)</f>
        <v/>
      </c>
      <c r="AQ50" s="113" t="str">
        <f>IF('HINDI-SKT'!I50="","",'HINDI-SKT'!I50)</f>
        <v/>
      </c>
      <c r="AR50" s="112" t="str">
        <f>IF('HINDI-SKT'!J50="","",'HINDI-SKT'!J50)</f>
        <v/>
      </c>
      <c r="AS50" s="114" t="str">
        <f>IF('HINDI-SKT'!K50="","",'HINDI-SKT'!K50)</f>
        <v/>
      </c>
      <c r="AT50" s="102" t="str">
        <f t="shared" si="56"/>
        <v/>
      </c>
      <c r="AU50" s="102" t="str">
        <f>IF('HINDI-SKT'!L50="","",'HINDI-SKT'!L50)</f>
        <v/>
      </c>
      <c r="AV50" s="103" t="str">
        <f t="shared" si="57"/>
        <v/>
      </c>
      <c r="AW50" s="102" t="str">
        <f t="shared" si="58"/>
        <v/>
      </c>
      <c r="AX50" s="102" t="str">
        <f t="shared" si="59"/>
        <v/>
      </c>
      <c r="AY50" s="102" t="str">
        <f>IF('HINDI-SKT'!P50="","",'HINDI-SKT'!P50)</f>
        <v/>
      </c>
      <c r="AZ50" s="102" t="str">
        <f t="shared" si="60"/>
        <v/>
      </c>
      <c r="BA50" s="102" t="str">
        <f t="shared" si="61"/>
        <v/>
      </c>
      <c r="BB50" s="102" t="str">
        <f t="shared" si="62"/>
        <v/>
      </c>
      <c r="BC50" s="116" t="str">
        <f>IF(MATHS!E50="","",MATHS!E50)</f>
        <v/>
      </c>
      <c r="BD50" s="117" t="str">
        <f t="shared" ref="BD50:BD112" si="139">IF(BC50="","",ROUNDUP((BC50/$BC$6)*5,1))</f>
        <v/>
      </c>
      <c r="BE50" s="116" t="str">
        <f>IF(MATHS!F50="","",MATHS!F50)</f>
        <v/>
      </c>
      <c r="BF50" s="117" t="str">
        <f t="shared" ref="BF50:BF112" si="140">IF(BE50="","",ROUNDUP((BE50/$BE$6)*5,1))</f>
        <v/>
      </c>
      <c r="BG50" s="116" t="str">
        <f>IF(MATHS!G50="","",MATHS!G50)</f>
        <v/>
      </c>
      <c r="BH50" s="116" t="str">
        <f t="shared" ref="BH50:BH112" si="141">IF(BG50="","",ROUNDUP((BG50/$BG$6)*5,1))</f>
        <v/>
      </c>
      <c r="BI50" s="100" t="str">
        <f>IFERROR(LARGE((BD50,BF50,BH50),1),"")</f>
        <v/>
      </c>
      <c r="BJ50" s="100" t="str">
        <f>IFERROR(LARGE((BD50,BF50,BH50),2),"")</f>
        <v/>
      </c>
      <c r="BK50" s="116" t="str">
        <f t="shared" ref="BK50:BK112" si="142">IF(AND(BI50="",BJ50=""),"",SUM(BI50:BJ50)/2)</f>
        <v/>
      </c>
      <c r="BL50" s="100" t="str">
        <f>IF(MATHS!H50="","",MATHS!H50)</f>
        <v/>
      </c>
      <c r="BM50" s="99" t="str">
        <f>IF(MATHS!I50="","",MATHS!I50)</f>
        <v/>
      </c>
      <c r="BN50" s="99" t="str">
        <f>IF(MATHS!J50="","",MATHS!J50)</f>
        <v/>
      </c>
      <c r="BO50" s="99" t="str">
        <f t="shared" si="63"/>
        <v/>
      </c>
      <c r="BP50" s="99" t="str">
        <f>IF(MATHS!K50="","",MATHS!K50)</f>
        <v/>
      </c>
      <c r="BQ50" s="100" t="str">
        <f t="shared" ref="BQ50:BQ112" si="143">IF(BP50="","",(BP50/$BP$6)*80)</f>
        <v/>
      </c>
      <c r="BR50" s="99" t="str">
        <f t="shared" si="64"/>
        <v/>
      </c>
      <c r="BS50" s="99" t="str">
        <f t="shared" ref="BS50:BS112" si="144">IF(BR50="","",IF(BR50&lt;33,"E",IF(AND(BR50&gt;=33,BR50&lt;41),"D",IF(AND(BR50&gt;=41,BR50&lt;51),"C2",IF(AND(BR50&gt;=51,BR50&lt;61),"C1",IF(AND(BR50&gt;=61,BR50&lt;71),"B2",IF(AND(BR50&gt;=71,BR50&lt;81),"B1",IF(AND(BR50&gt;=81,BR50&lt;91),"A2",IF(AND(BR50&gt;=91,BR50&lt;=100),"A1")))))))))</f>
        <v/>
      </c>
      <c r="BT50" s="99" t="str">
        <f>IF(MATHS!O50="","",MATHS!O50)</f>
        <v/>
      </c>
      <c r="BU50" s="99" t="str">
        <f t="shared" si="65"/>
        <v/>
      </c>
      <c r="BV50" s="99" t="str">
        <f t="shared" si="66"/>
        <v/>
      </c>
      <c r="BW50" s="99"/>
      <c r="BX50" s="102" t="str">
        <f>IF(SCIENCE!E50="","",SCIENCE!E50)</f>
        <v/>
      </c>
      <c r="BY50" s="103" t="str">
        <f t="shared" ref="BY50:BY112" si="145">IF(BX50="","",ROUNDUP((BX50/$BX$6)*5,1))</f>
        <v/>
      </c>
      <c r="BZ50" s="102" t="str">
        <f>IF(SCIENCE!F50="","",SCIENCE!F50)</f>
        <v/>
      </c>
      <c r="CA50" s="103" t="str">
        <f t="shared" ref="CA50:CA112" si="146">IF(BZ50="","",ROUNDUP((BZ50/$BZ$6)*5,1))</f>
        <v/>
      </c>
      <c r="CB50" s="102" t="str">
        <f>IF(SCIENCE!G50="","",SCIENCE!G50)</f>
        <v/>
      </c>
      <c r="CC50" s="102" t="str">
        <f t="shared" ref="CC50:CC112" si="147">IF(CB50="","",ROUNDUP((CB50/$CB$6)*5,1))</f>
        <v/>
      </c>
      <c r="CD50" s="103" t="str">
        <f>IFERROR(LARGE((BY50,CA50,CC50),1),"")</f>
        <v/>
      </c>
      <c r="CE50" s="103" t="str">
        <f>IFERROR(LARGE((BY50,CA50,CC50),2),"")</f>
        <v/>
      </c>
      <c r="CF50" s="102" t="str">
        <f t="shared" ref="CF50:CF112" si="148">IF(AND(CD50="",CE50=""),"",SUM(CD50:CE50)/2)</f>
        <v/>
      </c>
      <c r="CG50" s="103" t="str">
        <f>IF(SCIENCE!H50="","",SCIENCE!H50)</f>
        <v/>
      </c>
      <c r="CH50" s="103" t="str">
        <f>IF(SCIENCE!I50="","",SCIENCE!I50)</f>
        <v/>
      </c>
      <c r="CI50" s="103" t="str">
        <f>IF(SCIENCE!J50="","",SCIENCE!J50)</f>
        <v/>
      </c>
      <c r="CJ50" s="103" t="str">
        <f t="shared" si="68"/>
        <v/>
      </c>
      <c r="CK50" s="103" t="str">
        <f>IF(SCIENCE!K50="","",SCIENCE!K50)</f>
        <v/>
      </c>
      <c r="CL50" s="103" t="str">
        <f t="shared" ref="CL50" si="149">IF(CK50="","",(CK50/$CK$6)*80)</f>
        <v/>
      </c>
      <c r="CM50" s="102" t="str">
        <f t="shared" si="69"/>
        <v/>
      </c>
      <c r="CN50" s="102" t="str">
        <f t="shared" ref="CN50" si="150">IF(CM50="","",IF(CM50&lt;33,"E",IF(AND(CM50&gt;=33,CM50&lt;41),"D",IF(AND(CM50&gt;=41,CM50&lt;51),"C2",IF(AND(CM50&gt;=51,CM50&lt;61),"C1",IF(AND(CM50&gt;=61,CM50&lt;71),"B2",IF(AND(CM50&gt;=71,CM50&lt;81),"B1",IF(AND(CM50&gt;=81,CM50&lt;91),"A2",IF(AND(CM50&gt;=91,CM50&lt;=100),"A1")))))))))</f>
        <v/>
      </c>
      <c r="CO50" s="102" t="str">
        <f>IF(SCIENCE!O50="","",SCIENCE!O50)</f>
        <v/>
      </c>
      <c r="CP50" s="102" t="str">
        <f t="shared" si="70"/>
        <v/>
      </c>
      <c r="CQ50" s="102" t="str">
        <f t="shared" si="71"/>
        <v/>
      </c>
      <c r="CR50" s="102" t="str">
        <f t="shared" si="72"/>
        <v/>
      </c>
      <c r="CS50" s="99" t="str">
        <f>IF(SST!E50="","",SST!E50)</f>
        <v/>
      </c>
      <c r="CT50" s="100" t="str">
        <f t="shared" ref="CT50" si="151">IF(CS50="","",ROUNDUP((CS50/$CS$6)*5,1))</f>
        <v/>
      </c>
      <c r="CU50" s="99" t="str">
        <f>IF(SST!F50="","",SST!F50)</f>
        <v/>
      </c>
      <c r="CV50" s="100" t="str">
        <f t="shared" ref="CV50" si="152">IF(CU50="","",ROUNDUP((CU50/$CU$6)*5,1))</f>
        <v/>
      </c>
      <c r="CW50" s="99" t="str">
        <f>IF(SST!G50="","",SST!G50)</f>
        <v/>
      </c>
      <c r="CX50" s="99" t="str">
        <f t="shared" ref="CX50" si="153">IF(CW50="","",ROUNDUP((CW50/$CW$6)*5,1))</f>
        <v/>
      </c>
      <c r="CY50" s="100" t="str">
        <f>IFERROR(LARGE((CT50,CV50,CX50),1),"")</f>
        <v/>
      </c>
      <c r="CZ50" s="100" t="str">
        <f>IFERROR(LARGE((CT50,CV50,CX50),2),"")</f>
        <v/>
      </c>
      <c r="DA50" s="99" t="str">
        <f t="shared" ref="DA50" si="154">IF(AND(CY50="",CZ50=""),"",SUM(CY50:CZ50)/2)</f>
        <v/>
      </c>
      <c r="DB50" s="100" t="str">
        <f>IF(SST!H50="","",SST!H50)</f>
        <v/>
      </c>
      <c r="DC50" s="100" t="str">
        <f>IF(SST!I50="","",SST!I50)</f>
        <v/>
      </c>
      <c r="DD50" s="100" t="str">
        <f>IF(SST!J50="","",SST!J50)</f>
        <v/>
      </c>
      <c r="DE50" s="100" t="str">
        <f t="shared" si="73"/>
        <v/>
      </c>
      <c r="DF50" s="100" t="str">
        <f>IF(SST!K50="","",SST!K50)</f>
        <v/>
      </c>
      <c r="DG50" s="100" t="str">
        <f t="shared" ref="DG50" si="155">IF(DF50="","",(DF50/$DF$6)*80)</f>
        <v/>
      </c>
      <c r="DH50" s="99" t="str">
        <f t="shared" si="75"/>
        <v/>
      </c>
      <c r="DI50" s="99" t="str">
        <f t="shared" ref="DI50" si="156">IF(DH50="","",IF(DH50&lt;33,"E",IF(AND(DH50&gt;=33,DH50&lt;41),"D",IF(AND(DH50&gt;=41,DH50&lt;51),"C2",IF(AND(DH50&gt;=51,DH50&lt;61),"C1",IF(AND(DH50&gt;=61,DH50&lt;71),"B2",IF(AND(DH50&gt;=71,DH50&lt;81),"B1",IF(AND(DH50&gt;=81,DH50&lt;91),"A2",IF(AND(DH50&gt;=91,DH50&lt;=100),"A1")))))))))</f>
        <v/>
      </c>
      <c r="DJ50" s="99" t="str">
        <f>IF(SST!O50="","",SST!O50)</f>
        <v/>
      </c>
      <c r="DK50" s="99" t="str">
        <f t="shared" si="76"/>
        <v/>
      </c>
      <c r="DL50" s="99" t="str">
        <f t="shared" si="77"/>
        <v/>
      </c>
      <c r="DM50" s="99" t="str">
        <f t="shared" si="78"/>
        <v/>
      </c>
      <c r="DN50" s="99"/>
      <c r="DO50" s="102" t="str">
        <f>IF(C50="","",IF(VLOOKUP(C50,VOCATIONAL!$D$7:$E$51,2,0)="","",VLOOKUP(C50,VOCATIONAL!$D$7:$E$51,2,0)))</f>
        <v/>
      </c>
      <c r="DP50" s="102" t="str">
        <f>IF(VOCATIONAL!F50="","",VOCATIONAL!F50)</f>
        <v/>
      </c>
      <c r="DQ50" s="102" t="str">
        <f>IF(VOCATIONAL!G50="","",VOCATIONAL!G50)</f>
        <v/>
      </c>
      <c r="DR50" s="102" t="str">
        <f t="shared" si="79"/>
        <v/>
      </c>
      <c r="DS50" s="102" t="str">
        <f t="shared" si="80"/>
        <v/>
      </c>
      <c r="DT50" s="102" t="str">
        <f>IF(VOCATIONAL!K50="","",VOCATIONAL!K50)</f>
        <v/>
      </c>
      <c r="DU50" s="102" t="str">
        <f t="shared" si="81"/>
        <v/>
      </c>
      <c r="DV50" s="102" t="str">
        <f t="shared" si="82"/>
        <v/>
      </c>
      <c r="DW50" s="99"/>
      <c r="DX50" s="104" t="str">
        <f t="shared" si="83"/>
        <v/>
      </c>
      <c r="DY50" s="104" t="str">
        <f t="shared" si="84"/>
        <v/>
      </c>
      <c r="DZ50" s="104" t="str">
        <f t="shared" si="85"/>
        <v/>
      </c>
      <c r="EA50" s="104" t="str">
        <f t="shared" si="86"/>
        <v/>
      </c>
      <c r="EB50" s="104" t="str">
        <f t="shared" si="87"/>
        <v/>
      </c>
      <c r="EC50" s="104" t="str">
        <f t="shared" si="88"/>
        <v/>
      </c>
      <c r="ED50" s="104" t="str">
        <f t="shared" si="89"/>
        <v/>
      </c>
      <c r="EE50" s="104" t="str">
        <f t="shared" si="90"/>
        <v/>
      </c>
      <c r="EF50" s="104" t="str">
        <f t="shared" si="91"/>
        <v/>
      </c>
      <c r="EG50" s="104" t="str">
        <f t="shared" si="92"/>
        <v/>
      </c>
      <c r="EH50" s="104" t="str">
        <f t="shared" si="93"/>
        <v/>
      </c>
      <c r="EI50" s="104" t="str">
        <f t="shared" si="94"/>
        <v/>
      </c>
      <c r="EJ50" s="105" t="str">
        <f t="shared" si="95"/>
        <v/>
      </c>
      <c r="EK50" s="105" t="str">
        <f t="shared" si="96"/>
        <v/>
      </c>
      <c r="EL50" s="105" t="str">
        <f t="shared" si="97"/>
        <v/>
      </c>
      <c r="EM50" s="105" t="str">
        <f t="shared" si="98"/>
        <v/>
      </c>
      <c r="EN50" s="105" t="str">
        <f t="shared" si="99"/>
        <v/>
      </c>
      <c r="EO50" s="363" t="str">
        <f t="shared" si="100"/>
        <v/>
      </c>
      <c r="EP50" s="106" t="str">
        <f t="shared" si="101"/>
        <v/>
      </c>
      <c r="EQ50" s="106" t="str">
        <f t="shared" si="102"/>
        <v/>
      </c>
      <c r="ER50" s="106" t="str">
        <f t="shared" si="103"/>
        <v/>
      </c>
      <c r="ES50" s="106" t="str">
        <f t="shared" si="104"/>
        <v/>
      </c>
      <c r="ET50" s="106" t="str">
        <f t="shared" si="105"/>
        <v/>
      </c>
      <c r="EU50" s="106" t="str">
        <f t="shared" si="106"/>
        <v/>
      </c>
      <c r="EV50" s="92" t="str">
        <f t="shared" si="107"/>
        <v/>
      </c>
      <c r="EW50" s="92" t="str">
        <f t="shared" si="108"/>
        <v/>
      </c>
      <c r="EX50" s="92" t="str">
        <f t="shared" si="109"/>
        <v/>
      </c>
      <c r="EY50" s="92" t="str">
        <f t="shared" si="110"/>
        <v/>
      </c>
      <c r="EZ50" s="92" t="str">
        <f t="shared" si="111"/>
        <v/>
      </c>
      <c r="FA50" s="92" t="str">
        <f t="shared" si="112"/>
        <v/>
      </c>
      <c r="FB50" s="93" t="str">
        <f t="shared" si="113"/>
        <v/>
      </c>
      <c r="FC50" s="93" t="str">
        <f t="shared" si="114"/>
        <v/>
      </c>
      <c r="FD50" s="93" t="str">
        <f t="shared" si="115"/>
        <v/>
      </c>
      <c r="FE50" s="93" t="str">
        <f t="shared" si="116"/>
        <v/>
      </c>
      <c r="FF50" s="93" t="str">
        <f t="shared" si="117"/>
        <v/>
      </c>
      <c r="FG50" s="93" t="str">
        <f t="shared" si="118"/>
        <v/>
      </c>
      <c r="FH50" s="107" t="str">
        <f t="shared" si="119"/>
        <v/>
      </c>
      <c r="FI50" s="107" t="str">
        <f t="shared" si="120"/>
        <v/>
      </c>
      <c r="FJ50" s="256" t="str">
        <f t="shared" si="121"/>
        <v/>
      </c>
      <c r="FK50" s="256" t="str">
        <f t="shared" si="122"/>
        <v/>
      </c>
      <c r="FL50" s="256" t="str">
        <f t="shared" si="123"/>
        <v/>
      </c>
      <c r="FM50" s="256" t="str">
        <f t="shared" si="124"/>
        <v/>
      </c>
      <c r="FN50" s="256" t="str">
        <f>IF(OR(C50="TC",C50=""),"",IF(OR(FJ50="PASS",FJ50="FAIL"),IF(EC50="",SUM(FB50:FF50),SUM(LARGE(FB50:FG50,{1,2,3,4,5}))),""))</f>
        <v/>
      </c>
      <c r="FO50" s="256" t="str">
        <f>IF(AND(FN50="",FK50="PASSED AFTER COMPARTMENT"),IF(EC50="",SUM(FB50:FF50),SUM(LARGE(FB50:FG50,{1,2,3,4,5}))),FN50)</f>
        <v/>
      </c>
      <c r="FP50" s="256" t="str">
        <f t="shared" si="125"/>
        <v/>
      </c>
      <c r="FQ50" s="256" t="str">
        <f t="shared" si="126"/>
        <v/>
      </c>
      <c r="FR50" s="256" t="str">
        <f t="shared" si="127"/>
        <v/>
      </c>
      <c r="FS50" s="256" t="str">
        <f t="shared" si="128"/>
        <v/>
      </c>
      <c r="FT50" s="108" t="str">
        <f t="shared" si="129"/>
        <v/>
      </c>
      <c r="FU50" s="256" t="str">
        <f t="shared" si="130"/>
        <v/>
      </c>
      <c r="FV50" s="109" t="str">
        <f>IF(ATTENDANCE!Q51="","",ATTENDANCE!Q51)</f>
        <v/>
      </c>
      <c r="FW50" s="110" t="str">
        <f t="shared" si="131"/>
        <v/>
      </c>
      <c r="FX50" s="110" t="str">
        <f t="shared" si="132"/>
        <v/>
      </c>
      <c r="FY50" s="365" t="str">
        <f t="shared" si="133"/>
        <v/>
      </c>
      <c r="FZ50" s="108" t="str">
        <f t="shared" si="134"/>
        <v/>
      </c>
      <c r="GA50" s="256" t="str">
        <f>IF(ATTENDANCE!Q51="","",ATTENDANCE!Q51)</f>
        <v/>
      </c>
      <c r="GB50" s="108" t="str">
        <f>IF(ATTENDANCE!Q51="","",ATTENDANCE!$Q51)</f>
        <v/>
      </c>
      <c r="GC50" s="108"/>
      <c r="GD50" s="60"/>
    </row>
    <row r="51" spans="1:186" ht="15" customHeight="1" thickBot="1" x14ac:dyDescent="0.3">
      <c r="A51" s="60"/>
      <c r="B51" s="575">
        <f>IF(DATA!B49="","",DATA!B49)</f>
        <v>45</v>
      </c>
      <c r="C51" s="575" t="str">
        <f>IF(DATA!C49="","",DATA!C49)</f>
        <v/>
      </c>
      <c r="D51" s="575" t="str">
        <f>IF(DATA!D49="","",DATA!D49)</f>
        <v/>
      </c>
      <c r="E51" s="580" t="str">
        <f>IF(DATA!E49="","",DATA!E49)</f>
        <v/>
      </c>
      <c r="F51" s="580" t="str">
        <f>IF(DATA!F49="","",DATA!F49)</f>
        <v/>
      </c>
      <c r="G51" s="580" t="str">
        <f>IF(DATA!G49="","",DATA!G49)</f>
        <v/>
      </c>
      <c r="H51" s="326" t="str">
        <f>IF(DATA!H49="","",DATA!H49)</f>
        <v/>
      </c>
      <c r="I51" s="326" t="str">
        <f>IF(DATA!I49="","",DATA!I49)</f>
        <v/>
      </c>
      <c r="J51" s="326" t="str">
        <f>IF(DATA!J49="","",DATA!J49)</f>
        <v/>
      </c>
      <c r="K51" s="326" t="str">
        <f>IF(DATA!K49="","",DATA!K49)</f>
        <v/>
      </c>
      <c r="L51" s="99" t="str">
        <f>IF(ENGLISH!E51="","",ENGLISH!E51)</f>
        <v/>
      </c>
      <c r="M51" s="100" t="str">
        <f t="shared" ref="M51" si="157">IF(L51="","",ROUNDUP((L51/$L$6)*5,1))</f>
        <v/>
      </c>
      <c r="N51" s="99" t="str">
        <f>IF(ENGLISH!F51="","",ENGLISH!F51)</f>
        <v/>
      </c>
      <c r="O51" s="100" t="str">
        <f t="shared" ref="O51" si="158">IF(N51="","",ROUNDUP((N51/$N$6)*5,1))</f>
        <v/>
      </c>
      <c r="P51" s="99" t="str">
        <f>IF(ENGLISH!G51="","",ENGLISH!G51)</f>
        <v/>
      </c>
      <c r="Q51" s="99" t="str">
        <f t="shared" ref="Q51" si="159">IF(P51="","",ROUNDUP((P51/$P$6)*5,1))</f>
        <v/>
      </c>
      <c r="R51" s="100" t="str">
        <f>IFERROR(LARGE((M51,O51,Q51),1),"")</f>
        <v/>
      </c>
      <c r="S51" s="100" t="str">
        <f>IFERROR(LARGE((M51,O51,Q51),2),"")</f>
        <v/>
      </c>
      <c r="T51" s="99" t="str">
        <f t="shared" ref="T51" si="160">IF(AND(R51="",S51=""),"",SUM(R51:S51)/2)</f>
        <v/>
      </c>
      <c r="U51" s="100" t="str">
        <f>IF(ENGLISH!H51="","",ENGLISH!H51)</f>
        <v/>
      </c>
      <c r="V51" s="99" t="str">
        <f>IF(ENGLISH!I51="","",ENGLISH!I51)</f>
        <v/>
      </c>
      <c r="W51" s="99" t="str">
        <f>IF(ENGLISH!J51="","",ENGLISH!J51)</f>
        <v/>
      </c>
      <c r="X51" s="99" t="str">
        <f t="shared" ref="X51" si="161">IF(AND(T51="",U51="",V51="",W51=""),"",SUM(T51:W51))</f>
        <v/>
      </c>
      <c r="Y51" s="100" t="str">
        <f>IF(ENGLISH!K51="","",ENGLISH!K51)</f>
        <v/>
      </c>
      <c r="Z51" s="100" t="str">
        <f t="shared" ref="Z51" si="162">IF(Y51="","",(Y51/$Y$6)*80)</f>
        <v/>
      </c>
      <c r="AA51" s="101" t="str">
        <f t="shared" ref="AA51" si="163">IF(C51="TC","",IF(AND(T51="",U51="",V51="",Z51="",W51=""),"",ROUNDUP(SUM(T51,U51,V51,Z51,W51)*100/SUM($T$6,$U$6,$V$6,$Z$6,$W$6),0)))</f>
        <v/>
      </c>
      <c r="AB51" s="99" t="str">
        <f t="shared" ref="AB51" si="164">IF(AA51="","",IF(AA51&lt;33,"E",IF(AND(AA51&gt;=33,AA51&lt;41),"D",IF(AND(AA51&gt;=41,AA51&lt;51),"C2",IF(AND(AA51&gt;=51,AA51&lt;61),"C1",IF(AND(AA51&gt;=61,AA51&lt;71),"B2",IF(AND(AA51&gt;=71,AA51&lt;81),"B1",IF(AND(AA51&gt;=81,AA51&lt;91),"A2",IF(AND(AA51&gt;=91,AA51&lt;=100),"A1")))))))))</f>
        <v/>
      </c>
      <c r="AC51" s="99" t="str">
        <f>IF(ENGLISH!O51="","",ENGLISH!O51)</f>
        <v/>
      </c>
      <c r="AD51" s="99" t="str">
        <f t="shared" ref="AD51" si="165">IF(AC51="","",(AC51*80/$AC$6))</f>
        <v/>
      </c>
      <c r="AE51" s="99" t="str">
        <f t="shared" si="54"/>
        <v/>
      </c>
      <c r="AF51" s="99" t="str">
        <f t="shared" ref="AF51" si="166">IF(AE51="","",IF(AE51&lt;33,"E",IF(AND(AE51&gt;=33,AE51&lt;41),"D",IF(AND(AE51&gt;=41,AE51&lt;51),"C2",IF(AND(AE51&gt;=51,AE51&lt;61),"C1",IF(AND(AE51&gt;=61,AE51&lt;71),"B2",IF(AND(AE51&gt;=71,AE51&lt;81),"B1",IF(AND(AE51&gt;=81,AE51&lt;91),"A2",IF(AND(AE51&gt;=91,AE51&lt;=100),"A1")))))))))</f>
        <v/>
      </c>
      <c r="AG51" s="102" t="str">
        <f>IF(C51="","",VLOOKUP(C51,'HINDI-SKT'!$D$7:$E$51,2,0))</f>
        <v/>
      </c>
      <c r="AH51" s="112" t="str">
        <f>IF('HINDI-SKT'!F51="","",'HINDI-SKT'!F51)</f>
        <v/>
      </c>
      <c r="AI51" s="113" t="str">
        <f t="shared" ref="AI51" si="167">IF(AH51="","",ROUNDUP((AH51/$L$6)*10,1))</f>
        <v/>
      </c>
      <c r="AJ51" s="112" t="str">
        <f>IF('HINDI-SKT'!G51="","",'HINDI-SKT'!G51)</f>
        <v/>
      </c>
      <c r="AK51" s="113" t="str">
        <f t="shared" ref="AK51" si="168">IF(AJ51="","",ROUNDUP((AJ51/$N$6)*10,1))</f>
        <v/>
      </c>
      <c r="AL51" s="112" t="str">
        <f>IF('HINDI-SKT'!H51="","",'HINDI-SKT'!H51)</f>
        <v/>
      </c>
      <c r="AM51" s="112" t="str">
        <f t="shared" ref="AM51" si="169">IF(AL51="","",ROUNDUP((AL51/$P$6)*10,1))</f>
        <v/>
      </c>
      <c r="AN51" s="103" t="str">
        <f>IFERROR(LARGE((AI51,AK51,AM51),1),"")</f>
        <v/>
      </c>
      <c r="AO51" s="103" t="str">
        <f>IFERROR(LARGE((AI51,AK51,AM51),2),"")</f>
        <v/>
      </c>
      <c r="AP51" s="112" t="str">
        <f t="shared" ref="AP51" si="170">IF(AND(AN51="",AO51=""),"",SUM(AN51:AO51)/2)</f>
        <v/>
      </c>
      <c r="AQ51" s="113" t="str">
        <f>IF('HINDI-SKT'!I51="","",'HINDI-SKT'!I51)</f>
        <v/>
      </c>
      <c r="AR51" s="112" t="str">
        <f>IF('HINDI-SKT'!J51="","",'HINDI-SKT'!J51)</f>
        <v/>
      </c>
      <c r="AS51" s="114" t="str">
        <f>IF('HINDI-SKT'!K51="","",'HINDI-SKT'!K51)</f>
        <v/>
      </c>
      <c r="AT51" s="102" t="str">
        <f t="shared" ref="AT51" si="171">IF(C51="TC","",IF(AND(AP51="",AQ51="",AR51="",AS51=""),"",SUM(AP51:AS51)))</f>
        <v/>
      </c>
      <c r="AU51" s="113" t="str">
        <f>IF('HINDI-SKT'!L51="","",'HINDI-SKT'!L51)</f>
        <v/>
      </c>
      <c r="AV51" s="115" t="str">
        <f t="shared" ref="AV51" si="172">IF(AU51="","",(AU51/$AU$6)*80)</f>
        <v/>
      </c>
      <c r="AW51" s="102" t="str">
        <f t="shared" ref="AW51" si="173">IF(C51="TC","",IF(AND(AP51="",AQ51="",AR51="",AV51="",AS51),"",ROUNDUP(SUM(AP51,AQ51,AR51,AV51,AS51),0)))</f>
        <v/>
      </c>
      <c r="AX51" s="112" t="str">
        <f t="shared" ref="AX51" si="174">IF(AW51="","",IF(AW51&lt;33,"E",IF(AND(AW51&gt;=33,AW51&lt;41),"D",IF(AND(AW51&gt;=41,AW51&lt;51),"C2",IF(AND(AW51&gt;=51,AW51&lt;61),"C1",IF(AND(AW51&gt;=61,AW51&lt;71),"B2",IF(AND(AW51&gt;=71,AW51&lt;81),"B1",IF(AND(AW51&gt;=81,AW51&lt;91),"A2",IF(AND(AW51&gt;=91,AW51&lt;=100),"A1")))))))))</f>
        <v/>
      </c>
      <c r="AY51" s="102" t="str">
        <f>IF('HINDI-SKT'!P51="","",'HINDI-SKT'!P51)</f>
        <v/>
      </c>
      <c r="AZ51" s="102" t="str">
        <f t="shared" ref="AZ51" si="175">IF(AY51="","",(AY51*80/$AY$6))</f>
        <v/>
      </c>
      <c r="BA51" s="102" t="str">
        <f t="shared" si="61"/>
        <v/>
      </c>
      <c r="BB51" s="102" t="str">
        <f t="shared" ref="BB51" si="176">IF(BA51="","",IF(BA51&lt;33,"E",IF(AND(BA51&gt;=33,BA51&lt;41),"D",IF(AND(BA51&gt;=41,BA51&lt;51),"C2",IF(AND(BA51&gt;=51,BA51&lt;61),"C1",IF(AND(BA51&gt;=61,BA51&lt;71),"B2",IF(AND(BA51&gt;=71,BA51&lt;81),"B1",IF(AND(BA51&gt;=81,BA51&lt;91),"A2",IF(AND(BA51&gt;=91,BA51&lt;=100),"A1")))))))))</f>
        <v/>
      </c>
      <c r="BC51" s="116" t="str">
        <f>IF(MATHS!E51="","",MATHS!E51)</f>
        <v/>
      </c>
      <c r="BD51" s="117" t="str">
        <f t="shared" ref="BD51" si="177">IF(BC51="","",ROUNDUP((BC51/$BC$6)*5,1))</f>
        <v/>
      </c>
      <c r="BE51" s="116" t="str">
        <f>IF(MATHS!F51="","",MATHS!F51)</f>
        <v/>
      </c>
      <c r="BF51" s="117" t="str">
        <f t="shared" ref="BF51" si="178">IF(BE51="","",ROUNDUP((BE51/$BE$6)*5,1))</f>
        <v/>
      </c>
      <c r="BG51" s="116" t="str">
        <f>IF(MATHS!G51="","",MATHS!G51)</f>
        <v/>
      </c>
      <c r="BH51" s="116" t="str">
        <f t="shared" ref="BH51" si="179">IF(BG51="","",ROUNDUP((BG51/$BG$6)*5,1))</f>
        <v/>
      </c>
      <c r="BI51" s="100" t="str">
        <f>IFERROR(LARGE((BD51,BF51,BH51),1),"")</f>
        <v/>
      </c>
      <c r="BJ51" s="100" t="str">
        <f>IFERROR(LARGE((BD51,BF51,BH51),2),"")</f>
        <v/>
      </c>
      <c r="BK51" s="116" t="str">
        <f t="shared" ref="BK51" si="180">IF(AND(BI51="",BJ51=""),"",SUM(BI51:BJ51)/2)</f>
        <v/>
      </c>
      <c r="BL51" s="100" t="str">
        <f>IF(MATHS!H51="","",MATHS!H51)</f>
        <v/>
      </c>
      <c r="BM51" s="99" t="str">
        <f>IF(MATHS!I51="","",MATHS!I51)</f>
        <v/>
      </c>
      <c r="BN51" s="99" t="str">
        <f>IF(MATHS!J51="","",MATHS!J51)</f>
        <v/>
      </c>
      <c r="BO51" s="99" t="str">
        <f t="shared" ref="BO51" si="181">IF(C51="TC","",IF(AND(BK51="",BL51="",BM51="",BN51=""),"",SUM(BK51:BN51)))</f>
        <v/>
      </c>
      <c r="BP51" s="99" t="str">
        <f>IF(MATHS!K51="","",MATHS!K51)</f>
        <v/>
      </c>
      <c r="BQ51" s="100" t="str">
        <f t="shared" ref="BQ51" si="182">IF(BP51="","",(BP51/$BP$6)*80)</f>
        <v/>
      </c>
      <c r="BR51" s="99" t="str">
        <f t="shared" ref="BR51" si="183">IF(C51="TC","",IF(AND(BK51="",BL51="",BM51="",BN51="",BQ51=""),"",ROUNDUP(SUM(BK51,BL51,BM51,BN51,BQ51),0)))</f>
        <v/>
      </c>
      <c r="BS51" s="99" t="str">
        <f t="shared" ref="BS51" si="184">IF(BR51="","",IF(BR51&lt;33,"E",IF(AND(BR51&gt;=33,BR51&lt;41),"D",IF(AND(BR51&gt;=41,BR51&lt;51),"C2",IF(AND(BR51&gt;=51,BR51&lt;61),"C1",IF(AND(BR51&gt;=61,BR51&lt;71),"B2",IF(AND(BR51&gt;=71,BR51&lt;81),"B1",IF(AND(BR51&gt;=81,BR51&lt;91),"A2",IF(AND(BR51&gt;=91,BR51&lt;=100),"A1")))))))))</f>
        <v/>
      </c>
      <c r="BT51" s="99" t="str">
        <f>IF(MATHS!O51="","",MATHS!O51)</f>
        <v/>
      </c>
      <c r="BU51" s="99" t="str">
        <f t="shared" ref="BU51" si="185">IF(BT51="","",(BT51*80/$BT$6))</f>
        <v/>
      </c>
      <c r="BV51" s="99" t="str">
        <f t="shared" si="66"/>
        <v/>
      </c>
      <c r="BW51" s="99"/>
      <c r="BX51" s="102" t="str">
        <f>IF(SCIENCE!E51="","",SCIENCE!E51)</f>
        <v/>
      </c>
      <c r="BY51" s="103" t="str">
        <f t="shared" ref="BY51" si="186">IF(BX51="","",ROUNDUP((BX51/$BX$6)*5,1))</f>
        <v/>
      </c>
      <c r="BZ51" s="102" t="str">
        <f>IF(SCIENCE!F51="","",SCIENCE!F51)</f>
        <v/>
      </c>
      <c r="CA51" s="103" t="str">
        <f t="shared" ref="CA51" si="187">IF(BZ51="","",ROUNDUP((BZ51/$BZ$6)*5,1))</f>
        <v/>
      </c>
      <c r="CB51" s="102" t="str">
        <f>IF(SCIENCE!G51="","",SCIENCE!G51)</f>
        <v/>
      </c>
      <c r="CC51" s="102" t="str">
        <f t="shared" ref="CC51" si="188">IF(CB51="","",ROUNDUP((CB51/$CB$6)*5,1))</f>
        <v/>
      </c>
      <c r="CD51" s="103" t="str">
        <f>IFERROR(LARGE((BY51,CA51,CC51),1),"")</f>
        <v/>
      </c>
      <c r="CE51" s="103" t="str">
        <f>IFERROR(LARGE((BY51,CA51,CC51),2),"")</f>
        <v/>
      </c>
      <c r="CF51" s="102" t="str">
        <f t="shared" ref="CF51" si="189">IF(AND(CD51="",CE51=""),"",SUM(CD51:CE51)/2)</f>
        <v/>
      </c>
      <c r="CG51" s="103" t="str">
        <f>IF(SCIENCE!H51="","",SCIENCE!H51)</f>
        <v/>
      </c>
      <c r="CH51" s="103" t="str">
        <f>IF(SCIENCE!I51="","",SCIENCE!I51)</f>
        <v/>
      </c>
      <c r="CI51" s="103" t="str">
        <f>IF(SCIENCE!J51="","",SCIENCE!J51)</f>
        <v/>
      </c>
      <c r="CJ51" s="103" t="str">
        <f t="shared" ref="CJ51" si="190">IF(C51="TC","",IF(AND(CF51="",CG51="",CH51="",CI51=""),"",SUM(CF51:CI51)))</f>
        <v/>
      </c>
      <c r="CK51" s="103" t="str">
        <f>IF(SCIENCE!K51="","",SCIENCE!K51)</f>
        <v/>
      </c>
      <c r="CL51" s="103" t="str">
        <f t="shared" ref="CL51" si="191">IF(CK51="","",(CK51/$CK$6)*80)</f>
        <v/>
      </c>
      <c r="CM51" s="102" t="str">
        <f t="shared" ref="CM51" si="192">IF(C51="TC","",IF(AND(CF51="",CG51="",CH51="",CI51="",CL51=""),"",ROUNDUP(SUM(CF51,CG51,CH51,CI51,CL51),0)))</f>
        <v/>
      </c>
      <c r="CN51" s="102" t="str">
        <f t="shared" ref="CN51" si="193">IF(CM51="","",IF(CM51&lt;33,"E",IF(AND(CM51&gt;=33,CM51&lt;41),"D",IF(AND(CM51&gt;=41,CM51&lt;51),"C2",IF(AND(CM51&gt;=51,CM51&lt;61),"C1",IF(AND(CM51&gt;=61,CM51&lt;71),"B2",IF(AND(CM51&gt;=71,CM51&lt;81),"B1",IF(AND(CM51&gt;=81,CM51&lt;91),"A2",IF(AND(CM51&gt;=91,CM51&lt;=100),"A1")))))))))</f>
        <v/>
      </c>
      <c r="CO51" s="102" t="str">
        <f>IF(SCIENCE!O51="","",SCIENCE!O51)</f>
        <v/>
      </c>
      <c r="CP51" s="102" t="str">
        <f t="shared" ref="CP51" si="194">IF(CO51="","",(CO51*80/$CO$6))</f>
        <v/>
      </c>
      <c r="CQ51" s="102" t="str">
        <f t="shared" ref="CQ51" si="195">IF(CO51="","",IF(CN51="E",ROUNDUP(SUM(CJ51,CP51),0),""))</f>
        <v/>
      </c>
      <c r="CR51" s="102" t="str">
        <f t="shared" ref="CR51" si="196">IF(CQ51="","",IF(CQ51&lt;33,"E",IF(AND(CQ51&gt;=33,CQ51&lt;41),"D",IF(AND(CQ51&gt;=41,CQ51&lt;51),"C2",IF(AND(CQ51&gt;=51,CQ51&lt;61),"C1",IF(AND(CQ51&gt;=61,CQ51&lt;71),"B2",IF(AND(CQ51&gt;=71,CQ51&lt;81),"B1",IF(AND(CQ51&gt;=81,CQ51&lt;91),"A2",IF(AND(CQ51&gt;=91,CQ51&lt;=100),"A1")))))))))</f>
        <v/>
      </c>
      <c r="CS51" s="99" t="str">
        <f>IF(SST!E51="","",SST!E51)</f>
        <v/>
      </c>
      <c r="CT51" s="100" t="str">
        <f t="shared" ref="CT51" si="197">IF(CS51="","",ROUNDUP((CS51/$CS$6)*5,1))</f>
        <v/>
      </c>
      <c r="CU51" s="99" t="str">
        <f>IF(SST!F51="","",SST!F51)</f>
        <v/>
      </c>
      <c r="CV51" s="100" t="str">
        <f t="shared" ref="CV51" si="198">IF(CU51="","",ROUNDUP((CU51/$CU$6)*5,1))</f>
        <v/>
      </c>
      <c r="CW51" s="99" t="str">
        <f>IF(SST!G51="","",SST!G51)</f>
        <v/>
      </c>
      <c r="CX51" s="99" t="str">
        <f t="shared" ref="CX51" si="199">IF(CW51="","",ROUNDUP((CW51/$CW$6)*5,1))</f>
        <v/>
      </c>
      <c r="CY51" s="100" t="str">
        <f>IFERROR(LARGE((CT51,CV51,CX51),1),"")</f>
        <v/>
      </c>
      <c r="CZ51" s="100" t="str">
        <f>IFERROR(LARGE((CT51,CV51,CX51),2),"")</f>
        <v/>
      </c>
      <c r="DA51" s="99" t="str">
        <f t="shared" ref="DA51" si="200">IF(AND(CY51="",CZ51=""),"",SUM(CY51:CZ51)/2)</f>
        <v/>
      </c>
      <c r="DB51" s="100" t="str">
        <f>IF(SST!H51="","",SST!H51)</f>
        <v/>
      </c>
      <c r="DC51" s="100" t="str">
        <f>IF(SST!I51="","",SST!I51)</f>
        <v/>
      </c>
      <c r="DD51" s="100" t="str">
        <f>IF(SST!J51="","",SST!J51)</f>
        <v/>
      </c>
      <c r="DE51" s="100" t="str">
        <f t="shared" ref="DE51" si="201">IF(C51="TC","",IF(AND(DA51="",DB51="",DC51="",DD51=""),"",SUM(DA51:DD51)))</f>
        <v/>
      </c>
      <c r="DF51" s="100" t="str">
        <f>IF(SST!K51="","",SST!K51)</f>
        <v/>
      </c>
      <c r="DG51" s="100" t="str">
        <f t="shared" ref="DG51" si="202">IF(DF51="","",(DF51/$DF$6)*80)</f>
        <v/>
      </c>
      <c r="DH51" s="99" t="str">
        <f t="shared" ref="DH51" si="203">IF(C51="TC","",IF(AND(DA51="",DB51="",DD51="",DC51="",DG51=""),"",ROUNDUP(SUM(DA51,DB51,DD51,DC51,DG51),0)))</f>
        <v/>
      </c>
      <c r="DI51" s="99" t="str">
        <f t="shared" ref="DI51" si="204">IF(DH51="","",IF(DH51&lt;33,"E",IF(AND(DH51&gt;=33,DH51&lt;41),"D",IF(AND(DH51&gt;=41,DH51&lt;51),"C2",IF(AND(DH51&gt;=51,DH51&lt;61),"C1",IF(AND(DH51&gt;=61,DH51&lt;71),"B2",IF(AND(DH51&gt;=71,DH51&lt;81),"B1",IF(AND(DH51&gt;=81,DH51&lt;91),"A2",IF(AND(DH51&gt;=91,DH51&lt;=100),"A1")))))))))</f>
        <v/>
      </c>
      <c r="DJ51" s="99" t="str">
        <f>IF(SST!O51="","",SST!O51)</f>
        <v/>
      </c>
      <c r="DK51" s="99" t="str">
        <f t="shared" ref="DK51" si="205">IF(DJ51="","",(DJ51*80/$DJ$6))</f>
        <v/>
      </c>
      <c r="DL51" s="99" t="str">
        <f t="shared" si="77"/>
        <v/>
      </c>
      <c r="DM51" s="99" t="str">
        <f t="shared" ref="DM51" si="206">IF(DL51="","",IF(DL51&lt;33,"E",IF(AND(DL51&gt;=33,DL51&lt;41),"D",IF(AND(DL51&gt;=41,DL51&lt;51),"C2",IF(AND(DL51&gt;=51,DL51&lt;61),"C1",IF(AND(DL51&gt;=61,DL51&lt;71),"B2",IF(AND(DL51&gt;=71,DL51&lt;81),"B1",IF(AND(DL51&gt;=81,DL51&lt;91),"A2",IF(AND(DL51&gt;=91,DL51&lt;=100),"A1")))))))))</f>
        <v/>
      </c>
      <c r="DN51" s="99"/>
      <c r="DO51" s="102" t="str">
        <f>IF(C51="","",IF(VLOOKUP(C51,VOCATIONAL!$D$7:$E$51,2,0)="","",VLOOKUP(C51,VOCATIONAL!$D$7:$E$51,2,0)))</f>
        <v/>
      </c>
      <c r="DP51" s="102" t="str">
        <f>IF(VOCATIONAL!F51="","",VOCATIONAL!F51)</f>
        <v/>
      </c>
      <c r="DQ51" s="102" t="str">
        <f>IF(VOCATIONAL!G51="","",VOCATIONAL!G51)</f>
        <v/>
      </c>
      <c r="DR51" s="102" t="str">
        <f t="shared" si="79"/>
        <v/>
      </c>
      <c r="DS51" s="102" t="str">
        <f t="shared" si="80"/>
        <v/>
      </c>
      <c r="DT51" s="102" t="str">
        <f>IF(VOCATIONAL!K51="","",VOCATIONAL!K51)</f>
        <v/>
      </c>
      <c r="DU51" s="102" t="str">
        <f t="shared" si="81"/>
        <v/>
      </c>
      <c r="DV51" s="102" t="str">
        <f t="shared" si="82"/>
        <v/>
      </c>
      <c r="DW51" s="99"/>
      <c r="DX51" s="104" t="str">
        <f t="shared" si="83"/>
        <v/>
      </c>
      <c r="DY51" s="104" t="str">
        <f t="shared" si="84"/>
        <v/>
      </c>
      <c r="DZ51" s="104" t="str">
        <f t="shared" si="85"/>
        <v/>
      </c>
      <c r="EA51" s="104" t="str">
        <f t="shared" si="86"/>
        <v/>
      </c>
      <c r="EB51" s="104" t="str">
        <f t="shared" si="87"/>
        <v/>
      </c>
      <c r="EC51" s="104" t="str">
        <f t="shared" si="88"/>
        <v/>
      </c>
      <c r="ED51" s="104" t="str">
        <f t="shared" si="89"/>
        <v/>
      </c>
      <c r="EE51" s="104" t="str">
        <f t="shared" si="90"/>
        <v/>
      </c>
      <c r="EF51" s="104" t="str">
        <f t="shared" si="91"/>
        <v/>
      </c>
      <c r="EG51" s="104" t="str">
        <f t="shared" si="92"/>
        <v/>
      </c>
      <c r="EH51" s="104" t="str">
        <f t="shared" si="93"/>
        <v/>
      </c>
      <c r="EI51" s="104" t="str">
        <f t="shared" si="94"/>
        <v/>
      </c>
      <c r="EJ51" s="105" t="str">
        <f t="shared" si="95"/>
        <v/>
      </c>
      <c r="EK51" s="105" t="str">
        <f t="shared" si="96"/>
        <v/>
      </c>
      <c r="EL51" s="105" t="str">
        <f t="shared" si="97"/>
        <v/>
      </c>
      <c r="EM51" s="105" t="str">
        <f t="shared" si="98"/>
        <v/>
      </c>
      <c r="EN51" s="105" t="str">
        <f t="shared" si="99"/>
        <v/>
      </c>
      <c r="EO51" s="363" t="str">
        <f t="shared" si="100"/>
        <v/>
      </c>
      <c r="EP51" s="106" t="str">
        <f t="shared" si="101"/>
        <v/>
      </c>
      <c r="EQ51" s="106" t="str">
        <f t="shared" si="102"/>
        <v/>
      </c>
      <c r="ER51" s="106" t="str">
        <f t="shared" si="103"/>
        <v/>
      </c>
      <c r="ES51" s="106" t="str">
        <f t="shared" si="104"/>
        <v/>
      </c>
      <c r="ET51" s="106" t="str">
        <f t="shared" si="105"/>
        <v/>
      </c>
      <c r="EU51" s="106" t="str">
        <f t="shared" si="106"/>
        <v/>
      </c>
      <c r="EV51" s="92" t="str">
        <f t="shared" si="107"/>
        <v/>
      </c>
      <c r="EW51" s="92" t="str">
        <f t="shared" si="108"/>
        <v/>
      </c>
      <c r="EX51" s="92" t="str">
        <f t="shared" si="109"/>
        <v/>
      </c>
      <c r="EY51" s="92" t="str">
        <f t="shared" si="110"/>
        <v/>
      </c>
      <c r="EZ51" s="92" t="str">
        <f t="shared" si="111"/>
        <v/>
      </c>
      <c r="FA51" s="92" t="str">
        <f t="shared" si="112"/>
        <v/>
      </c>
      <c r="FB51" s="93" t="str">
        <f t="shared" si="113"/>
        <v/>
      </c>
      <c r="FC51" s="93" t="str">
        <f t="shared" si="114"/>
        <v/>
      </c>
      <c r="FD51" s="93" t="str">
        <f t="shared" si="115"/>
        <v/>
      </c>
      <c r="FE51" s="93" t="str">
        <f t="shared" si="116"/>
        <v/>
      </c>
      <c r="FF51" s="93" t="str">
        <f t="shared" si="117"/>
        <v/>
      </c>
      <c r="FG51" s="93" t="str">
        <f t="shared" si="118"/>
        <v/>
      </c>
      <c r="FH51" s="107" t="str">
        <f t="shared" si="119"/>
        <v/>
      </c>
      <c r="FI51" s="107" t="str">
        <f t="shared" si="120"/>
        <v/>
      </c>
      <c r="FJ51" s="256" t="str">
        <f t="shared" si="121"/>
        <v/>
      </c>
      <c r="FK51" s="256" t="str">
        <f t="shared" si="122"/>
        <v/>
      </c>
      <c r="FL51" s="256" t="str">
        <f t="shared" si="123"/>
        <v/>
      </c>
      <c r="FM51" s="256" t="str">
        <f t="shared" si="124"/>
        <v/>
      </c>
      <c r="FN51" s="256" t="str">
        <f>IF(OR(C51="TC",C51=""),"",IF(OR(FJ51="PASS",FJ51="FAIL"),IF(EC51="",SUM(FB51:FF51),SUM(LARGE(FB51:FG51,{1,2,3,4,5}))),""))</f>
        <v/>
      </c>
      <c r="FO51" s="256" t="str">
        <f>IF(AND(FN51="",FK51="PASSED AFTER COMPARTMENT"),IF(EC51="",SUM(FB51:FF51),SUM(LARGE(FB51:FG51,{1,2,3,4,5}))),FN51)</f>
        <v/>
      </c>
      <c r="FP51" s="256" t="str">
        <f t="shared" si="125"/>
        <v/>
      </c>
      <c r="FQ51" s="256" t="str">
        <f t="shared" si="126"/>
        <v/>
      </c>
      <c r="FR51" s="256" t="str">
        <f t="shared" si="127"/>
        <v/>
      </c>
      <c r="FS51" s="256" t="str">
        <f t="shared" si="128"/>
        <v/>
      </c>
      <c r="FT51" s="108" t="str">
        <f t="shared" si="129"/>
        <v/>
      </c>
      <c r="FU51" s="256" t="str">
        <f t="shared" si="130"/>
        <v/>
      </c>
      <c r="FV51" s="109" t="str">
        <f>IF(ATTENDANCE!Q52="","",ATTENDANCE!Q52)</f>
        <v/>
      </c>
      <c r="FW51" s="110" t="str">
        <f t="shared" si="131"/>
        <v/>
      </c>
      <c r="FX51" s="110" t="str">
        <f t="shared" si="132"/>
        <v/>
      </c>
      <c r="FY51" s="365" t="str">
        <f t="shared" si="133"/>
        <v/>
      </c>
      <c r="FZ51" s="108" t="str">
        <f t="shared" si="134"/>
        <v/>
      </c>
      <c r="GA51" s="256" t="str">
        <f>IF(ATTENDANCE!Q52="","",ATTENDANCE!Q52)</f>
        <v/>
      </c>
      <c r="GB51" s="108" t="str">
        <f>IF(ATTENDANCE!Q52="","",ATTENDANCE!$Q52)</f>
        <v/>
      </c>
      <c r="GC51" s="108"/>
      <c r="GD51" s="60"/>
    </row>
    <row r="52" spans="1:186" s="200" customFormat="1" ht="15.75" customHeight="1" x14ac:dyDescent="0.3">
      <c r="A52" s="199"/>
      <c r="B52" s="581"/>
      <c r="C52" s="581"/>
      <c r="D52" s="581"/>
      <c r="E52" s="582"/>
      <c r="F52" s="583"/>
      <c r="G52" s="583"/>
      <c r="H52" s="583"/>
      <c r="I52" s="583"/>
      <c r="J52" s="583"/>
      <c r="K52" s="583"/>
      <c r="L52" s="349"/>
      <c r="M52" s="917" t="s">
        <v>183</v>
      </c>
      <c r="N52" s="918"/>
      <c r="O52" s="918"/>
      <c r="P52" s="918"/>
      <c r="Q52" s="919"/>
      <c r="R52" s="917" t="s">
        <v>184</v>
      </c>
      <c r="S52" s="918"/>
      <c r="T52" s="918"/>
      <c r="U52" s="918"/>
      <c r="V52" s="919"/>
      <c r="W52" s="346"/>
      <c r="X52" s="901" t="s">
        <v>58</v>
      </c>
      <c r="Y52" s="901"/>
      <c r="Z52" s="901"/>
      <c r="AA52" s="901"/>
      <c r="AB52" s="901">
        <f>COUNT(DATA!$D$5:$D$50)-COUNTIFS(DATA!$C$5:$C$50,"TC")</f>
        <v>2</v>
      </c>
      <c r="AC52" s="901"/>
      <c r="AD52" s="125"/>
      <c r="AE52" s="126"/>
      <c r="AF52" s="125"/>
      <c r="AG52" s="346"/>
      <c r="AH52" s="346"/>
      <c r="AI52" s="917" t="s">
        <v>183</v>
      </c>
      <c r="AJ52" s="918"/>
      <c r="AK52" s="918"/>
      <c r="AL52" s="918"/>
      <c r="AM52" s="919"/>
      <c r="AN52" s="917" t="s">
        <v>184</v>
      </c>
      <c r="AO52" s="918"/>
      <c r="AP52" s="918"/>
      <c r="AQ52" s="918"/>
      <c r="AR52" s="919"/>
      <c r="AS52" s="346"/>
      <c r="AT52" s="901" t="s">
        <v>58</v>
      </c>
      <c r="AU52" s="901"/>
      <c r="AV52" s="901"/>
      <c r="AW52" s="901"/>
      <c r="AX52" s="901">
        <f>COUNTIFS(DATA!D7:D51,"&lt;&gt;",AG7:AG51,AT56)
 -COUNTIFS(DATA!C7:C51,"TC",AG7:AG51,AT56)</f>
        <v>1</v>
      </c>
      <c r="AY52" s="901"/>
      <c r="AZ52" s="125"/>
      <c r="BA52" s="126"/>
      <c r="BB52" s="125"/>
      <c r="BC52" s="346"/>
      <c r="BD52" s="917" t="s">
        <v>183</v>
      </c>
      <c r="BE52" s="918"/>
      <c r="BF52" s="918"/>
      <c r="BG52" s="918"/>
      <c r="BH52" s="919"/>
      <c r="BI52" s="917" t="s">
        <v>184</v>
      </c>
      <c r="BJ52" s="918"/>
      <c r="BK52" s="918"/>
      <c r="BL52" s="918"/>
      <c r="BM52" s="919"/>
      <c r="BN52" s="346"/>
      <c r="BO52" s="901" t="s">
        <v>58</v>
      </c>
      <c r="BP52" s="901"/>
      <c r="BQ52" s="901"/>
      <c r="BR52" s="901"/>
      <c r="BS52" s="901">
        <f>COUNT(DATA!$D$5:$D$50)-COUNTIFS(DATA!$C$5:$C$50,"TC")</f>
        <v>2</v>
      </c>
      <c r="BT52" s="901"/>
      <c r="BU52" s="125"/>
      <c r="BV52" s="126"/>
      <c r="BW52" s="125"/>
      <c r="BX52" s="346"/>
      <c r="BY52" s="917" t="s">
        <v>183</v>
      </c>
      <c r="BZ52" s="918"/>
      <c r="CA52" s="918"/>
      <c r="CB52" s="918"/>
      <c r="CC52" s="919"/>
      <c r="CD52" s="917" t="s">
        <v>184</v>
      </c>
      <c r="CE52" s="918"/>
      <c r="CF52" s="918"/>
      <c r="CG52" s="918"/>
      <c r="CH52" s="919"/>
      <c r="CI52" s="346"/>
      <c r="CJ52" s="901" t="s">
        <v>58</v>
      </c>
      <c r="CK52" s="901"/>
      <c r="CL52" s="901"/>
      <c r="CM52" s="901"/>
      <c r="CN52" s="901">
        <f>COUNT(DATA!$D$5:$D$50)-COUNTIFS(DATA!$C$5:$C$50,"TC")</f>
        <v>2</v>
      </c>
      <c r="CO52" s="901"/>
      <c r="CP52" s="125"/>
      <c r="CQ52" s="126"/>
      <c r="CR52" s="125"/>
      <c r="CS52" s="346"/>
      <c r="CT52" s="917" t="s">
        <v>183</v>
      </c>
      <c r="CU52" s="918"/>
      <c r="CV52" s="918"/>
      <c r="CW52" s="918"/>
      <c r="CX52" s="919"/>
      <c r="CY52" s="917" t="s">
        <v>184</v>
      </c>
      <c r="CZ52" s="918"/>
      <c r="DA52" s="918"/>
      <c r="DB52" s="918"/>
      <c r="DC52" s="919"/>
      <c r="DD52" s="346"/>
      <c r="DE52" s="901" t="s">
        <v>58</v>
      </c>
      <c r="DF52" s="901"/>
      <c r="DG52" s="901"/>
      <c r="DH52" s="901"/>
      <c r="DI52" s="901">
        <f>COUNT(DATA!$D$5:$D$50)-COUNTIFS(DATA!$C$5:$C$50,"TC")</f>
        <v>2</v>
      </c>
      <c r="DJ52" s="901"/>
      <c r="DK52" s="125"/>
      <c r="DL52" s="126"/>
      <c r="DM52" s="125"/>
      <c r="DN52" s="125"/>
      <c r="DO52" s="125"/>
      <c r="DP52" s="901" t="s">
        <v>58</v>
      </c>
      <c r="DQ52" s="901"/>
      <c r="DR52" s="901"/>
      <c r="DS52" s="901"/>
      <c r="DT52" s="901">
        <f>COUNTIFS(D7:D51,"&lt;&gt;",DO7:DO51,DP56) - COUNTIFS(C7:C51,"TC",DO7:DO51,DP56)</f>
        <v>1</v>
      </c>
      <c r="DU52" s="901"/>
      <c r="DV52" s="125"/>
      <c r="DW52" s="99"/>
      <c r="DX52" s="132"/>
      <c r="DY52" s="132"/>
      <c r="DZ52" s="127"/>
      <c r="EA52" s="127"/>
      <c r="EB52" s="127"/>
      <c r="EC52" s="127"/>
      <c r="ED52" s="127"/>
      <c r="EE52" s="127"/>
      <c r="EF52" s="127"/>
      <c r="EG52" s="127"/>
      <c r="EH52" s="127"/>
      <c r="EI52" s="127"/>
      <c r="EJ52" s="128"/>
      <c r="EK52" s="128"/>
      <c r="EL52" s="128"/>
      <c r="EM52" s="128"/>
      <c r="EN52" s="128"/>
      <c r="EO52" s="128"/>
      <c r="EP52" s="129"/>
      <c r="EQ52" s="129"/>
      <c r="ER52" s="129"/>
      <c r="ES52" s="129"/>
      <c r="ET52" s="129"/>
      <c r="EU52" s="129"/>
      <c r="EV52" s="130"/>
      <c r="EW52" s="130"/>
      <c r="EX52" s="130"/>
      <c r="EY52" s="130"/>
      <c r="EZ52" s="130"/>
      <c r="FA52" s="130"/>
      <c r="FB52" s="93"/>
      <c r="FC52" s="93"/>
      <c r="FD52" s="93"/>
      <c r="FE52" s="93"/>
      <c r="FF52" s="93"/>
      <c r="FG52" s="93"/>
      <c r="FH52" s="131"/>
      <c r="FI52" s="131"/>
      <c r="FJ52" s="960" t="str">
        <f>IF(FV54="0","","SVGMS")</f>
        <v>SVGMS</v>
      </c>
      <c r="FK52" s="961"/>
      <c r="FL52" s="962"/>
      <c r="FM52" s="931"/>
      <c r="FN52" s="932"/>
      <c r="FO52" s="932"/>
      <c r="FP52" s="932"/>
      <c r="FQ52" s="932"/>
      <c r="FR52" s="932"/>
      <c r="FS52" s="932"/>
      <c r="FT52" s="932"/>
      <c r="FU52" s="932"/>
      <c r="FV52" s="932"/>
      <c r="FW52" s="932"/>
      <c r="FX52" s="932"/>
      <c r="FY52" s="932"/>
      <c r="FZ52" s="933"/>
      <c r="GA52" s="256"/>
      <c r="GB52" s="108"/>
      <c r="GC52" s="135"/>
      <c r="GD52" s="199"/>
    </row>
    <row r="53" spans="1:186" ht="15" customHeight="1" thickBot="1" x14ac:dyDescent="0.35">
      <c r="A53" s="60"/>
      <c r="B53" s="577"/>
      <c r="C53" s="577"/>
      <c r="D53" s="577"/>
      <c r="E53" s="578"/>
      <c r="F53" s="584"/>
      <c r="G53" s="139" t="s">
        <v>203</v>
      </c>
      <c r="H53" s="139" t="s">
        <v>198</v>
      </c>
      <c r="I53" s="139" t="s">
        <v>199</v>
      </c>
      <c r="J53" s="139" t="s">
        <v>57</v>
      </c>
      <c r="K53" s="584"/>
      <c r="L53" s="571"/>
      <c r="M53" s="201" t="s">
        <v>166</v>
      </c>
      <c r="N53" s="201" t="s">
        <v>165</v>
      </c>
      <c r="O53" s="201" t="s">
        <v>167</v>
      </c>
      <c r="P53" s="201" t="s">
        <v>185</v>
      </c>
      <c r="Q53" s="202" t="s">
        <v>57</v>
      </c>
      <c r="R53" s="201" t="s">
        <v>166</v>
      </c>
      <c r="S53" s="201" t="s">
        <v>165</v>
      </c>
      <c r="T53" s="201" t="s">
        <v>167</v>
      </c>
      <c r="U53" s="201" t="s">
        <v>185</v>
      </c>
      <c r="V53" s="202" t="s">
        <v>57</v>
      </c>
      <c r="W53" s="203" t="s">
        <v>186</v>
      </c>
      <c r="X53" s="902" t="s">
        <v>59</v>
      </c>
      <c r="Y53" s="902"/>
      <c r="Z53" s="902"/>
      <c r="AA53" s="902"/>
      <c r="AB53" s="902">
        <f>COUNTIF(AA7:AA51,"&gt;=33")</f>
        <v>2</v>
      </c>
      <c r="AC53" s="902"/>
      <c r="AD53" s="118"/>
      <c r="AE53" s="119"/>
      <c r="AF53" s="118"/>
      <c r="AG53" s="159"/>
      <c r="AH53" s="159"/>
      <c r="AI53" s="201" t="s">
        <v>166</v>
      </c>
      <c r="AJ53" s="201" t="s">
        <v>165</v>
      </c>
      <c r="AK53" s="201" t="s">
        <v>167</v>
      </c>
      <c r="AL53" s="201" t="s">
        <v>185</v>
      </c>
      <c r="AM53" s="202" t="s">
        <v>57</v>
      </c>
      <c r="AN53" s="201" t="s">
        <v>166</v>
      </c>
      <c r="AO53" s="201" t="s">
        <v>165</v>
      </c>
      <c r="AP53" s="201" t="s">
        <v>167</v>
      </c>
      <c r="AQ53" s="201" t="s">
        <v>185</v>
      </c>
      <c r="AR53" s="202" t="s">
        <v>57</v>
      </c>
      <c r="AS53" s="203" t="s">
        <v>186</v>
      </c>
      <c r="AT53" s="902" t="s">
        <v>59</v>
      </c>
      <c r="AU53" s="902"/>
      <c r="AV53" s="902"/>
      <c r="AW53" s="902"/>
      <c r="AX53" s="902">
        <f>COUNTIFS(AW7:AW51,"&gt;=33",AG7:AG51,AT56)</f>
        <v>1</v>
      </c>
      <c r="AY53" s="902"/>
      <c r="AZ53" s="118"/>
      <c r="BA53" s="119"/>
      <c r="BB53" s="118"/>
      <c r="BC53" s="159"/>
      <c r="BD53" s="201" t="s">
        <v>166</v>
      </c>
      <c r="BE53" s="201" t="s">
        <v>165</v>
      </c>
      <c r="BF53" s="201" t="s">
        <v>167</v>
      </c>
      <c r="BG53" s="201" t="s">
        <v>185</v>
      </c>
      <c r="BH53" s="202" t="s">
        <v>57</v>
      </c>
      <c r="BI53" s="201" t="s">
        <v>166</v>
      </c>
      <c r="BJ53" s="201" t="s">
        <v>165</v>
      </c>
      <c r="BK53" s="201" t="s">
        <v>167</v>
      </c>
      <c r="BL53" s="201" t="s">
        <v>185</v>
      </c>
      <c r="BM53" s="202" t="s">
        <v>57</v>
      </c>
      <c r="BN53" s="203" t="s">
        <v>186</v>
      </c>
      <c r="BO53" s="902" t="s">
        <v>59</v>
      </c>
      <c r="BP53" s="902"/>
      <c r="BQ53" s="902"/>
      <c r="BR53" s="902"/>
      <c r="BS53" s="902">
        <f>COUNTIF(BR7:BR51,"&gt;=33")</f>
        <v>2</v>
      </c>
      <c r="BT53" s="902"/>
      <c r="BU53" s="118"/>
      <c r="BV53" s="119"/>
      <c r="BW53" s="118"/>
      <c r="BX53" s="159"/>
      <c r="BY53" s="201" t="s">
        <v>166</v>
      </c>
      <c r="BZ53" s="201" t="s">
        <v>165</v>
      </c>
      <c r="CA53" s="201" t="s">
        <v>167</v>
      </c>
      <c r="CB53" s="201" t="s">
        <v>185</v>
      </c>
      <c r="CC53" s="202" t="s">
        <v>57</v>
      </c>
      <c r="CD53" s="201" t="s">
        <v>166</v>
      </c>
      <c r="CE53" s="201" t="s">
        <v>165</v>
      </c>
      <c r="CF53" s="201" t="s">
        <v>167</v>
      </c>
      <c r="CG53" s="201" t="s">
        <v>185</v>
      </c>
      <c r="CH53" s="202" t="s">
        <v>57</v>
      </c>
      <c r="CI53" s="203" t="s">
        <v>186</v>
      </c>
      <c r="CJ53" s="902" t="s">
        <v>59</v>
      </c>
      <c r="CK53" s="902"/>
      <c r="CL53" s="902"/>
      <c r="CM53" s="902"/>
      <c r="CN53" s="902">
        <f>COUNTIF(CM7:CM51,"&gt;=33")</f>
        <v>1</v>
      </c>
      <c r="CO53" s="902"/>
      <c r="CP53" s="118"/>
      <c r="CQ53" s="119"/>
      <c r="CR53" s="118"/>
      <c r="CS53" s="159"/>
      <c r="CT53" s="201" t="s">
        <v>166</v>
      </c>
      <c r="CU53" s="201" t="s">
        <v>165</v>
      </c>
      <c r="CV53" s="201" t="s">
        <v>167</v>
      </c>
      <c r="CW53" s="201" t="s">
        <v>185</v>
      </c>
      <c r="CX53" s="202" t="s">
        <v>57</v>
      </c>
      <c r="CY53" s="201" t="s">
        <v>166</v>
      </c>
      <c r="CZ53" s="201" t="s">
        <v>165</v>
      </c>
      <c r="DA53" s="201" t="s">
        <v>167</v>
      </c>
      <c r="DB53" s="201" t="s">
        <v>185</v>
      </c>
      <c r="DC53" s="202" t="s">
        <v>57</v>
      </c>
      <c r="DD53" s="203" t="s">
        <v>186</v>
      </c>
      <c r="DE53" s="902" t="s">
        <v>59</v>
      </c>
      <c r="DF53" s="902"/>
      <c r="DG53" s="902"/>
      <c r="DH53" s="902"/>
      <c r="DI53" s="902">
        <f>COUNTIF(DH7:DH51,"&gt;=33")</f>
        <v>1</v>
      </c>
      <c r="DJ53" s="902"/>
      <c r="DK53" s="118"/>
      <c r="DL53" s="119"/>
      <c r="DM53" s="118"/>
      <c r="DN53" s="118"/>
      <c r="DO53" s="118"/>
      <c r="DP53" s="902" t="s">
        <v>59</v>
      </c>
      <c r="DQ53" s="902"/>
      <c r="DR53" s="902"/>
      <c r="DS53" s="902"/>
      <c r="DT53" s="902">
        <f>COUNTIFS(DR7:DR51,"&gt;=33",DO7:DO51,DP56)</f>
        <v>1</v>
      </c>
      <c r="DU53" s="902"/>
      <c r="DV53" s="118"/>
      <c r="DW53" s="99"/>
      <c r="DX53" s="132"/>
      <c r="DY53" s="204"/>
      <c r="DZ53" s="122"/>
      <c r="EA53" s="122"/>
      <c r="EB53" s="122"/>
      <c r="EC53" s="122"/>
      <c r="ED53" s="104"/>
      <c r="EE53" s="104"/>
      <c r="EF53" s="104"/>
      <c r="EG53" s="104"/>
      <c r="EH53" s="104"/>
      <c r="EI53" s="104"/>
      <c r="EJ53" s="105"/>
      <c r="EK53" s="105"/>
      <c r="EL53" s="105"/>
      <c r="EM53" s="105"/>
      <c r="EN53" s="105"/>
      <c r="EO53" s="105"/>
      <c r="EP53" s="106"/>
      <c r="EQ53" s="106"/>
      <c r="ER53" s="106"/>
      <c r="ES53" s="106"/>
      <c r="ET53" s="106"/>
      <c r="EU53" s="106"/>
      <c r="EV53" s="92"/>
      <c r="EW53" s="92"/>
      <c r="EX53" s="92"/>
      <c r="EY53" s="92"/>
      <c r="EZ53" s="92"/>
      <c r="FA53" s="92"/>
      <c r="FB53" s="93"/>
      <c r="FC53" s="93"/>
      <c r="FD53" s="93"/>
      <c r="FE53" s="93"/>
      <c r="FF53" s="93"/>
      <c r="FG53" s="93"/>
      <c r="FH53" s="107"/>
      <c r="FI53" s="107"/>
      <c r="FJ53" s="943"/>
      <c r="FK53" s="944"/>
      <c r="FL53" s="963"/>
      <c r="FM53" s="934"/>
      <c r="FN53" s="935"/>
      <c r="FO53" s="935"/>
      <c r="FP53" s="935"/>
      <c r="FQ53" s="935"/>
      <c r="FR53" s="935"/>
      <c r="FS53" s="935"/>
      <c r="FT53" s="935"/>
      <c r="FU53" s="935"/>
      <c r="FV53" s="935"/>
      <c r="FW53" s="935"/>
      <c r="FX53" s="935"/>
      <c r="FY53" s="935"/>
      <c r="FZ53" s="936"/>
      <c r="GA53" s="256" t="str">
        <f>IF(ATTENDANCE!Q54="","",ATTENDANCE!Q54)</f>
        <v/>
      </c>
      <c r="GB53" s="108" t="str">
        <f>IF(ATTENDANCE!Q53="","",ATTENDANCE!$Q$7)</f>
        <v/>
      </c>
      <c r="GC53" s="121"/>
      <c r="GD53" s="60"/>
    </row>
    <row r="54" spans="1:186" ht="15" customHeight="1" x14ac:dyDescent="0.3">
      <c r="A54" s="60"/>
      <c r="B54" s="577"/>
      <c r="C54" s="577"/>
      <c r="D54" s="577"/>
      <c r="E54" s="578"/>
      <c r="F54" s="584"/>
      <c r="G54" s="410" t="s">
        <v>166</v>
      </c>
      <c r="H54" s="410">
        <f>COUNTIFS($I$7:$I$51,"BOY",$J$7:$J$51,"GEN")</f>
        <v>1</v>
      </c>
      <c r="I54" s="410">
        <f>COUNTIFS($I$7:$I$51,"GIRL",$J$7:$J$51,"GEN")</f>
        <v>0</v>
      </c>
      <c r="J54" s="410">
        <f>SUM(H54:I54)</f>
        <v>1</v>
      </c>
      <c r="K54" s="584"/>
      <c r="L54" s="573" t="s">
        <v>64</v>
      </c>
      <c r="M54" s="201">
        <f>COUNTIFS($I$7:$I$51,"BOY",$J$7:$J$51,"GEN",AB7:AB51,"E")</f>
        <v>0</v>
      </c>
      <c r="N54" s="201">
        <f>COUNTIFS($I$7:$I$51,"BOY",$J$7:$J$51,"OBC",AB7:AB51,"E")</f>
        <v>0</v>
      </c>
      <c r="O54" s="201">
        <f>COUNTIFS($I$7:$I$51,"BOY",$J$7:$J$51,"SC",AB7:AB51,"E")</f>
        <v>0</v>
      </c>
      <c r="P54" s="201">
        <f>COUNTIFS($I$7:$I$51,"BOY",$J$7:$J$51,"ST",AB7:AB51,"E")</f>
        <v>0</v>
      </c>
      <c r="Q54" s="202">
        <f>SUM(M54:P54)</f>
        <v>0</v>
      </c>
      <c r="R54" s="201">
        <f>COUNTIFS($I$7:$I$51,"GIRL",$J$7:$J$51,"GEN",AB7:AB51,"E")</f>
        <v>0</v>
      </c>
      <c r="S54" s="201">
        <f>COUNTIFS($I$7:$I$51,"GIRL",$J$7:$J$51,"OBC",AB7:AB51,"E")</f>
        <v>0</v>
      </c>
      <c r="T54" s="201">
        <f>COUNTIFS($I$7:$I$51,"GIRL",$J$7:$J$51,"SC",AB7:AB51,"E")</f>
        <v>0</v>
      </c>
      <c r="U54" s="201">
        <f>COUNTIFS($I$7:$I$51,"GIRL",$J$7:$J$51,"ST",AB7:AB51,"E")</f>
        <v>0</v>
      </c>
      <c r="V54" s="202">
        <f>SUM(R54:U54)</f>
        <v>0</v>
      </c>
      <c r="W54" s="207">
        <f>SUM(Q54,V54)</f>
        <v>0</v>
      </c>
      <c r="X54" s="902" t="s">
        <v>60</v>
      </c>
      <c r="Y54" s="902"/>
      <c r="Z54" s="902"/>
      <c r="AA54" s="902"/>
      <c r="AB54" s="902">
        <f>COUNTIF(AA7:AA51,"&lt;33")</f>
        <v>0</v>
      </c>
      <c r="AC54" s="902"/>
      <c r="AD54" s="118"/>
      <c r="AE54" s="119"/>
      <c r="AF54" s="118"/>
      <c r="AG54" s="501" t="s">
        <v>310</v>
      </c>
      <c r="AH54" s="206" t="s">
        <v>64</v>
      </c>
      <c r="AI54" s="201">
        <f>COUNTIFS($I$7:$I$51,$AI$63,$J$7:$J$51,AI$53,$AG$7:$AG$51,$AT$56,$AX$7:$AX$51,$AG54)</f>
        <v>0</v>
      </c>
      <c r="AJ54" s="201">
        <f t="shared" ref="AJ54:AL61" si="207">COUNTIFS($I$7:$I$51,$AI$63,$J$7:$J$51,AJ$53,$AG$7:$AG$51,$AT$56,$AX$7:$AX$51,$AG54)</f>
        <v>0</v>
      </c>
      <c r="AK54" s="201">
        <f t="shared" si="207"/>
        <v>0</v>
      </c>
      <c r="AL54" s="201">
        <f t="shared" si="207"/>
        <v>0</v>
      </c>
      <c r="AM54" s="202">
        <f>SUM(AI54:AL54)</f>
        <v>0</v>
      </c>
      <c r="AN54" s="201">
        <f>COUNTIFS($I$7:$I$51,$AN$63,$J$7:$J$51,AN$53,$AG$7:$AG$51,$AT$56,$AX$7:$AX$51,$AG54)</f>
        <v>0</v>
      </c>
      <c r="AO54" s="201">
        <f t="shared" ref="AO54:AQ61" si="208">COUNTIFS($I$7:$I$51,$AN$63,$J$7:$J$51,AO$53,$AG$7:$AG$51,$AT$56,$AX$7:$AX$51,$AG54)</f>
        <v>0</v>
      </c>
      <c r="AP54" s="201">
        <f t="shared" si="208"/>
        <v>0</v>
      </c>
      <c r="AQ54" s="201">
        <f t="shared" si="208"/>
        <v>0</v>
      </c>
      <c r="AR54" s="202">
        <f>SUM(AN54:AQ54)</f>
        <v>0</v>
      </c>
      <c r="AS54" s="207">
        <f>SUM(AM54,AR54)</f>
        <v>0</v>
      </c>
      <c r="AT54" s="902" t="s">
        <v>60</v>
      </c>
      <c r="AU54" s="902"/>
      <c r="AV54" s="902"/>
      <c r="AW54" s="902"/>
      <c r="AX54" s="902">
        <f>COUNTIFS(AW7:AW51,"&lt;33",AG7:AG51,AT56)</f>
        <v>0</v>
      </c>
      <c r="AY54" s="902"/>
      <c r="AZ54" s="118"/>
      <c r="BA54" s="119"/>
      <c r="BB54" s="118"/>
      <c r="BC54" s="206" t="s">
        <v>64</v>
      </c>
      <c r="BD54" s="201">
        <f>COUNTIFS($I$7:$I$51,"BOY",$J$7:$J$51,"GEN",BS7:BS51,"E")</f>
        <v>0</v>
      </c>
      <c r="BE54" s="201">
        <f>COUNTIFS($I$7:$I$51,"BOY",$J$7:$J$51,"OBC",BS7:BS51,"E")</f>
        <v>0</v>
      </c>
      <c r="BF54" s="201">
        <f>COUNTIFS($I$7:$I$51,"BOY",$J$7:$J$51,"SC",BS7:BS51,"E")</f>
        <v>0</v>
      </c>
      <c r="BG54" s="201">
        <f>COUNTIFS($I$7:$I$51,"BOY",$J$7:$J$51,"ST",BS7:BS51,"E")</f>
        <v>0</v>
      </c>
      <c r="BH54" s="202">
        <f>SUM(BD54:BG54)</f>
        <v>0</v>
      </c>
      <c r="BI54" s="201">
        <f>COUNTIFS($I$7:$I$51,"GIRL",$J$7:$J$51,"GEN",BS7:BS51,"E")</f>
        <v>0</v>
      </c>
      <c r="BJ54" s="201">
        <f>COUNTIFS($I$7:$I$51,"GIRL",$J$7:$J$51,"OBC",BS7:BS51,"E")</f>
        <v>0</v>
      </c>
      <c r="BK54" s="201">
        <f>COUNTIFS($I$7:$I$51,"GIRL",$J$7:$J$51,"SC",BS7:BS51,"E")</f>
        <v>0</v>
      </c>
      <c r="BL54" s="201">
        <f>COUNTIFS($I$7:$I$51,"GIRL",$J$7:$J$51,"ST",BS7:BS51,"E")</f>
        <v>0</v>
      </c>
      <c r="BM54" s="202">
        <f>SUM(BI54:BL54)</f>
        <v>0</v>
      </c>
      <c r="BN54" s="207">
        <f>SUM(BH54,BM54)</f>
        <v>0</v>
      </c>
      <c r="BO54" s="902" t="s">
        <v>60</v>
      </c>
      <c r="BP54" s="902"/>
      <c r="BQ54" s="902"/>
      <c r="BR54" s="902"/>
      <c r="BS54" s="902">
        <f>COUNTIF(BR7:BR51,"&lt;33")</f>
        <v>0</v>
      </c>
      <c r="BT54" s="902"/>
      <c r="BU54" s="118"/>
      <c r="BV54" s="119"/>
      <c r="BW54" s="118"/>
      <c r="BX54" s="206" t="s">
        <v>64</v>
      </c>
      <c r="BY54" s="201">
        <f>COUNTIFS($I$7:$I$51,"BOY",$J$7:$J$51,"GEN",CN7:CN51,"E")</f>
        <v>0</v>
      </c>
      <c r="BZ54" s="201">
        <f>COUNTIFS($I$7:$I$51,"BOY",$J$7:$J$51,"OBC",CN7:CN51,"E")</f>
        <v>0</v>
      </c>
      <c r="CA54" s="201">
        <f>COUNTIFS($I$7:$I$51,"BOY",$J$7:$J$51,"SC",CN7:CN51,"E")</f>
        <v>0</v>
      </c>
      <c r="CB54" s="201">
        <f>COUNTIFS($I$7:$I$51,"BOY",$J$7:$J$51,"ST",CN7:CN51,"E")</f>
        <v>0</v>
      </c>
      <c r="CC54" s="202">
        <f>SUM(BY54:CB54)</f>
        <v>0</v>
      </c>
      <c r="CD54" s="201">
        <f>COUNTIFS($I$7:$I$51,"GIRL",$J$7:$J$51,"GEN",CN7:CN51,"E")</f>
        <v>0</v>
      </c>
      <c r="CE54" s="201">
        <f>COUNTIFS($I$7:$I$51,"GIRL",$J$7:$J$51,"OBC",CN7:CN51,"E")</f>
        <v>1</v>
      </c>
      <c r="CF54" s="201">
        <f>COUNTIFS($I$7:$I$51,"GIRL",$J$7:$J$51,"SC",CN7:CN51,"E")</f>
        <v>0</v>
      </c>
      <c r="CG54" s="201">
        <f>COUNTIFS($I$7:$I$51,"GIRL",$J$7:$J$51,"ST",CN7:CN51,"E")</f>
        <v>0</v>
      </c>
      <c r="CH54" s="202">
        <f>SUM(CD54:CG54)</f>
        <v>1</v>
      </c>
      <c r="CI54" s="207">
        <f>SUM(CC54,CH54)</f>
        <v>1</v>
      </c>
      <c r="CJ54" s="902" t="s">
        <v>60</v>
      </c>
      <c r="CK54" s="902"/>
      <c r="CL54" s="902"/>
      <c r="CM54" s="902"/>
      <c r="CN54" s="902">
        <f>COUNTIF(CM7:CM51,"&lt;33")</f>
        <v>1</v>
      </c>
      <c r="CO54" s="902"/>
      <c r="CP54" s="118"/>
      <c r="CQ54" s="119"/>
      <c r="CR54" s="118"/>
      <c r="CS54" s="206" t="s">
        <v>64</v>
      </c>
      <c r="CT54" s="201">
        <f>COUNTIFS($I$7:$I$51,"BOY",$J$7:$J$51,"GEN",DI7:DI51,"E")</f>
        <v>1</v>
      </c>
      <c r="CU54" s="201">
        <f>COUNTIFS($I$7:$I$51,"BOY",$J$7:$J$51,"OBC",DI7:DI51,"E")</f>
        <v>0</v>
      </c>
      <c r="CV54" s="201">
        <f>COUNTIFS($I$7:$I$51,"BOY",$J$7:$J$51,"SC",DI7:DI51,"E")</f>
        <v>0</v>
      </c>
      <c r="CW54" s="201">
        <f>COUNTIFS($I$7:$I$51,"BOY",$J$7:$J$51,"ST",DI7:DI51,"E")</f>
        <v>0</v>
      </c>
      <c r="CX54" s="202">
        <f>SUM(CT54:CW54)</f>
        <v>1</v>
      </c>
      <c r="CY54" s="201">
        <f>COUNTIFS($I$7:$I$51,"GIRL",$J$7:$J$51,"GEN",DI7:DI51,"E")</f>
        <v>0</v>
      </c>
      <c r="CZ54" s="201">
        <f>COUNTIFS($I$7:$I$51,"GIRL",$J$7:$J$51,"OBC",DI7:DI51,"E")</f>
        <v>0</v>
      </c>
      <c r="DA54" s="201">
        <f>COUNTIFS($I$7:$I$51,"GIRL",$J$7:$J$51,"SC",DI7:DI51,"E")</f>
        <v>0</v>
      </c>
      <c r="DB54" s="201">
        <f>COUNTIFS($I$7:$I$51,"GIRL",$J$7:$J$51,"ST",DI7:DI51,"E")</f>
        <v>0</v>
      </c>
      <c r="DC54" s="202">
        <f>SUM(CY54:DB54)</f>
        <v>0</v>
      </c>
      <c r="DD54" s="207">
        <f>SUM(CX54,DC54)</f>
        <v>1</v>
      </c>
      <c r="DE54" s="902" t="s">
        <v>60</v>
      </c>
      <c r="DF54" s="902"/>
      <c r="DG54" s="902"/>
      <c r="DH54" s="902"/>
      <c r="DI54" s="902">
        <f>COUNTIF(DH7:DH51,"&lt;33")</f>
        <v>1</v>
      </c>
      <c r="DJ54" s="902"/>
      <c r="DK54" s="118"/>
      <c r="DL54" s="119"/>
      <c r="DM54" s="118"/>
      <c r="DN54" s="118"/>
      <c r="DO54" s="118"/>
      <c r="DP54" s="902" t="s">
        <v>60</v>
      </c>
      <c r="DQ54" s="902"/>
      <c r="DR54" s="902"/>
      <c r="DS54" s="902"/>
      <c r="DT54" s="902">
        <f>COUNTIFS(DR7:DR51,"&lt;33",DO7:DO51,DP56)</f>
        <v>0</v>
      </c>
      <c r="DU54" s="902"/>
      <c r="DV54" s="118"/>
      <c r="DW54" s="99"/>
      <c r="DX54" s="132"/>
      <c r="DY54" s="204"/>
      <c r="DZ54" s="122"/>
      <c r="EA54" s="122"/>
      <c r="EB54" s="122"/>
      <c r="EC54" s="122"/>
      <c r="ED54" s="104"/>
      <c r="EE54" s="104"/>
      <c r="EF54" s="104"/>
      <c r="EG54" s="104"/>
      <c r="EH54" s="104"/>
      <c r="EI54" s="104"/>
      <c r="EJ54" s="105"/>
      <c r="EK54" s="105"/>
      <c r="EL54" s="105"/>
      <c r="EM54" s="105"/>
      <c r="EN54" s="105"/>
      <c r="EO54" s="105"/>
      <c r="EP54" s="106"/>
      <c r="EQ54" s="106"/>
      <c r="ER54" s="106"/>
      <c r="ES54" s="106"/>
      <c r="ET54" s="106"/>
      <c r="EU54" s="106"/>
      <c r="EV54" s="92"/>
      <c r="EW54" s="92"/>
      <c r="EX54" s="92"/>
      <c r="EY54" s="92"/>
      <c r="EZ54" s="92"/>
      <c r="FA54" s="92"/>
      <c r="FB54" s="93"/>
      <c r="FC54" s="93"/>
      <c r="FD54" s="93"/>
      <c r="FE54" s="93"/>
      <c r="FF54" s="93"/>
      <c r="FG54" s="93"/>
      <c r="FH54" s="107"/>
      <c r="FI54" s="107"/>
      <c r="FJ54" s="943"/>
      <c r="FK54" s="944"/>
      <c r="FL54" s="963"/>
      <c r="FM54" s="964" t="s">
        <v>222</v>
      </c>
      <c r="FN54" s="967" t="str">
        <f>IF('SCHOOL RESULT'!B22="0","",'SCHOOL RESULT'!B22)</f>
        <v>SCHOOL RESULT  SESSION  -  2025-26</v>
      </c>
      <c r="FO54" s="968"/>
      <c r="FP54" s="968"/>
      <c r="FQ54" s="968"/>
      <c r="FR54" s="968"/>
      <c r="FS54" s="968"/>
      <c r="FT54" s="968"/>
      <c r="FU54" s="968"/>
      <c r="FV54" s="925" t="str">
        <f>IF('SCHOOL RESULT'!H22="0","",'SCHOOL RESULT'!H22)</f>
        <v>100 %</v>
      </c>
      <c r="FW54" s="926"/>
      <c r="FX54" s="926"/>
      <c r="FY54" s="926"/>
      <c r="FZ54" s="926"/>
      <c r="GA54" s="926"/>
      <c r="GB54" s="926"/>
      <c r="GC54" s="927"/>
      <c r="GD54" s="60"/>
    </row>
    <row r="55" spans="1:186" ht="15" customHeight="1" x14ac:dyDescent="0.3">
      <c r="A55" s="60"/>
      <c r="B55" s="577"/>
      <c r="C55" s="577"/>
      <c r="D55" s="577"/>
      <c r="E55" s="578"/>
      <c r="F55" s="584"/>
      <c r="G55" s="410" t="s">
        <v>165</v>
      </c>
      <c r="H55" s="410">
        <f>COUNTIFS($I$7:$I$51,"BOY",$J$7:$J$51,"OBC")</f>
        <v>1</v>
      </c>
      <c r="I55" s="410">
        <f>COUNTIFS($I$7:$I$51,"GIRL",$J$7:$J$51,"OBC")</f>
        <v>1</v>
      </c>
      <c r="J55" s="410">
        <f t="shared" ref="J55:J60" si="209">SUM(H55:I55)</f>
        <v>2</v>
      </c>
      <c r="K55" s="584"/>
      <c r="L55" s="573" t="s">
        <v>65</v>
      </c>
      <c r="M55" s="201">
        <f>COUNTIFS($I$7:$I$51,"BOY",$J$7:$J$51,"GEN",AB7:AB51,"D")</f>
        <v>0</v>
      </c>
      <c r="N55" s="201">
        <f>COUNTIFS($I$7:$I$51,"BOY",$J$7:$J$51,"OBC",AB7:AB51,"D")</f>
        <v>0</v>
      </c>
      <c r="O55" s="201">
        <f>COUNTIFS($I$7:$I$51,"BOY",$J$7:$J$51,"SC",AB7:AB51,"D")</f>
        <v>0</v>
      </c>
      <c r="P55" s="201">
        <f>COUNTIFS($I$7:$I$51,"BOY",$J$7:$J$51,"ST",AB7:AB51,"D")</f>
        <v>0</v>
      </c>
      <c r="Q55" s="202">
        <f t="shared" ref="Q55:Q61" si="210">SUM(M55:P55)</f>
        <v>0</v>
      </c>
      <c r="R55" s="201">
        <f>COUNTIFS($I$7:$I$51,"GIRL",$J$7:$J$51,"GEN",AB7:AB51,"D")</f>
        <v>0</v>
      </c>
      <c r="S55" s="201">
        <f>COUNTIFS($I$7:$I$51,"GIRL",$J$7:$J$51,"OBC",AB7:AB51,"D")</f>
        <v>0</v>
      </c>
      <c r="T55" s="201">
        <f>COUNTIFS($I$7:$I$51,"GIRL",$J$7:$J$51,"SC",AB7:AB51,"D")</f>
        <v>0</v>
      </c>
      <c r="U55" s="201">
        <f>COUNTIFS($I$7:$I$51,"GIRL",$J$7:$J$51,"ST",AB7:AB51,"D")</f>
        <v>0</v>
      </c>
      <c r="V55" s="202">
        <f t="shared" ref="V55:V61" si="211">SUM(R55:U55)</f>
        <v>0</v>
      </c>
      <c r="W55" s="207">
        <f t="shared" ref="W55:W61" si="212">SUM(Q55,V55)</f>
        <v>0</v>
      </c>
      <c r="X55" s="902" t="s">
        <v>61</v>
      </c>
      <c r="Y55" s="902"/>
      <c r="Z55" s="902"/>
      <c r="AA55" s="902"/>
      <c r="AB55" s="902">
        <f>ROUNDUP((AB53/AB52)*100,2)</f>
        <v>100</v>
      </c>
      <c r="AC55" s="902"/>
      <c r="AD55" s="118"/>
      <c r="AE55" s="119"/>
      <c r="AF55" s="118"/>
      <c r="AG55" s="501" t="s">
        <v>24</v>
      </c>
      <c r="AH55" s="206" t="s">
        <v>65</v>
      </c>
      <c r="AI55" s="201">
        <f t="shared" ref="AI55:AI61" si="213">COUNTIFS($I$7:$I$51,$AI$63,$J$7:$J$51,AI$53,$AG$7:$AG$51,$AT$56,$AX$7:$AX$51,$AG55)</f>
        <v>0</v>
      </c>
      <c r="AJ55" s="201">
        <f t="shared" si="207"/>
        <v>0</v>
      </c>
      <c r="AK55" s="201">
        <f t="shared" si="207"/>
        <v>0</v>
      </c>
      <c r="AL55" s="201">
        <f t="shared" si="207"/>
        <v>0</v>
      </c>
      <c r="AM55" s="202">
        <f t="shared" ref="AM55:AM61" si="214">SUM(AI55:AL55)</f>
        <v>0</v>
      </c>
      <c r="AN55" s="201">
        <f t="shared" ref="AN55:AN61" si="215">COUNTIFS($I$7:$I$51,$AN$63,$J$7:$J$51,AN$53,$AG$7:$AG$51,$AT$56,$AX$7:$AX$51,$AG55)</f>
        <v>0</v>
      </c>
      <c r="AO55" s="201">
        <f t="shared" si="208"/>
        <v>0</v>
      </c>
      <c r="AP55" s="201">
        <f t="shared" si="208"/>
        <v>0</v>
      </c>
      <c r="AQ55" s="201">
        <f t="shared" si="208"/>
        <v>0</v>
      </c>
      <c r="AR55" s="202">
        <f t="shared" ref="AR55:AR61" si="216">SUM(AN55:AQ55)</f>
        <v>0</v>
      </c>
      <c r="AS55" s="207">
        <f t="shared" ref="AS55:AS61" si="217">SUM(AM55,AR55)</f>
        <v>0</v>
      </c>
      <c r="AT55" s="902" t="s">
        <v>61</v>
      </c>
      <c r="AU55" s="902"/>
      <c r="AV55" s="902"/>
      <c r="AW55" s="902"/>
      <c r="AX55" s="902">
        <f>ROUNDUP((AX53/AX52)*100,2)</f>
        <v>100</v>
      </c>
      <c r="AY55" s="902"/>
      <c r="AZ55" s="118"/>
      <c r="BA55" s="119"/>
      <c r="BB55" s="118"/>
      <c r="BC55" s="206" t="s">
        <v>65</v>
      </c>
      <c r="BD55" s="201">
        <f>COUNTIFS($I$7:$I$51,"BOY",$J$7:$J$51,"GEN",BS7:BS51,"D")</f>
        <v>0</v>
      </c>
      <c r="BE55" s="201">
        <f>COUNTIFS($I$7:$I$51,"BOY",$J$7:$J$51,"OBC",BS7:BS51,"D")</f>
        <v>0</v>
      </c>
      <c r="BF55" s="201">
        <f>COUNTIFS($I$7:$I$51,"BOY",$J$7:$J$51,"SC",BS7:BS51,"D")</f>
        <v>0</v>
      </c>
      <c r="BG55" s="201">
        <f>COUNTIFS($I$7:$I$51,"BOY",$J$7:$J$51,"ST",BS7:BS51,"D")</f>
        <v>0</v>
      </c>
      <c r="BH55" s="202">
        <f t="shared" ref="BH55:BH61" si="218">SUM(BD55:BG55)</f>
        <v>0</v>
      </c>
      <c r="BI55" s="201">
        <f>COUNTIFS($I$7:$I$51,"GIRL",$J$7:$J$51,"GEN",BS7:BS51,"D")</f>
        <v>0</v>
      </c>
      <c r="BJ55" s="201">
        <f>COUNTIFS($I$7:$I$51,"GIRL",$J$7:$J$51,"OBC",BS7:BS51,"D")</f>
        <v>0</v>
      </c>
      <c r="BK55" s="201">
        <f>COUNTIFS($I$7:$I$51,"GIRL",$J$7:$J$51,"SC",BS7:BS51,"D")</f>
        <v>0</v>
      </c>
      <c r="BL55" s="201">
        <f>COUNTIFS($I$7:$I$51,"GIRL",$J$7:$J$51,"ST",BS7:BS51,"D")</f>
        <v>0</v>
      </c>
      <c r="BM55" s="202">
        <f t="shared" ref="BM55:BM61" si="219">SUM(BI55:BL55)</f>
        <v>0</v>
      </c>
      <c r="BN55" s="207">
        <f t="shared" ref="BN55:BN61" si="220">SUM(BH55,BM55)</f>
        <v>0</v>
      </c>
      <c r="BO55" s="902" t="s">
        <v>61</v>
      </c>
      <c r="BP55" s="902"/>
      <c r="BQ55" s="902"/>
      <c r="BR55" s="902"/>
      <c r="BS55" s="902">
        <f>ROUNDUP((BS53/BS52)*100,2)</f>
        <v>100</v>
      </c>
      <c r="BT55" s="902"/>
      <c r="BU55" s="118"/>
      <c r="BV55" s="119"/>
      <c r="BW55" s="118"/>
      <c r="BX55" s="206" t="s">
        <v>65</v>
      </c>
      <c r="BY55" s="201">
        <f>COUNTIFS($I$7:$I$51,"BOY",$J$7:$J$51,"GEN",CN7:CN51,"D")</f>
        <v>1</v>
      </c>
      <c r="BZ55" s="201">
        <f>COUNTIFS($I$7:$I$51,"BOY",$J$7:$J$51,"OBC",CN7:CN51,"D")</f>
        <v>0</v>
      </c>
      <c r="CA55" s="201">
        <f>COUNTIFS($I$7:$I$51,"BOY",$J$7:$J$51,"SC",CN7:CN51,"D")</f>
        <v>0</v>
      </c>
      <c r="CB55" s="201">
        <f>COUNTIFS($I$7:$I$51,"BOY",$J$7:$J$51,"ST",CN7:CN51,"D")</f>
        <v>0</v>
      </c>
      <c r="CC55" s="202">
        <f t="shared" ref="CC55:CC61" si="221">SUM(BY55:CB55)</f>
        <v>1</v>
      </c>
      <c r="CD55" s="201">
        <f>COUNTIFS($I$7:$I$51,"GIRL",$J$7:$J$51,"GEN",CN7:CN51,"D")</f>
        <v>0</v>
      </c>
      <c r="CE55" s="201">
        <f>COUNTIFS($I$7:$I$51,"GIRL",$J$7:$J$51,"OBC",CN7:CN51,"D")</f>
        <v>0</v>
      </c>
      <c r="CF55" s="201">
        <f>COUNTIFS($I$7:$I$51,"GIRL",$J$7:$J$51,"SC",CN7:CN51,"D")</f>
        <v>0</v>
      </c>
      <c r="CG55" s="201">
        <f>COUNTIFS($I$7:$I$51,"GIRL",$J$7:$J$51,"ST",CN7:CN51,"D")</f>
        <v>0</v>
      </c>
      <c r="CH55" s="202">
        <f t="shared" ref="CH55:CH62" si="222">SUM(CD55:CG55)</f>
        <v>0</v>
      </c>
      <c r="CI55" s="207">
        <f t="shared" ref="CI55:CI61" si="223">SUM(CC55,CH55)</f>
        <v>1</v>
      </c>
      <c r="CJ55" s="902" t="s">
        <v>61</v>
      </c>
      <c r="CK55" s="902"/>
      <c r="CL55" s="902"/>
      <c r="CM55" s="902"/>
      <c r="CN55" s="902">
        <f>ROUNDUP((CN53/CN52)*100,2)</f>
        <v>50</v>
      </c>
      <c r="CO55" s="902"/>
      <c r="CP55" s="118"/>
      <c r="CQ55" s="119"/>
      <c r="CR55" s="118"/>
      <c r="CS55" s="206" t="s">
        <v>65</v>
      </c>
      <c r="CT55" s="201">
        <f>COUNTIFS($I$7:$I$51,"BOY",$J$7:$J$51,"GEN",DI7:DI51,"D")</f>
        <v>0</v>
      </c>
      <c r="CU55" s="201">
        <f>COUNTIFS($I$7:$I$51,"BOY",$J$7:$J$51,"OBC",DI7:DI51,"D")</f>
        <v>0</v>
      </c>
      <c r="CV55" s="201">
        <f>COUNTIFS($I$7:$I$51,"BOY",$J$7:$J$51,"SC",DI7:DI51,"D")</f>
        <v>0</v>
      </c>
      <c r="CW55" s="201">
        <f>COUNTIFS($I$7:$I$51,"BOY",$J$7:$J$51,"ST",DI7:DI51,"D")</f>
        <v>0</v>
      </c>
      <c r="CX55" s="202">
        <f t="shared" ref="CX55:CX61" si="224">SUM(CT55:CW55)</f>
        <v>0</v>
      </c>
      <c r="CY55" s="201">
        <f>COUNTIFS($I$7:$I$51,"GIRL",$J$7:$J$51,"GEN",DI7:DI51,"D")</f>
        <v>0</v>
      </c>
      <c r="CZ55" s="201">
        <f>COUNTIFS($I$7:$I$51,"GIRL",$J$7:$J$51,"OBC",DI7:DI51,"D")</f>
        <v>0</v>
      </c>
      <c r="DA55" s="201">
        <f>COUNTIFS($I$7:$I$51,"GIRL",$J$7:$J$51,"SC",DI7:DI51,"D")</f>
        <v>0</v>
      </c>
      <c r="DB55" s="201">
        <f>COUNTIFS($I$7:$I$51,"GIRL",$J$7:$J$51,"ST",DI7:DI51,"D")</f>
        <v>0</v>
      </c>
      <c r="DC55" s="202">
        <f t="shared" ref="DC55:DC61" si="225">SUM(CY55:DB55)</f>
        <v>0</v>
      </c>
      <c r="DD55" s="207">
        <f t="shared" ref="DD55:DD61" si="226">SUM(CX55,DC55)</f>
        <v>0</v>
      </c>
      <c r="DE55" s="902" t="s">
        <v>61</v>
      </c>
      <c r="DF55" s="902"/>
      <c r="DG55" s="902"/>
      <c r="DH55" s="902"/>
      <c r="DI55" s="902">
        <f>ROUNDUP((DI53/DI52)*100,2)</f>
        <v>50</v>
      </c>
      <c r="DJ55" s="902"/>
      <c r="DK55" s="118"/>
      <c r="DL55" s="119"/>
      <c r="DM55" s="118"/>
      <c r="DN55" s="118"/>
      <c r="DO55" s="118"/>
      <c r="DP55" s="902" t="s">
        <v>61</v>
      </c>
      <c r="DQ55" s="902"/>
      <c r="DR55" s="902"/>
      <c r="DS55" s="902"/>
      <c r="DT55" s="902">
        <f>IFERROR(ROUNDUP((DT53/DT52)*100,2),"N/A")</f>
        <v>100</v>
      </c>
      <c r="DU55" s="902"/>
      <c r="DV55" s="118"/>
      <c r="DW55" s="99"/>
      <c r="DX55" s="132"/>
      <c r="DY55" s="204"/>
      <c r="DZ55" s="122"/>
      <c r="EA55" s="122"/>
      <c r="EB55" s="122"/>
      <c r="EC55" s="122"/>
      <c r="ED55" s="104"/>
      <c r="EE55" s="104"/>
      <c r="EF55" s="104"/>
      <c r="EG55" s="104"/>
      <c r="EH55" s="104"/>
      <c r="EI55" s="104"/>
      <c r="EJ55" s="105"/>
      <c r="EK55" s="105"/>
      <c r="EL55" s="105"/>
      <c r="EM55" s="105"/>
      <c r="EN55" s="105"/>
      <c r="EO55" s="105"/>
      <c r="EP55" s="106"/>
      <c r="EQ55" s="106"/>
      <c r="ER55" s="106"/>
      <c r="ES55" s="106"/>
      <c r="ET55" s="106"/>
      <c r="EU55" s="106"/>
      <c r="EV55" s="92"/>
      <c r="EW55" s="92"/>
      <c r="EX55" s="92"/>
      <c r="EY55" s="92"/>
      <c r="EZ55" s="92"/>
      <c r="FA55" s="92"/>
      <c r="FB55" s="93"/>
      <c r="FC55" s="93"/>
      <c r="FD55" s="93"/>
      <c r="FE55" s="93"/>
      <c r="FF55" s="93"/>
      <c r="FG55" s="93"/>
      <c r="FH55" s="107"/>
      <c r="FI55" s="107"/>
      <c r="FJ55" s="943"/>
      <c r="FK55" s="944"/>
      <c r="FL55" s="963"/>
      <c r="FM55" s="965"/>
      <c r="FN55" s="969"/>
      <c r="FO55" s="970"/>
      <c r="FP55" s="970"/>
      <c r="FQ55" s="970"/>
      <c r="FR55" s="970"/>
      <c r="FS55" s="970"/>
      <c r="FT55" s="970"/>
      <c r="FU55" s="970"/>
      <c r="FV55" s="928"/>
      <c r="FW55" s="929"/>
      <c r="FX55" s="929"/>
      <c r="FY55" s="929"/>
      <c r="FZ55" s="929"/>
      <c r="GA55" s="929"/>
      <c r="GB55" s="929"/>
      <c r="GC55" s="930"/>
      <c r="GD55" s="60"/>
    </row>
    <row r="56" spans="1:186" ht="15" customHeight="1" thickBot="1" x14ac:dyDescent="0.3">
      <c r="A56" s="60"/>
      <c r="B56" s="577"/>
      <c r="C56" s="577"/>
      <c r="D56" s="577"/>
      <c r="E56" s="578"/>
      <c r="F56" s="584"/>
      <c r="G56" s="410" t="s">
        <v>167</v>
      </c>
      <c r="H56" s="410">
        <f>COUNTIFS($I$7:$I$51,"BOY",$J$7:$J$51,"SC")-COUNTIFS($C$7:$C$51,"TC",$C$7:$C$51,"NSO")</f>
        <v>0</v>
      </c>
      <c r="I56" s="410">
        <f>COUNTIFS($I$7:$I$51,"GIRL",$J$7:$J$51,"SC")-COUNTIFS($C$7:$C$51,"TC",$C$7:$C$51,"NSO")</f>
        <v>0</v>
      </c>
      <c r="J56" s="410">
        <f t="shared" si="209"/>
        <v>0</v>
      </c>
      <c r="K56" s="584"/>
      <c r="L56" s="573" t="s">
        <v>192</v>
      </c>
      <c r="M56" s="201">
        <f>COUNTIFS($I$7:$I$51,"BOY",$J$7:$J$51,"GEN",AB7:AB51,"C2")</f>
        <v>0</v>
      </c>
      <c r="N56" s="201">
        <f>COUNTIFS($I$7:$I$51,"BOY",$J$7:$J$51,"OBC",AB7:AB51,"C2")</f>
        <v>0</v>
      </c>
      <c r="O56" s="201">
        <f>COUNTIFS($I$7:$I$51,"BOY",$J$7:$J$51,"SC",AB7:AB51,"C2")</f>
        <v>0</v>
      </c>
      <c r="P56" s="201">
        <f>COUNTIFS($I$7:$I$51,"BOY",$J$7:$J$51,"ST",AB7:AB51,"C2")</f>
        <v>0</v>
      </c>
      <c r="Q56" s="202">
        <f t="shared" si="210"/>
        <v>0</v>
      </c>
      <c r="R56" s="201">
        <f>COUNTIFS($I$7:$I$51,"GIRL",$J$7:$J$51,"GEN",AB7:AB51,"C2")</f>
        <v>0</v>
      </c>
      <c r="S56" s="201">
        <f>COUNTIFS($I$7:$I$51,"GIRL",$J$7:$J$51,"OBC",AB7:AB51,"C2")</f>
        <v>0</v>
      </c>
      <c r="T56" s="201">
        <f>COUNTIFS($I$7:$I$51,"GIRL",$J$7:$J$51,"SC",AB7:AB51,"C2")</f>
        <v>0</v>
      </c>
      <c r="U56" s="201">
        <f>COUNTIFS($I$7:$I$51,"GIRL",$J$7:$J$51,"ST",AB7:AB51,"C2")</f>
        <v>0</v>
      </c>
      <c r="V56" s="202">
        <f t="shared" si="211"/>
        <v>0</v>
      </c>
      <c r="W56" s="207">
        <f t="shared" si="212"/>
        <v>0</v>
      </c>
      <c r="X56" s="903" t="str">
        <f>IF(L4="","",L4)</f>
        <v>ENGLISH</v>
      </c>
      <c r="Y56" s="904"/>
      <c r="Z56" s="904"/>
      <c r="AA56" s="904"/>
      <c r="AB56" s="904"/>
      <c r="AC56" s="904"/>
      <c r="AD56" s="118"/>
      <c r="AE56" s="119"/>
      <c r="AF56" s="118"/>
      <c r="AG56" s="501" t="s">
        <v>55</v>
      </c>
      <c r="AH56" s="206" t="s">
        <v>192</v>
      </c>
      <c r="AI56" s="201">
        <f t="shared" si="213"/>
        <v>0</v>
      </c>
      <c r="AJ56" s="201">
        <f t="shared" si="207"/>
        <v>0</v>
      </c>
      <c r="AK56" s="201">
        <f t="shared" si="207"/>
        <v>0</v>
      </c>
      <c r="AL56" s="201">
        <f t="shared" si="207"/>
        <v>0</v>
      </c>
      <c r="AM56" s="202">
        <f t="shared" si="214"/>
        <v>0</v>
      </c>
      <c r="AN56" s="201">
        <f t="shared" si="215"/>
        <v>0</v>
      </c>
      <c r="AO56" s="201">
        <f t="shared" si="208"/>
        <v>1</v>
      </c>
      <c r="AP56" s="201">
        <f t="shared" si="208"/>
        <v>0</v>
      </c>
      <c r="AQ56" s="201">
        <f t="shared" si="208"/>
        <v>0</v>
      </c>
      <c r="AR56" s="202">
        <f t="shared" si="216"/>
        <v>1</v>
      </c>
      <c r="AS56" s="207">
        <f t="shared" si="217"/>
        <v>1</v>
      </c>
      <c r="AT56" s="903" t="str">
        <f>IF(DASHBOARD!C13="","",DASHBOARD!C13)</f>
        <v>HINDI</v>
      </c>
      <c r="AU56" s="904"/>
      <c r="AV56" s="904"/>
      <c r="AW56" s="904"/>
      <c r="AX56" s="904"/>
      <c r="AY56" s="904"/>
      <c r="AZ56" s="118"/>
      <c r="BA56" s="119"/>
      <c r="BB56" s="118"/>
      <c r="BC56" s="206" t="s">
        <v>192</v>
      </c>
      <c r="BD56" s="201">
        <f>COUNTIFS($I$7:$I$51,"BOY",$J$7:$J$51,"GEN",BS7:BS51,"C2")</f>
        <v>0</v>
      </c>
      <c r="BE56" s="201">
        <f>COUNTIFS($I$7:$I$51,"BOY",$J$7:$J$51,"OBC",BS7:BS51,"C2")</f>
        <v>0</v>
      </c>
      <c r="BF56" s="201">
        <f>COUNTIFS($I$7:$I$51,"BOY",$J$7:$J$51,"SC",BS7:BS51,"C2")</f>
        <v>0</v>
      </c>
      <c r="BG56" s="201">
        <f>COUNTIFS($I$7:$I$51,"BOY",$J$7:$J$51,"ST",BS7:BS51,"C2")</f>
        <v>0</v>
      </c>
      <c r="BH56" s="202">
        <f t="shared" si="218"/>
        <v>0</v>
      </c>
      <c r="BI56" s="201">
        <f>COUNTIFS($I$7:$I$51,"GIRL",$J$7:$J$51,"GEN",BS7:BS51,"C2")</f>
        <v>0</v>
      </c>
      <c r="BJ56" s="201">
        <f>COUNTIFS($I$7:$I$51,"GIRL",$J$7:$J$51,"OBC",BS7:BS51,"C2")</f>
        <v>0</v>
      </c>
      <c r="BK56" s="201">
        <f>COUNTIFS($I$7:$I$51,"GIRL",$J$7:$J$51,"SC",BS7:BS51,"C2")</f>
        <v>0</v>
      </c>
      <c r="BL56" s="201">
        <f>COUNTIFS($I$7:$I$51,"GIRL",$J$7:$J$51,"ST",BS7:BS51,"C2")</f>
        <v>0</v>
      </c>
      <c r="BM56" s="202">
        <f t="shared" si="219"/>
        <v>0</v>
      </c>
      <c r="BN56" s="207">
        <f t="shared" si="220"/>
        <v>0</v>
      </c>
      <c r="BO56" s="903" t="str">
        <f>IF(BC4="","",BC4)</f>
        <v>MATHS</v>
      </c>
      <c r="BP56" s="904"/>
      <c r="BQ56" s="904"/>
      <c r="BR56" s="904"/>
      <c r="BS56" s="904"/>
      <c r="BT56" s="904"/>
      <c r="BU56" s="118"/>
      <c r="BV56" s="119"/>
      <c r="BW56" s="118"/>
      <c r="BX56" s="206" t="s">
        <v>192</v>
      </c>
      <c r="BY56" s="201">
        <f>COUNTIFS($I$7:$I$51,"BOY",$J$7:$J$51,"GEN",CN7:CN51,"C2")</f>
        <v>0</v>
      </c>
      <c r="BZ56" s="201">
        <f>COUNTIFS($I$7:$I$51,"BOY",$J$7:$J$51,"OBC",CN7:CN51,"C2")</f>
        <v>0</v>
      </c>
      <c r="CA56" s="201">
        <f>COUNTIFS($I$7:$I$51,"BOY",$J$7:$J$51,"SC",CN7:CN51,"C2")</f>
        <v>0</v>
      </c>
      <c r="CB56" s="201">
        <f>COUNTIFS($I$7:$I$51,"BOY",$J$7:$J$51,"ST",CN7:CN51,"C2")</f>
        <v>0</v>
      </c>
      <c r="CC56" s="202">
        <f t="shared" si="221"/>
        <v>0</v>
      </c>
      <c r="CD56" s="201">
        <f>COUNTIFS($I$7:$I$51,"GIRL",$J$7:$J$51,"GEN",CN7:CN51,"C2")</f>
        <v>0</v>
      </c>
      <c r="CE56" s="201">
        <f>COUNTIFS($I$7:$I$51,"GIRL",$J$7:$J$51,"OBC",CN7:CN51,"C2")</f>
        <v>0</v>
      </c>
      <c r="CF56" s="201">
        <f>COUNTIFS($I$7:$I$51,"GIRL",$J$7:$J$51,"SC",CN7:CN51,"C2")</f>
        <v>0</v>
      </c>
      <c r="CG56" s="201">
        <f>COUNTIFS($I$7:$I$51,"GIRL",$J$7:$J$51,"ST",CN7:CN51,"C2")</f>
        <v>0</v>
      </c>
      <c r="CH56" s="202">
        <f t="shared" si="222"/>
        <v>0</v>
      </c>
      <c r="CI56" s="207">
        <f t="shared" si="223"/>
        <v>0</v>
      </c>
      <c r="CJ56" s="903" t="str">
        <f>IF(BX4="","",BX4)</f>
        <v>SCIENCE</v>
      </c>
      <c r="CK56" s="904"/>
      <c r="CL56" s="904"/>
      <c r="CM56" s="904"/>
      <c r="CN56" s="904"/>
      <c r="CO56" s="904"/>
      <c r="CP56" s="118"/>
      <c r="CQ56" s="119"/>
      <c r="CR56" s="118"/>
      <c r="CS56" s="206" t="s">
        <v>192</v>
      </c>
      <c r="CT56" s="201">
        <f>COUNTIFS($I$7:$I$51,"BOY",$J$7:$J$51,"GEN",DI7:DI51,"C2")</f>
        <v>0</v>
      </c>
      <c r="CU56" s="201">
        <f>COUNTIFS($I$7:$I$51,"BOY",$J$7:$J$51,"OBC",DI7:DI51,"C2")</f>
        <v>0</v>
      </c>
      <c r="CV56" s="201">
        <f>COUNTIFS($I$7:$I$51,"BOY",$J$7:$J$51,"SC",DI7:DI51,"C2")</f>
        <v>0</v>
      </c>
      <c r="CW56" s="201">
        <f>COUNTIFS($I$7:$I$51,"BOY",$J$7:$J$51,"ST",DI7:DI51,"C2")</f>
        <v>0</v>
      </c>
      <c r="CX56" s="202">
        <f t="shared" si="224"/>
        <v>0</v>
      </c>
      <c r="CY56" s="201">
        <f>COUNTIFS($I$7:$I$51,"GIRL",$J$7:$J$51,"GEN",DI7:DI51,"C2")</f>
        <v>0</v>
      </c>
      <c r="CZ56" s="201">
        <f>COUNTIFS($I$7:$I$51,"GIRL",$J$7:$J$51,"OBC",DI7:DI51,"C2")</f>
        <v>0</v>
      </c>
      <c r="DA56" s="201">
        <f>COUNTIFS($I$7:$I$51,"GIRL",$J$7:$J$51,"SC",DI7:DI51,"C2")</f>
        <v>0</v>
      </c>
      <c r="DB56" s="201">
        <f>COUNTIFS($I$7:$I$51,"GIRL",$J$7:$J$51,"ST",DI7:DI51,"C2")</f>
        <v>0</v>
      </c>
      <c r="DC56" s="202">
        <f t="shared" si="225"/>
        <v>0</v>
      </c>
      <c r="DD56" s="207">
        <f t="shared" si="226"/>
        <v>0</v>
      </c>
      <c r="DE56" s="903" t="str">
        <f>IF(CS4="","",CS4)</f>
        <v>SOCIAL SCIENCE</v>
      </c>
      <c r="DF56" s="904"/>
      <c r="DG56" s="904"/>
      <c r="DH56" s="904"/>
      <c r="DI56" s="904"/>
      <c r="DJ56" s="904"/>
      <c r="DK56" s="118"/>
      <c r="DL56" s="119"/>
      <c r="DM56" s="118"/>
      <c r="DN56" s="118"/>
      <c r="DO56" s="118"/>
      <c r="DP56" s="903" t="str">
        <f>IF(DASHBOARD!B20="","",DASHBOARD!B20)</f>
        <v>BEAUTY &amp; WELLNESS</v>
      </c>
      <c r="DQ56" s="904"/>
      <c r="DR56" s="904"/>
      <c r="DS56" s="904"/>
      <c r="DT56" s="904"/>
      <c r="DU56" s="904"/>
      <c r="DV56" s="118"/>
      <c r="DW56" s="99"/>
      <c r="DX56" s="132"/>
      <c r="DY56" s="209"/>
      <c r="DZ56" s="122"/>
      <c r="EA56" s="122"/>
      <c r="EB56" s="122"/>
      <c r="EC56" s="122"/>
      <c r="ED56" s="104"/>
      <c r="EE56" s="104"/>
      <c r="EF56" s="104"/>
      <c r="EG56" s="104"/>
      <c r="EH56" s="104"/>
      <c r="EI56" s="104"/>
      <c r="EJ56" s="105"/>
      <c r="EK56" s="105"/>
      <c r="EL56" s="105"/>
      <c r="EM56" s="105"/>
      <c r="EN56" s="105"/>
      <c r="EO56" s="105"/>
      <c r="EP56" s="106"/>
      <c r="EQ56" s="106"/>
      <c r="ER56" s="106"/>
      <c r="ES56" s="106"/>
      <c r="ET56" s="106"/>
      <c r="EU56" s="106"/>
      <c r="EV56" s="92"/>
      <c r="EW56" s="92"/>
      <c r="EX56" s="92"/>
      <c r="EY56" s="92"/>
      <c r="EZ56" s="92"/>
      <c r="FA56" s="92"/>
      <c r="FB56" s="93"/>
      <c r="FC56" s="93"/>
      <c r="FD56" s="93"/>
      <c r="FE56" s="93"/>
      <c r="FF56" s="93"/>
      <c r="FG56" s="93"/>
      <c r="FH56" s="107"/>
      <c r="FI56" s="107"/>
      <c r="FJ56" s="973" t="str">
        <f>IF(FV54="0","","BLOCK -  "&amp;DASHBOARD!E23)</f>
        <v>BLOCK -  SVGMS, XXXX</v>
      </c>
      <c r="FK56" s="974"/>
      <c r="FL56" s="975"/>
      <c r="FM56" s="965"/>
      <c r="FN56" s="971"/>
      <c r="FO56" s="972"/>
      <c r="FP56" s="972"/>
      <c r="FQ56" s="972"/>
      <c r="FR56" s="972"/>
      <c r="FS56" s="972"/>
      <c r="FT56" s="972"/>
      <c r="FU56" s="972"/>
      <c r="FV56" s="928"/>
      <c r="FW56" s="929"/>
      <c r="FX56" s="929"/>
      <c r="FY56" s="929"/>
      <c r="FZ56" s="929"/>
      <c r="GA56" s="929"/>
      <c r="GB56" s="929"/>
      <c r="GC56" s="930"/>
      <c r="GD56" s="60"/>
    </row>
    <row r="57" spans="1:186" ht="20.25" customHeight="1" thickBot="1" x14ac:dyDescent="0.3">
      <c r="A57" s="60"/>
      <c r="B57" s="577"/>
      <c r="C57" s="577"/>
      <c r="D57" s="577"/>
      <c r="E57" s="578"/>
      <c r="F57" s="584"/>
      <c r="G57" s="410" t="s">
        <v>185</v>
      </c>
      <c r="H57" s="410">
        <f>COUNTIFS($I$7:$I$51,"BOY",$J$7:$J$51,"ST")</f>
        <v>0</v>
      </c>
      <c r="I57" s="410">
        <f>COUNTIFS($I$7:$I$51,"GIRL",$J$7:$J$51,"ST")</f>
        <v>0</v>
      </c>
      <c r="J57" s="410">
        <f t="shared" si="209"/>
        <v>0</v>
      </c>
      <c r="K57" s="584"/>
      <c r="L57" s="573" t="s">
        <v>66</v>
      </c>
      <c r="M57" s="201">
        <f>COUNTIFS($I$7:$I$51,"BOY",$J$7:$J$51,"GEN",AB7:AB51,"C1")</f>
        <v>0</v>
      </c>
      <c r="N57" s="201">
        <f>COUNTIFS($I$7:$I$51,"BOY",$J$7:$J$51,"OBC",AB7:AB51,"C1")</f>
        <v>0</v>
      </c>
      <c r="O57" s="201">
        <f>COUNTIFS($I$7:$I$51,"BOY",$J$7:$J$51,"SC",AB7:AB51,"C1")</f>
        <v>0</v>
      </c>
      <c r="P57" s="201">
        <f>COUNTIFS($I$7:$I$51,"BOY",$J$7:$J$51,"ST",AB7:AB51,"C1")</f>
        <v>0</v>
      </c>
      <c r="Q57" s="202">
        <f t="shared" si="210"/>
        <v>0</v>
      </c>
      <c r="R57" s="201">
        <f>COUNTIFS($I$7:$I$51,"GIRL",$J$7:$J$51,"GEN",AB7:AB51,"C1")</f>
        <v>0</v>
      </c>
      <c r="S57" s="201">
        <f>COUNTIFS($I$7:$I$51,"GIRL",$J$7:$J$51,"OBC",AB7:AB51,"C1")</f>
        <v>0</v>
      </c>
      <c r="T57" s="201">
        <f>COUNTIFS($I$7:$I$51,"GIRL",$J$7:$J$51,"SC",AB7:AB51,"C1")</f>
        <v>0</v>
      </c>
      <c r="U57" s="201">
        <f>COUNTIFS($I$7:$I$51,"GIRL",$J$7:$J$51,"ST",AB7:AB51,"C1")</f>
        <v>0</v>
      </c>
      <c r="V57" s="202">
        <f t="shared" si="211"/>
        <v>0</v>
      </c>
      <c r="W57" s="207">
        <f t="shared" si="212"/>
        <v>0</v>
      </c>
      <c r="X57" s="905" t="s">
        <v>64</v>
      </c>
      <c r="Y57" s="905"/>
      <c r="Z57" s="905"/>
      <c r="AA57" s="905"/>
      <c r="AB57" s="905">
        <f>COUNTIFS(AB7:AB51,"E")</f>
        <v>0</v>
      </c>
      <c r="AC57" s="904"/>
      <c r="AD57" s="118"/>
      <c r="AE57" s="119"/>
      <c r="AF57" s="118"/>
      <c r="AG57" s="501" t="s">
        <v>53</v>
      </c>
      <c r="AH57" s="206" t="s">
        <v>66</v>
      </c>
      <c r="AI57" s="201">
        <f t="shared" si="213"/>
        <v>0</v>
      </c>
      <c r="AJ57" s="201">
        <f t="shared" si="207"/>
        <v>0</v>
      </c>
      <c r="AK57" s="201">
        <f t="shared" si="207"/>
        <v>0</v>
      </c>
      <c r="AL57" s="201">
        <f t="shared" si="207"/>
        <v>0</v>
      </c>
      <c r="AM57" s="202">
        <f t="shared" si="214"/>
        <v>0</v>
      </c>
      <c r="AN57" s="201">
        <f t="shared" si="215"/>
        <v>0</v>
      </c>
      <c r="AO57" s="201">
        <f t="shared" si="208"/>
        <v>0</v>
      </c>
      <c r="AP57" s="201">
        <f t="shared" si="208"/>
        <v>0</v>
      </c>
      <c r="AQ57" s="201">
        <f t="shared" si="208"/>
        <v>0</v>
      </c>
      <c r="AR57" s="202">
        <f t="shared" si="216"/>
        <v>0</v>
      </c>
      <c r="AS57" s="207">
        <f t="shared" si="217"/>
        <v>0</v>
      </c>
      <c r="AT57" s="905" t="s">
        <v>64</v>
      </c>
      <c r="AU57" s="905"/>
      <c r="AV57" s="905"/>
      <c r="AW57" s="905"/>
      <c r="AX57" s="905">
        <f>COUNTIFS(AX7:AX51,"E",AG7:AG51,AT56)</f>
        <v>0</v>
      </c>
      <c r="AY57" s="904"/>
      <c r="AZ57" s="118"/>
      <c r="BA57" s="119"/>
      <c r="BB57" s="118"/>
      <c r="BC57" s="206" t="s">
        <v>66</v>
      </c>
      <c r="BD57" s="201">
        <f>COUNTIFS($I$7:$I$51,"BOY",$J$7:$J$51,"GEN",BS7:BS51,"C1")</f>
        <v>0</v>
      </c>
      <c r="BE57" s="201">
        <f>COUNTIFS($I$7:$I$51,"BOY",$J$7:$J$51,"OBC",BS7:BS51,"C1")</f>
        <v>0</v>
      </c>
      <c r="BF57" s="201">
        <f>COUNTIFS($I$7:$I$51,"BOY",$J$7:$J$51,"SC",BS7:BS51,"C1")</f>
        <v>0</v>
      </c>
      <c r="BG57" s="201">
        <f>COUNTIFS($I$7:$I$51,"BOY",$J$7:$J$51,"ST",BS7:BS51,"C1")</f>
        <v>0</v>
      </c>
      <c r="BH57" s="202">
        <f t="shared" si="218"/>
        <v>0</v>
      </c>
      <c r="BI57" s="201">
        <f>COUNTIFS($I$7:$I$51,"GIRL",$J$7:$J$51,"GEN",BS7:BS51,"C1")</f>
        <v>0</v>
      </c>
      <c r="BJ57" s="201">
        <f>COUNTIFS($I$7:$I$51,"GIRL",$J$7:$J$51,"OBC",BS7:BS51,"C1")</f>
        <v>0</v>
      </c>
      <c r="BK57" s="201">
        <f>COUNTIFS($I$7:$I$51,"GIRL",$J$7:$J$51,"SC",BS7:BS51,"C1")</f>
        <v>0</v>
      </c>
      <c r="BL57" s="201">
        <f>COUNTIFS($I$7:$I$51,"GIRL",$J$7:$J$51,"ST",BS7:BS51,"C1")</f>
        <v>0</v>
      </c>
      <c r="BM57" s="202">
        <f t="shared" si="219"/>
        <v>0</v>
      </c>
      <c r="BN57" s="207">
        <f t="shared" si="220"/>
        <v>0</v>
      </c>
      <c r="BO57" s="905" t="s">
        <v>64</v>
      </c>
      <c r="BP57" s="905"/>
      <c r="BQ57" s="905"/>
      <c r="BR57" s="905"/>
      <c r="BS57" s="905">
        <f>COUNTIFS(BS7:BS51,"E")</f>
        <v>0</v>
      </c>
      <c r="BT57" s="904"/>
      <c r="BU57" s="118"/>
      <c r="BV57" s="119"/>
      <c r="BW57" s="118"/>
      <c r="BX57" s="206" t="s">
        <v>66</v>
      </c>
      <c r="BY57" s="201">
        <f>COUNTIFS($I$7:$I$51,"BOY",$J$7:$J$51,"GEN",CN7:CN51,"C1")</f>
        <v>0</v>
      </c>
      <c r="BZ57" s="201">
        <f>COUNTIFS($I$7:$I$51,"BOY",$J$7:$J$51,"OBC",CN7:CN51,"C1")</f>
        <v>0</v>
      </c>
      <c r="CA57" s="201">
        <f>COUNTIFS($I$7:$I$51,"BOY",$J$7:$J$51,"SC",CN7:CN51,"C1")</f>
        <v>0</v>
      </c>
      <c r="CB57" s="201">
        <f>COUNTIFS($I$7:$I$51,"BOY",$J$7:$J$51,"ST",CN7:CN51,"C1")</f>
        <v>0</v>
      </c>
      <c r="CC57" s="202">
        <f t="shared" si="221"/>
        <v>0</v>
      </c>
      <c r="CD57" s="201">
        <f>COUNTIFS($I$7:$I$51,"GIRL",$J$7:$J$51,"GEN",CN7:CN51,"C1")</f>
        <v>0</v>
      </c>
      <c r="CE57" s="201">
        <f>COUNTIFS($I$7:$I$51,"GIRL",$J$7:$J$51,"OBC",CN7:CN51,"C1")</f>
        <v>0</v>
      </c>
      <c r="CF57" s="201">
        <f>COUNTIFS($I$7:$I$51,"GIRL",$J$7:$J$51,"SC",CN7:CN51,"C1")</f>
        <v>0</v>
      </c>
      <c r="CG57" s="201">
        <f>COUNTIFS($I$7:$I$51,"GIRL",$J$7:$J$51,"ST",CN7:CN51,"C1")</f>
        <v>0</v>
      </c>
      <c r="CH57" s="202">
        <f t="shared" si="222"/>
        <v>0</v>
      </c>
      <c r="CI57" s="207">
        <f t="shared" si="223"/>
        <v>0</v>
      </c>
      <c r="CJ57" s="905" t="s">
        <v>64</v>
      </c>
      <c r="CK57" s="905"/>
      <c r="CL57" s="905"/>
      <c r="CM57" s="905"/>
      <c r="CN57" s="905">
        <f>COUNTIFS(CN7:CN51,"E")</f>
        <v>1</v>
      </c>
      <c r="CO57" s="904"/>
      <c r="CP57" s="118"/>
      <c r="CQ57" s="119"/>
      <c r="CR57" s="118"/>
      <c r="CS57" s="206" t="s">
        <v>66</v>
      </c>
      <c r="CT57" s="201">
        <f>COUNTIFS($I$7:$I$51,"BOY",$J$7:$J$51,"GEN",DI7:DI51,"C1")</f>
        <v>0</v>
      </c>
      <c r="CU57" s="201">
        <f>COUNTIFS($I$7:$I$51,"BOY",$J$7:$J$51,"OBC",DI7:DI51,"C1")</f>
        <v>0</v>
      </c>
      <c r="CV57" s="201">
        <f>COUNTIFS($I$7:$I$51,"BOY",$J$7:$J$51,"SC",DI7:DI51,"C1")</f>
        <v>0</v>
      </c>
      <c r="CW57" s="201">
        <f>COUNTIFS($I$7:$I$51,"BOY",$J$7:$J$51,"ST",DI7:DI51,"C1")</f>
        <v>0</v>
      </c>
      <c r="CX57" s="202">
        <f t="shared" si="224"/>
        <v>0</v>
      </c>
      <c r="CY57" s="201">
        <f>COUNTIFS($I$7:$I$51,"GIRL",$J$7:$J$51,"GEN",DI7:DI51,"C1")</f>
        <v>0</v>
      </c>
      <c r="CZ57" s="201">
        <f>COUNTIFS($I$7:$I$51,"GIRL",$J$7:$J$51,"OBC",DI7:DI51,"C1")</f>
        <v>0</v>
      </c>
      <c r="DA57" s="201">
        <f>COUNTIFS($I$7:$I$51,"GIRL",$J$7:$J$51,"SC",DI7:DI51,"C1")</f>
        <v>0</v>
      </c>
      <c r="DB57" s="201">
        <f>COUNTIFS($I$7:$I$51,"GIRL",$J$7:$J$51,"ST",DI7:DI51,"C1")</f>
        <v>0</v>
      </c>
      <c r="DC57" s="202">
        <f t="shared" si="225"/>
        <v>0</v>
      </c>
      <c r="DD57" s="207">
        <f t="shared" si="226"/>
        <v>0</v>
      </c>
      <c r="DE57" s="905" t="s">
        <v>64</v>
      </c>
      <c r="DF57" s="905"/>
      <c r="DG57" s="905"/>
      <c r="DH57" s="905"/>
      <c r="DI57" s="905">
        <f>COUNTIFS(DI7:DI51,"E")</f>
        <v>1</v>
      </c>
      <c r="DJ57" s="904"/>
      <c r="DK57" s="118"/>
      <c r="DL57" s="119"/>
      <c r="DM57" s="118"/>
      <c r="DN57" s="118"/>
      <c r="DO57" s="501" t="s">
        <v>310</v>
      </c>
      <c r="DP57" s="905" t="s">
        <v>64</v>
      </c>
      <c r="DQ57" s="905"/>
      <c r="DR57" s="905"/>
      <c r="DS57" s="905"/>
      <c r="DT57" s="905">
        <f t="shared" ref="DT57:DT64" si="227">COUNTIFS($DS$7:$DS$51,DO57,$DO$7:$DO$51,$DP$56)</f>
        <v>0</v>
      </c>
      <c r="DU57" s="904"/>
      <c r="DV57" s="118"/>
      <c r="DW57" s="99"/>
      <c r="DX57" s="132"/>
      <c r="DY57" s="209"/>
      <c r="DZ57" s="122"/>
      <c r="EA57" s="122"/>
      <c r="EB57" s="122"/>
      <c r="EC57" s="122"/>
      <c r="ED57" s="104"/>
      <c r="EE57" s="104"/>
      <c r="EF57" s="104"/>
      <c r="EG57" s="104"/>
      <c r="EH57" s="104"/>
      <c r="EI57" s="104"/>
      <c r="EJ57" s="105"/>
      <c r="EK57" s="105"/>
      <c r="EL57" s="105"/>
      <c r="EM57" s="105"/>
      <c r="EN57" s="105"/>
      <c r="EO57" s="105"/>
      <c r="EP57" s="106"/>
      <c r="EQ57" s="106"/>
      <c r="ER57" s="106"/>
      <c r="ES57" s="106"/>
      <c r="ET57" s="106"/>
      <c r="EU57" s="106"/>
      <c r="EV57" s="92"/>
      <c r="EW57" s="92"/>
      <c r="EX57" s="92"/>
      <c r="EY57" s="92"/>
      <c r="EZ57" s="92"/>
      <c r="FA57" s="92"/>
      <c r="FB57" s="93"/>
      <c r="FC57" s="93"/>
      <c r="FD57" s="93"/>
      <c r="FE57" s="93"/>
      <c r="FF57" s="93"/>
      <c r="FG57" s="93"/>
      <c r="FH57" s="107"/>
      <c r="FI57" s="107"/>
      <c r="FJ57" s="973"/>
      <c r="FK57" s="974"/>
      <c r="FL57" s="975"/>
      <c r="FM57" s="965"/>
      <c r="FN57" s="976" t="str">
        <f>IF(DASHBOARD!D8="","","PRINCIPAL:-"&amp;DASHBOARD!D8)</f>
        <v/>
      </c>
      <c r="FO57" s="977"/>
      <c r="FP57" s="977"/>
      <c r="FQ57" s="977"/>
      <c r="FR57" s="977"/>
      <c r="FS57" s="977"/>
      <c r="FT57" s="977"/>
      <c r="FU57" s="977"/>
      <c r="FV57" s="1036" t="s">
        <v>283</v>
      </c>
      <c r="FW57" s="1037"/>
      <c r="FX57" s="1038" t="s">
        <v>282</v>
      </c>
      <c r="FY57" s="1039"/>
      <c r="FZ57" s="1040"/>
      <c r="GA57" s="348"/>
      <c r="GB57" s="348"/>
      <c r="GC57" s="274"/>
      <c r="GD57" s="60"/>
    </row>
    <row r="58" spans="1:186" ht="20.25" customHeight="1" thickBot="1" x14ac:dyDescent="0.3">
      <c r="A58" s="60"/>
      <c r="B58" s="577"/>
      <c r="C58" s="577"/>
      <c r="D58" s="577"/>
      <c r="E58" s="578"/>
      <c r="F58" s="584"/>
      <c r="G58" s="138" t="s">
        <v>206</v>
      </c>
      <c r="H58" s="138">
        <f>SUM(H54:H57)</f>
        <v>2</v>
      </c>
      <c r="I58" s="138">
        <f t="shared" ref="I58" si="228">SUM(I54:I57)</f>
        <v>1</v>
      </c>
      <c r="J58" s="138">
        <f t="shared" si="209"/>
        <v>3</v>
      </c>
      <c r="K58" s="584"/>
      <c r="L58" s="573" t="s">
        <v>67</v>
      </c>
      <c r="M58" s="201">
        <f>COUNTIFS($I$7:$I$51,"BOY",$J$7:$J$51,"GEN",AB7:AB51,"B2")</f>
        <v>1</v>
      </c>
      <c r="N58" s="201">
        <f>COUNTIFS($I$7:$I$51,"BOY",$J$7:$J$51,"OBC",AB7:AB51,"B2")</f>
        <v>0</v>
      </c>
      <c r="O58" s="201">
        <f>COUNTIFS($I$7:$I$51,"BOY",$J$7:$J$51,"SC",AB7:AB51,"B2")</f>
        <v>0</v>
      </c>
      <c r="P58" s="201">
        <f>COUNTIFS($I$7:$I$51,"BOY",$J$7:$J$51,"ST",AB7:AB51,"B2")</f>
        <v>0</v>
      </c>
      <c r="Q58" s="202">
        <f t="shared" si="210"/>
        <v>1</v>
      </c>
      <c r="R58" s="201">
        <f>COUNTIFS($I$7:$I$51,"GIRL",$J$7:$J$51,"GEN",AB7:AB51,"B2")</f>
        <v>0</v>
      </c>
      <c r="S58" s="201">
        <f>COUNTIFS($I$7:$I$51,"GIRL",$J$7:$J$51,"OBC",AB7:AB51,"B2")</f>
        <v>1</v>
      </c>
      <c r="T58" s="201">
        <f>COUNTIFS($I$7:$I$51,"GIRL",$J$7:$J$51,"SC",AB7:AB51,"B2")</f>
        <v>0</v>
      </c>
      <c r="U58" s="201">
        <f>COUNTIFS($I$7:$I$51,"GIRL",$J$7:$J$51,"ST",AB7:AB51,"B2")</f>
        <v>0</v>
      </c>
      <c r="V58" s="202">
        <f t="shared" si="211"/>
        <v>1</v>
      </c>
      <c r="W58" s="207">
        <f t="shared" si="212"/>
        <v>2</v>
      </c>
      <c r="X58" s="905" t="s">
        <v>65</v>
      </c>
      <c r="Y58" s="905"/>
      <c r="Z58" s="905"/>
      <c r="AA58" s="905"/>
      <c r="AB58" s="905">
        <f>COUNTIFS(AB7:AB51,"D")</f>
        <v>0</v>
      </c>
      <c r="AC58" s="904"/>
      <c r="AD58" s="118"/>
      <c r="AE58" s="119"/>
      <c r="AF58" s="118"/>
      <c r="AG58" s="501" t="s">
        <v>51</v>
      </c>
      <c r="AH58" s="206" t="s">
        <v>67</v>
      </c>
      <c r="AI58" s="201">
        <f t="shared" si="213"/>
        <v>0</v>
      </c>
      <c r="AJ58" s="201">
        <f t="shared" si="207"/>
        <v>0</v>
      </c>
      <c r="AK58" s="201">
        <f t="shared" si="207"/>
        <v>0</v>
      </c>
      <c r="AL58" s="201">
        <f t="shared" si="207"/>
        <v>0</v>
      </c>
      <c r="AM58" s="202">
        <f t="shared" si="214"/>
        <v>0</v>
      </c>
      <c r="AN58" s="201">
        <f t="shared" si="215"/>
        <v>0</v>
      </c>
      <c r="AO58" s="201">
        <f t="shared" si="208"/>
        <v>0</v>
      </c>
      <c r="AP58" s="201">
        <f t="shared" si="208"/>
        <v>0</v>
      </c>
      <c r="AQ58" s="201">
        <f t="shared" si="208"/>
        <v>0</v>
      </c>
      <c r="AR58" s="202">
        <f t="shared" si="216"/>
        <v>0</v>
      </c>
      <c r="AS58" s="207">
        <f t="shared" si="217"/>
        <v>0</v>
      </c>
      <c r="AT58" s="905" t="s">
        <v>65</v>
      </c>
      <c r="AU58" s="905"/>
      <c r="AV58" s="905"/>
      <c r="AW58" s="905"/>
      <c r="AX58" s="905">
        <f>COUNTIFS(AX7:AX51,"D",AG7:AG51,AT56)</f>
        <v>0</v>
      </c>
      <c r="AY58" s="904"/>
      <c r="AZ58" s="118"/>
      <c r="BA58" s="119"/>
      <c r="BB58" s="118"/>
      <c r="BC58" s="206" t="s">
        <v>67</v>
      </c>
      <c r="BD58" s="201">
        <f>COUNTIFS($I$7:$I$51,"BOY",$J$7:$J$51,"GEN",BS7:BS51,"B2")</f>
        <v>1</v>
      </c>
      <c r="BE58" s="201">
        <f>COUNTIFS($I$7:$I$51,"BOY",$J$7:$J$51,"OBC",BS7:BS51,"B2")</f>
        <v>0</v>
      </c>
      <c r="BF58" s="201">
        <f>COUNTIFS($I$7:$I$51,"BOY",$J$7:$J$51,"SC",BS7:BS51,"B2")</f>
        <v>0</v>
      </c>
      <c r="BG58" s="201">
        <f>COUNTIFS($I$7:$I$51,"BOY",$J$7:$J$51,"ST",BS7:BS51,"B2")</f>
        <v>0</v>
      </c>
      <c r="BH58" s="202">
        <f t="shared" si="218"/>
        <v>1</v>
      </c>
      <c r="BI58" s="201">
        <f>COUNTIFS($I$7:$I$51,"GIRL",$J$7:$J$51,"GEN",BS7:BS51,"B2")</f>
        <v>0</v>
      </c>
      <c r="BJ58" s="201">
        <f>COUNTIFS($I$7:$I$51,"GIRL",$J$7:$J$51,"OBC",BS7:BS51,"B2")</f>
        <v>1</v>
      </c>
      <c r="BK58" s="201">
        <f>COUNTIFS($I$7:$I$51,"GIRL",$J$7:$J$51,"SC",BS7:BS51,"B2")</f>
        <v>0</v>
      </c>
      <c r="BL58" s="201">
        <f>COUNTIFS($I$7:$I$51,"GIRL",$J$7:$J$51,"ST",BS7:BS51,"B2")</f>
        <v>0</v>
      </c>
      <c r="BM58" s="202">
        <f t="shared" si="219"/>
        <v>1</v>
      </c>
      <c r="BN58" s="207">
        <f t="shared" si="220"/>
        <v>2</v>
      </c>
      <c r="BO58" s="905" t="s">
        <v>65</v>
      </c>
      <c r="BP58" s="905"/>
      <c r="BQ58" s="905"/>
      <c r="BR58" s="905"/>
      <c r="BS58" s="905">
        <f>COUNTIFS(BS7:BS51,"D")</f>
        <v>0</v>
      </c>
      <c r="BT58" s="904"/>
      <c r="BU58" s="118"/>
      <c r="BV58" s="119"/>
      <c r="BW58" s="118"/>
      <c r="BX58" s="206" t="s">
        <v>67</v>
      </c>
      <c r="BY58" s="201">
        <f>COUNTIFS($I$7:$I$51,"BOY",$J$7:$J$51,"GEN",CN7:CN51,"B2")</f>
        <v>0</v>
      </c>
      <c r="BZ58" s="201">
        <f>COUNTIFS($I$7:$I$51,"BOY",$J$7:$J$51,"OBC",CN7:CN51,"B2")</f>
        <v>0</v>
      </c>
      <c r="CA58" s="201">
        <f>COUNTIFS($I$7:$I$51,"BOY",$J$7:$J$51,"SC",CN7:CN51,"B2")</f>
        <v>0</v>
      </c>
      <c r="CB58" s="201">
        <f>COUNTIFS($I$7:$I$51,"BOY",$J$7:$J$51,"ST",CN7:CN51,"B2")</f>
        <v>0</v>
      </c>
      <c r="CC58" s="202">
        <f t="shared" si="221"/>
        <v>0</v>
      </c>
      <c r="CD58" s="201">
        <f>COUNTIFS($I$7:$I$51,"GIRL",$J$7:$J$51,"GEN",CN7:CN51,"B2")</f>
        <v>0</v>
      </c>
      <c r="CE58" s="201">
        <f>COUNTIFS($I$7:$I$51,"GIRL",$J$7:$J$51,"OBC",CN7:CN51,"B2")</f>
        <v>0</v>
      </c>
      <c r="CF58" s="201">
        <f>COUNTIFS($I$7:$I$51,"GIRL",$J$7:$J$51,"SC",CN7:CN51,"B2")</f>
        <v>0</v>
      </c>
      <c r="CG58" s="201">
        <f>COUNTIFS($I$7:$I$51,"GIRL",$J$7:$J$51,"ST",CN7:CN51,"B2")</f>
        <v>0</v>
      </c>
      <c r="CH58" s="202">
        <f t="shared" si="222"/>
        <v>0</v>
      </c>
      <c r="CI58" s="207">
        <f t="shared" si="223"/>
        <v>0</v>
      </c>
      <c r="CJ58" s="905" t="s">
        <v>65</v>
      </c>
      <c r="CK58" s="905"/>
      <c r="CL58" s="905"/>
      <c r="CM58" s="905"/>
      <c r="CN58" s="905">
        <f>COUNTIFS(CN7:CN51,"D")</f>
        <v>1</v>
      </c>
      <c r="CO58" s="904"/>
      <c r="CP58" s="118"/>
      <c r="CQ58" s="119"/>
      <c r="CR58" s="118"/>
      <c r="CS58" s="206" t="s">
        <v>67</v>
      </c>
      <c r="CT58" s="201">
        <f>COUNTIFS($I$7:$I$51,"BOY",$J$7:$J$51,"GEN",DI7:DI51,"B2")</f>
        <v>0</v>
      </c>
      <c r="CU58" s="201">
        <f>COUNTIFS($I$7:$I$51,"BOY",$J$7:$J$51,"OBC",DI7:DI51,"B2")</f>
        <v>0</v>
      </c>
      <c r="CV58" s="201">
        <f>COUNTIFS($I$7:$I$51,"BOY",$J$7:$J$51,"SC",DI7:DI51,"B2")</f>
        <v>0</v>
      </c>
      <c r="CW58" s="201">
        <f>COUNTIFS($I$7:$I$51,"BOY",$J$7:$J$51,"ST",DI7:DI51,"B2")</f>
        <v>0</v>
      </c>
      <c r="CX58" s="202">
        <f t="shared" si="224"/>
        <v>0</v>
      </c>
      <c r="CY58" s="201">
        <f>COUNTIFS($I$7:$I$51,"GIRL",$J$7:$J$51,"GEN",DI7:DI51,"B2")</f>
        <v>0</v>
      </c>
      <c r="CZ58" s="201">
        <f>COUNTIFS($I$7:$I$51,"GIRL",$J$7:$J$51,"OBC",DI7:DI51,"B2")</f>
        <v>1</v>
      </c>
      <c r="DA58" s="201">
        <f>COUNTIFS($I$7:$I$51,"GIRL",$J$7:$J$51,"SC",DI7:DI51,"B2")</f>
        <v>0</v>
      </c>
      <c r="DB58" s="201">
        <f>COUNTIFS($I$7:$I$51,"GIRL",$J$7:$J$51,"ST",DI7:DI51,"B2")</f>
        <v>0</v>
      </c>
      <c r="DC58" s="202">
        <f t="shared" si="225"/>
        <v>1</v>
      </c>
      <c r="DD58" s="207">
        <f t="shared" si="226"/>
        <v>1</v>
      </c>
      <c r="DE58" s="905" t="s">
        <v>65</v>
      </c>
      <c r="DF58" s="905"/>
      <c r="DG58" s="905"/>
      <c r="DH58" s="905"/>
      <c r="DI58" s="905">
        <f>COUNTIFS(DI7:DI51,"D")</f>
        <v>0</v>
      </c>
      <c r="DJ58" s="904"/>
      <c r="DK58" s="118"/>
      <c r="DL58" s="119"/>
      <c r="DM58" s="118"/>
      <c r="DN58" s="118"/>
      <c r="DO58" s="501" t="s">
        <v>24</v>
      </c>
      <c r="DP58" s="905" t="s">
        <v>65</v>
      </c>
      <c r="DQ58" s="905"/>
      <c r="DR58" s="905"/>
      <c r="DS58" s="905"/>
      <c r="DT58" s="905">
        <f t="shared" si="227"/>
        <v>0</v>
      </c>
      <c r="DU58" s="904"/>
      <c r="DV58" s="118"/>
      <c r="DW58" s="99"/>
      <c r="DX58" s="132"/>
      <c r="DY58" s="209"/>
      <c r="DZ58" s="122"/>
      <c r="EA58" s="122"/>
      <c r="EB58" s="122"/>
      <c r="EC58" s="122"/>
      <c r="ED58" s="104"/>
      <c r="EE58" s="104"/>
      <c r="EF58" s="104"/>
      <c r="EG58" s="104"/>
      <c r="EH58" s="104"/>
      <c r="EI58" s="104"/>
      <c r="EJ58" s="105"/>
      <c r="EK58" s="105"/>
      <c r="EL58" s="105"/>
      <c r="EM58" s="105"/>
      <c r="EN58" s="105"/>
      <c r="EO58" s="105"/>
      <c r="EP58" s="106"/>
      <c r="EQ58" s="106"/>
      <c r="ER58" s="106"/>
      <c r="ES58" s="106"/>
      <c r="ET58" s="106"/>
      <c r="EU58" s="106"/>
      <c r="EV58" s="92"/>
      <c r="EW58" s="92"/>
      <c r="EX58" s="92"/>
      <c r="EY58" s="92"/>
      <c r="EZ58" s="92"/>
      <c r="FA58" s="92"/>
      <c r="FB58" s="93"/>
      <c r="FC58" s="93"/>
      <c r="FD58" s="93"/>
      <c r="FE58" s="93"/>
      <c r="FF58" s="93"/>
      <c r="FG58" s="93"/>
      <c r="FH58" s="107"/>
      <c r="FI58" s="107"/>
      <c r="FJ58" s="973"/>
      <c r="FK58" s="974"/>
      <c r="FL58" s="975"/>
      <c r="FM58" s="965"/>
      <c r="FN58" s="976" t="str">
        <f>IF(DASHBOARD!D12="","",DASHBOARD!D12&amp;" -"&amp;DASHBOARD!B12)</f>
        <v>XXXXX -ENGLISH</v>
      </c>
      <c r="FO58" s="977"/>
      <c r="FP58" s="977"/>
      <c r="FQ58" s="977"/>
      <c r="FR58" s="977"/>
      <c r="FS58" s="977"/>
      <c r="FT58" s="977"/>
      <c r="FU58" s="977"/>
      <c r="FV58" s="1034">
        <f>'TECH. WISE RESULT'!C10</f>
        <v>1</v>
      </c>
      <c r="FW58" s="1035"/>
      <c r="FX58" s="1038"/>
      <c r="FY58" s="1039"/>
      <c r="FZ58" s="1040"/>
      <c r="GA58" s="348"/>
      <c r="GB58" s="348"/>
      <c r="GC58" s="274"/>
      <c r="GD58" s="60"/>
    </row>
    <row r="59" spans="1:186" ht="20.25" customHeight="1" thickBot="1" x14ac:dyDescent="0.3">
      <c r="A59" s="60"/>
      <c r="B59" s="577"/>
      <c r="C59" s="577"/>
      <c r="D59" s="577"/>
      <c r="E59" s="578"/>
      <c r="F59" s="584"/>
      <c r="G59" s="142" t="s">
        <v>200</v>
      </c>
      <c r="H59" s="142">
        <f>COUNTIFS($C$7:$C$51,"TC",$I$7:$I$51,"BOY")</f>
        <v>1</v>
      </c>
      <c r="I59" s="142">
        <f>COUNTIFS($C$7:$C$51,"TC",$I$7:$I$51,"GIRL")</f>
        <v>0</v>
      </c>
      <c r="J59" s="142">
        <f t="shared" si="209"/>
        <v>1</v>
      </c>
      <c r="K59" s="584"/>
      <c r="L59" s="573" t="s">
        <v>68</v>
      </c>
      <c r="M59" s="201">
        <f>COUNTIFS($I$7:$I$51,"BOY",$J$7:$J$51,"GEN",AB7:AB51,"B1")</f>
        <v>0</v>
      </c>
      <c r="N59" s="201">
        <f>COUNTIFS($I$7:$I$51,"BOY",$J$7:$J$51,"OBC",AB7:AB51,"B1")</f>
        <v>0</v>
      </c>
      <c r="O59" s="201">
        <f>COUNTIFS($I$7:$I$51,"BOY",$J$7:$J$51,"SC",AB7:AB51,"B1")</f>
        <v>0</v>
      </c>
      <c r="P59" s="201">
        <f>COUNTIFS($I$7:$I$51,"BOY",$J$7:$J$51,"ST",AB7:AB51,"B1")</f>
        <v>0</v>
      </c>
      <c r="Q59" s="202">
        <f t="shared" si="210"/>
        <v>0</v>
      </c>
      <c r="R59" s="201">
        <f>COUNTIFS($I$7:$I$51,"GIRL",$J$7:$J$51,"GEN",AB7:AB51,"B1")</f>
        <v>0</v>
      </c>
      <c r="S59" s="201">
        <f>COUNTIFS($I$7:$I$51,"GIRL",$J$7:$J$51,"OBC",AB7:AB51,"B1")</f>
        <v>0</v>
      </c>
      <c r="T59" s="201">
        <f>COUNTIFS($I$7:$I$51,"GIRL",$J$7:$J$51,"SC",AB7:AB51,"B1")</f>
        <v>0</v>
      </c>
      <c r="U59" s="201">
        <f>COUNTIFS($I$7:$I$51,"GIRL",$J$7:$J$51,"ST",AB7:AB51,"B1")</f>
        <v>0</v>
      </c>
      <c r="V59" s="202">
        <f t="shared" si="211"/>
        <v>0</v>
      </c>
      <c r="W59" s="207">
        <f t="shared" si="212"/>
        <v>0</v>
      </c>
      <c r="X59" s="905" t="s">
        <v>54</v>
      </c>
      <c r="Y59" s="905"/>
      <c r="Z59" s="905"/>
      <c r="AA59" s="905"/>
      <c r="AB59" s="905">
        <f>COUNTIFS(AB7:AB51,"C2")</f>
        <v>0</v>
      </c>
      <c r="AC59" s="904"/>
      <c r="AD59" s="118"/>
      <c r="AE59" s="119"/>
      <c r="AF59" s="118"/>
      <c r="AG59" s="501" t="s">
        <v>49</v>
      </c>
      <c r="AH59" s="206" t="s">
        <v>68</v>
      </c>
      <c r="AI59" s="201">
        <f t="shared" si="213"/>
        <v>0</v>
      </c>
      <c r="AJ59" s="201">
        <f t="shared" si="207"/>
        <v>0</v>
      </c>
      <c r="AK59" s="201">
        <f t="shared" si="207"/>
        <v>0</v>
      </c>
      <c r="AL59" s="201">
        <f t="shared" si="207"/>
        <v>0</v>
      </c>
      <c r="AM59" s="202">
        <f t="shared" si="214"/>
        <v>0</v>
      </c>
      <c r="AN59" s="201">
        <f t="shared" si="215"/>
        <v>0</v>
      </c>
      <c r="AO59" s="201">
        <f>COUNTIFS($I$7:$I$51,$AN$63,$J$7:$J$51,AO$53,$AG$7:$AG$51,$AT$56,$AX$7:$AX$51,$AG59)</f>
        <v>0</v>
      </c>
      <c r="AP59" s="201">
        <f t="shared" si="208"/>
        <v>0</v>
      </c>
      <c r="AQ59" s="201">
        <f t="shared" si="208"/>
        <v>0</v>
      </c>
      <c r="AR59" s="202">
        <f t="shared" si="216"/>
        <v>0</v>
      </c>
      <c r="AS59" s="207">
        <f t="shared" si="217"/>
        <v>0</v>
      </c>
      <c r="AT59" s="905" t="s">
        <v>54</v>
      </c>
      <c r="AU59" s="905"/>
      <c r="AV59" s="905"/>
      <c r="AW59" s="905"/>
      <c r="AX59" s="905">
        <f>COUNTIFS(AX7:AX51,"C2",AG7:AG51,AT56)</f>
        <v>1</v>
      </c>
      <c r="AY59" s="904"/>
      <c r="AZ59" s="118"/>
      <c r="BA59" s="119"/>
      <c r="BB59" s="118"/>
      <c r="BC59" s="206" t="s">
        <v>68</v>
      </c>
      <c r="BD59" s="201">
        <f>COUNTIFS($I$7:$I$51,"BOY",$J$7:$J$51,"GEN",BS7:BS51,"B1")</f>
        <v>0</v>
      </c>
      <c r="BE59" s="201">
        <f>COUNTIFS($I$7:$I$51,"BOY",$J$7:$J$51,"OBC",BS7:BS51,"B1")</f>
        <v>0</v>
      </c>
      <c r="BF59" s="201">
        <f>COUNTIFS($I$7:$I$51,"BOY",$J$7:$J$51,"SC",BS7:BS51,"B1")</f>
        <v>0</v>
      </c>
      <c r="BG59" s="201">
        <f>COUNTIFS($I$7:$I$51,"BOY",$J$7:$J$51,"ST",BS7:BS51,"B1")</f>
        <v>0</v>
      </c>
      <c r="BH59" s="202">
        <f t="shared" si="218"/>
        <v>0</v>
      </c>
      <c r="BI59" s="201">
        <f>COUNTIFS($I$7:$I$51,"GIRL",$J$7:$J$51,"GEN",BS7:BS51,"B1")</f>
        <v>0</v>
      </c>
      <c r="BJ59" s="201">
        <f>COUNTIFS($I$7:$I$51,"GIRL",$J$7:$J$51,"OBC",BS7:BS51,"B1")</f>
        <v>0</v>
      </c>
      <c r="BK59" s="201">
        <f>COUNTIFS($I$7:$I$51,"GIRL",$J$7:$J$51,"SC",BS7:BS51,"B1")</f>
        <v>0</v>
      </c>
      <c r="BL59" s="201">
        <f>COUNTIFS($I$7:$I$51,"GIRL",$J$7:$J$51,"ST",BS7:BS51,"B1")</f>
        <v>0</v>
      </c>
      <c r="BM59" s="202">
        <f t="shared" si="219"/>
        <v>0</v>
      </c>
      <c r="BN59" s="207">
        <f t="shared" si="220"/>
        <v>0</v>
      </c>
      <c r="BO59" s="905" t="s">
        <v>54</v>
      </c>
      <c r="BP59" s="905"/>
      <c r="BQ59" s="905"/>
      <c r="BR59" s="905"/>
      <c r="BS59" s="905">
        <f>COUNTIFS(BS7:BS51,"C2")</f>
        <v>0</v>
      </c>
      <c r="BT59" s="904"/>
      <c r="BU59" s="118"/>
      <c r="BV59" s="119"/>
      <c r="BW59" s="118"/>
      <c r="BX59" s="206" t="s">
        <v>68</v>
      </c>
      <c r="BY59" s="201">
        <f>COUNTIFS($I$7:$I$51,"BOY",$J$7:$J$51,"GEN",CN7:CN51,"B1")</f>
        <v>0</v>
      </c>
      <c r="BZ59" s="201">
        <f>COUNTIFS($I$7:$I$51,"BOY",$J$7:$J$51,"OBC",CN7:CN51,"B1")</f>
        <v>0</v>
      </c>
      <c r="CA59" s="201">
        <f>COUNTIFS($I$7:$I$51,"BOY",$J$7:$J$51,"SC",CN7:CN51,"B1")</f>
        <v>0</v>
      </c>
      <c r="CB59" s="201">
        <f>COUNTIFS($I$7:$I$51,"BOY",$J$7:$J$51,"ST",CN7:CN51,"B1")</f>
        <v>0</v>
      </c>
      <c r="CC59" s="202">
        <f t="shared" si="221"/>
        <v>0</v>
      </c>
      <c r="CD59" s="201">
        <f>COUNTIFS($I$7:$I$51,"GIRL",$J$7:$J$51,"GEN",CN7:CN51,"B1")</f>
        <v>0</v>
      </c>
      <c r="CE59" s="201">
        <f>COUNTIFS($I$7:$I$51,"GIRL",$J$7:$J$51,"OBC",CN7:CN51,"B1")</f>
        <v>0</v>
      </c>
      <c r="CF59" s="201">
        <f>COUNTIFS($I$7:$I$51,"GIRL",$J$7:$J$51,"SC",CN7:CN51,"B1")</f>
        <v>0</v>
      </c>
      <c r="CG59" s="201">
        <f>COUNTIFS($I$7:$I$51,"GIRL",$J$7:$J$51,"ST",CN7:CN51,"B1")</f>
        <v>0</v>
      </c>
      <c r="CH59" s="202">
        <f t="shared" si="222"/>
        <v>0</v>
      </c>
      <c r="CI59" s="207">
        <f t="shared" si="223"/>
        <v>0</v>
      </c>
      <c r="CJ59" s="905" t="s">
        <v>54</v>
      </c>
      <c r="CK59" s="905"/>
      <c r="CL59" s="905"/>
      <c r="CM59" s="905"/>
      <c r="CN59" s="905">
        <f>COUNTIFS(CN7:CN51,"C2")</f>
        <v>0</v>
      </c>
      <c r="CO59" s="904"/>
      <c r="CP59" s="118"/>
      <c r="CQ59" s="119"/>
      <c r="CR59" s="118"/>
      <c r="CS59" s="206" t="s">
        <v>68</v>
      </c>
      <c r="CT59" s="201">
        <f>COUNTIFS($I$7:$I$51,"BOY",$J$7:$J$51,"GEN",DI7:DI51,"B1")</f>
        <v>0</v>
      </c>
      <c r="CU59" s="201">
        <f>COUNTIFS($I$7:$I$51,"BOY",$J$7:$J$51,"OBC",DI7:DI51,"B1")</f>
        <v>0</v>
      </c>
      <c r="CV59" s="201">
        <f>COUNTIFS($I$7:$I$51,"BOY",$J$7:$J$51,"SC",DI7:DI51,"B1")</f>
        <v>0</v>
      </c>
      <c r="CW59" s="201">
        <f>COUNTIFS($I$7:$I$51,"BOY",$J$7:$J$51,"ST",DI7:DI51,"B1")</f>
        <v>0</v>
      </c>
      <c r="CX59" s="202">
        <f t="shared" si="224"/>
        <v>0</v>
      </c>
      <c r="CY59" s="201">
        <f>COUNTIFS($I$7:$I$51,"GIRL",$J$7:$J$51,"GEN",DI7:DI51,"B1")</f>
        <v>0</v>
      </c>
      <c r="CZ59" s="201">
        <f>COUNTIFS($I$7:$I$51,"GIRL",$J$7:$J$51,"OBC",DI7:DI51,"B1")</f>
        <v>0</v>
      </c>
      <c r="DA59" s="201">
        <f>COUNTIFS($I$7:$I$51,"GIRL",$J$7:$J$51,"SC",DI7:DI51,"B1")</f>
        <v>0</v>
      </c>
      <c r="DB59" s="201">
        <f>COUNTIFS($I$7:$I$51,"GIRL",$J$7:$J$51,"ST",DI7:DI51,"B1")</f>
        <v>0</v>
      </c>
      <c r="DC59" s="202">
        <f t="shared" si="225"/>
        <v>0</v>
      </c>
      <c r="DD59" s="207">
        <f t="shared" si="226"/>
        <v>0</v>
      </c>
      <c r="DE59" s="905" t="s">
        <v>54</v>
      </c>
      <c r="DF59" s="905"/>
      <c r="DG59" s="905"/>
      <c r="DH59" s="905"/>
      <c r="DI59" s="905">
        <f>COUNTIFS(DI7:DI51,"C2")</f>
        <v>0</v>
      </c>
      <c r="DJ59" s="904"/>
      <c r="DK59" s="118"/>
      <c r="DL59" s="119"/>
      <c r="DM59" s="118"/>
      <c r="DN59" s="118"/>
      <c r="DO59" s="501" t="s">
        <v>55</v>
      </c>
      <c r="DP59" s="905" t="s">
        <v>54</v>
      </c>
      <c r="DQ59" s="905"/>
      <c r="DR59" s="905"/>
      <c r="DS59" s="905"/>
      <c r="DT59" s="905">
        <f t="shared" si="227"/>
        <v>0</v>
      </c>
      <c r="DU59" s="904"/>
      <c r="DV59" s="118"/>
      <c r="DW59" s="99"/>
      <c r="DX59" s="132"/>
      <c r="DY59" s="209"/>
      <c r="DZ59" s="122"/>
      <c r="EA59" s="122"/>
      <c r="EB59" s="122"/>
      <c r="EC59" s="122"/>
      <c r="ED59" s="104"/>
      <c r="EE59" s="104"/>
      <c r="EF59" s="104"/>
      <c r="EG59" s="104"/>
      <c r="EH59" s="104"/>
      <c r="EI59" s="104"/>
      <c r="EJ59" s="105"/>
      <c r="EK59" s="105"/>
      <c r="EL59" s="105"/>
      <c r="EM59" s="105"/>
      <c r="EN59" s="105"/>
      <c r="EO59" s="105"/>
      <c r="EP59" s="106"/>
      <c r="EQ59" s="106"/>
      <c r="ER59" s="106"/>
      <c r="ES59" s="106"/>
      <c r="ET59" s="106"/>
      <c r="EU59" s="106"/>
      <c r="EV59" s="92"/>
      <c r="EW59" s="92"/>
      <c r="EX59" s="92"/>
      <c r="EY59" s="92"/>
      <c r="EZ59" s="92"/>
      <c r="FA59" s="92"/>
      <c r="FB59" s="93"/>
      <c r="FC59" s="93"/>
      <c r="FD59" s="93"/>
      <c r="FE59" s="93"/>
      <c r="FF59" s="93"/>
      <c r="FG59" s="93"/>
      <c r="FH59" s="107"/>
      <c r="FI59" s="107"/>
      <c r="FJ59" s="973"/>
      <c r="FK59" s="974"/>
      <c r="FL59" s="975"/>
      <c r="FM59" s="965"/>
      <c r="FN59" s="976" t="str">
        <f>IF(DASHBOARD!D13="","",DASHBOARD!D13&amp;" -"&amp;DASHBOARD!B13)</f>
        <v>XXXXX -CHOOSE ANY ONE FOR EACH STUDENT IN SHEET</v>
      </c>
      <c r="FO59" s="977"/>
      <c r="FP59" s="977"/>
      <c r="FQ59" s="977"/>
      <c r="FR59" s="977"/>
      <c r="FS59" s="977"/>
      <c r="FT59" s="977"/>
      <c r="FU59" s="977"/>
      <c r="FV59" s="1034">
        <f>'TECH. WISE RESULT'!D10</f>
        <v>1</v>
      </c>
      <c r="FW59" s="1035"/>
      <c r="FX59" s="1038"/>
      <c r="FY59" s="1039"/>
      <c r="FZ59" s="1040"/>
      <c r="GA59" s="348"/>
      <c r="GB59" s="348"/>
      <c r="GC59" s="274"/>
      <c r="GD59" s="60"/>
    </row>
    <row r="60" spans="1:186" ht="20.25" customHeight="1" thickBot="1" x14ac:dyDescent="0.3">
      <c r="A60" s="60"/>
      <c r="B60" s="577"/>
      <c r="C60" s="577"/>
      <c r="D60" s="577"/>
      <c r="E60" s="578"/>
      <c r="F60" s="584"/>
      <c r="G60" s="142" t="s">
        <v>205</v>
      </c>
      <c r="H60" s="142">
        <f>COUNTIFS($C$7:$C$51,"NSO",$I$7:$I$51,"BOY")</f>
        <v>0</v>
      </c>
      <c r="I60" s="142">
        <f>COUNTIFS($C$7:$C$51,"NSO",$I$7:$I$51,"GIRL")</f>
        <v>0</v>
      </c>
      <c r="J60" s="142">
        <f t="shared" si="209"/>
        <v>0</v>
      </c>
      <c r="K60" s="584"/>
      <c r="L60" s="573" t="s">
        <v>193</v>
      </c>
      <c r="M60" s="201">
        <f>COUNTIFS($I$7:$I$51,"BOY",$J$7:$J$51,"GEN",AB7:AB51,"A2")</f>
        <v>0</v>
      </c>
      <c r="N60" s="201">
        <f>COUNTIFS($I$7:$I$51,"BOY",$J$7:$J$51,"OBC",AB7:AB51,"A2")</f>
        <v>0</v>
      </c>
      <c r="O60" s="201">
        <f>COUNTIFS($I$7:$I$51,"BOY",$J$7:$J$51,"SC",AB7:AB51,"A2")</f>
        <v>0</v>
      </c>
      <c r="P60" s="201">
        <f>COUNTIFS($I$7:$I$51,"BOY",$J$7:$J$51,"ST",AB7:AB51,"A2")</f>
        <v>0</v>
      </c>
      <c r="Q60" s="202">
        <f t="shared" si="210"/>
        <v>0</v>
      </c>
      <c r="R60" s="201">
        <f>COUNTIFS($I$7:$I$51,"GIRL",$J$7:$J$51,"GEN",AB7:AB51,"A2")</f>
        <v>0</v>
      </c>
      <c r="S60" s="201">
        <f>COUNTIFS($I$7:$I$51,"GIRL",$J$7:$J$51,"OBC",AB7:AB51,"A2")</f>
        <v>0</v>
      </c>
      <c r="T60" s="201">
        <f>COUNTIFS($I$7:$I$51,"GIRL",$J$7:$J$51,"SC",AB7:AB51,"A2")</f>
        <v>0</v>
      </c>
      <c r="U60" s="201">
        <f>COUNTIFS($I$7:$I$51,"GIRL",$J$7:$J$51,"ST",AB7:AB51,"A2")</f>
        <v>0</v>
      </c>
      <c r="V60" s="202">
        <f t="shared" si="211"/>
        <v>0</v>
      </c>
      <c r="W60" s="207">
        <f t="shared" si="212"/>
        <v>0</v>
      </c>
      <c r="X60" s="905" t="s">
        <v>66</v>
      </c>
      <c r="Y60" s="905"/>
      <c r="Z60" s="905"/>
      <c r="AA60" s="905"/>
      <c r="AB60" s="905">
        <f>COUNTIFS(AB7:AB51,"C1")</f>
        <v>0</v>
      </c>
      <c r="AC60" s="904"/>
      <c r="AD60" s="118"/>
      <c r="AE60" s="119"/>
      <c r="AF60" s="118"/>
      <c r="AG60" s="501" t="s">
        <v>47</v>
      </c>
      <c r="AH60" s="206" t="s">
        <v>193</v>
      </c>
      <c r="AI60" s="201">
        <f t="shared" si="213"/>
        <v>0</v>
      </c>
      <c r="AJ60" s="201">
        <f t="shared" si="207"/>
        <v>0</v>
      </c>
      <c r="AK60" s="201">
        <f t="shared" si="207"/>
        <v>0</v>
      </c>
      <c r="AL60" s="201">
        <f t="shared" si="207"/>
        <v>0</v>
      </c>
      <c r="AM60" s="202">
        <f t="shared" si="214"/>
        <v>0</v>
      </c>
      <c r="AN60" s="201">
        <f t="shared" si="215"/>
        <v>0</v>
      </c>
      <c r="AO60" s="201">
        <f t="shared" si="208"/>
        <v>0</v>
      </c>
      <c r="AP60" s="201">
        <f t="shared" si="208"/>
        <v>0</v>
      </c>
      <c r="AQ60" s="201">
        <f t="shared" si="208"/>
        <v>0</v>
      </c>
      <c r="AR60" s="202">
        <f t="shared" si="216"/>
        <v>0</v>
      </c>
      <c r="AS60" s="207">
        <f t="shared" si="217"/>
        <v>0</v>
      </c>
      <c r="AT60" s="905" t="s">
        <v>66</v>
      </c>
      <c r="AU60" s="905"/>
      <c r="AV60" s="905"/>
      <c r="AW60" s="905"/>
      <c r="AX60" s="905">
        <f>COUNTIFS(AX7:AX51,"C1",AG7:AG51,AT56)</f>
        <v>0</v>
      </c>
      <c r="AY60" s="904"/>
      <c r="AZ60" s="118"/>
      <c r="BA60" s="119"/>
      <c r="BB60" s="118"/>
      <c r="BC60" s="206" t="s">
        <v>193</v>
      </c>
      <c r="BD60" s="201">
        <f>COUNTIFS($I$7:$I$51,"BOY",$J$7:$J$51,"GEN",BS7:BS51,"A2")</f>
        <v>0</v>
      </c>
      <c r="BE60" s="201">
        <f>COUNTIFS($I$7:$I$51,"BOY",$J$7:$J$51,"OBC",BS7:BS51,"A2")</f>
        <v>0</v>
      </c>
      <c r="BF60" s="201">
        <f>COUNTIFS($I$7:$I$51,"BOY",$J$7:$J$51,"SC",BS7:BS51,"A2")</f>
        <v>0</v>
      </c>
      <c r="BG60" s="201">
        <f>COUNTIFS($I$7:$I$51,"BOY",$J$7:$J$51,"ST",BS7:BS51,"A2")</f>
        <v>0</v>
      </c>
      <c r="BH60" s="202">
        <f t="shared" si="218"/>
        <v>0</v>
      </c>
      <c r="BI60" s="201">
        <f>COUNTIFS($I$7:$I$51,"GIRL",$J$7:$J$51,"GEN",BS7:BS51,"A2")</f>
        <v>0</v>
      </c>
      <c r="BJ60" s="201">
        <f>COUNTIFS($I$7:$I$51,"GIRL",$J$7:$J$51,"OBC",BS7:BS51,"A2")</f>
        <v>0</v>
      </c>
      <c r="BK60" s="201">
        <f>COUNTIFS($I$7:$I$51,"GIRL",$J$7:$J$51,"SC",BS7:BS51,"A2")</f>
        <v>0</v>
      </c>
      <c r="BL60" s="201">
        <f>COUNTIFS($I$7:$I$51,"GIRL",$J$7:$J$51,"ST",BS7:BS51,"A2")</f>
        <v>0</v>
      </c>
      <c r="BM60" s="202">
        <f t="shared" si="219"/>
        <v>0</v>
      </c>
      <c r="BN60" s="207">
        <f t="shared" si="220"/>
        <v>0</v>
      </c>
      <c r="BO60" s="905" t="s">
        <v>66</v>
      </c>
      <c r="BP60" s="905"/>
      <c r="BQ60" s="905"/>
      <c r="BR60" s="905"/>
      <c r="BS60" s="905">
        <f>COUNTIFS(BS7:BS51,"C1")</f>
        <v>0</v>
      </c>
      <c r="BT60" s="904"/>
      <c r="BU60" s="118"/>
      <c r="BV60" s="119"/>
      <c r="BW60" s="118"/>
      <c r="BX60" s="206" t="s">
        <v>193</v>
      </c>
      <c r="BY60" s="201">
        <f>COUNTIFS($I$7:$I$51,"BOY",$J$7:$J$51,"GEN",CN7:CN51,"A2")</f>
        <v>0</v>
      </c>
      <c r="BZ60" s="201">
        <f>COUNTIFS($I$7:$I$51,"BOY",$J$7:$J$51,"OBC",CN7:CN51,"A2")</f>
        <v>0</v>
      </c>
      <c r="CA60" s="201">
        <f>COUNTIFS($I$7:$I$51,"BOY",$J$7:$J$51,"SC",CN7:CN51,"A2")</f>
        <v>0</v>
      </c>
      <c r="CB60" s="201">
        <f>COUNTIFS($I$7:$I$51,"BOY",$J$7:$J$51,"ST",CN7:CN51,"A2")</f>
        <v>0</v>
      </c>
      <c r="CC60" s="202">
        <f t="shared" si="221"/>
        <v>0</v>
      </c>
      <c r="CD60" s="201">
        <f>COUNTIFS($I$7:$I$51,"GIRL",$J$7:$J$51,"GEN",CN7:CN51,"A2")</f>
        <v>0</v>
      </c>
      <c r="CE60" s="201">
        <f>COUNTIFS($I$7:$I$51,"GIRL",$J$7:$J$51,"OBC",CN7:CN51,"A2")</f>
        <v>0</v>
      </c>
      <c r="CF60" s="201">
        <f>COUNTIFS($I$7:$I$51,"GIRL",$J$7:$J$51,"SC",CN7:CN51,"A2")</f>
        <v>0</v>
      </c>
      <c r="CG60" s="201">
        <f>COUNTIFS($I$7:$I$51,"GIRL",$J$7:$J$51,"ST",CN7:CN51,"A2")</f>
        <v>0</v>
      </c>
      <c r="CH60" s="202">
        <f t="shared" si="222"/>
        <v>0</v>
      </c>
      <c r="CI60" s="207">
        <f t="shared" si="223"/>
        <v>0</v>
      </c>
      <c r="CJ60" s="905" t="s">
        <v>66</v>
      </c>
      <c r="CK60" s="905"/>
      <c r="CL60" s="905"/>
      <c r="CM60" s="905"/>
      <c r="CN60" s="905">
        <f>COUNTIFS(CN7:CN51,"C1")</f>
        <v>0</v>
      </c>
      <c r="CO60" s="904"/>
      <c r="CP60" s="118"/>
      <c r="CQ60" s="119"/>
      <c r="CR60" s="118"/>
      <c r="CS60" s="206" t="s">
        <v>193</v>
      </c>
      <c r="CT60" s="201">
        <f>COUNTIFS($I$7:$I$51,"BOY",$J$7:$J$51,"GEN",DI7:DI51,"A2")</f>
        <v>0</v>
      </c>
      <c r="CU60" s="201">
        <f>COUNTIFS($I$7:$I$51,"BOY",$J$7:$J$51,"OBC",DI7:DI51,"A2")</f>
        <v>0</v>
      </c>
      <c r="CV60" s="201">
        <f>COUNTIFS($I$7:$I$51,"BOY",$J$7:$J$51,"SC",DI7:DI51,"A2")</f>
        <v>0</v>
      </c>
      <c r="CW60" s="201">
        <f>COUNTIFS($I$7:$I$51,"BOY",$J$7:$J$51,"ST",DI7:DI51,"A2")</f>
        <v>0</v>
      </c>
      <c r="CX60" s="202">
        <f t="shared" si="224"/>
        <v>0</v>
      </c>
      <c r="CY60" s="201">
        <f>COUNTIFS($I$7:$I$51,"GIRL",$J$7:$J$51,"GEN",DI7:DI51,"A2")</f>
        <v>0</v>
      </c>
      <c r="CZ60" s="201">
        <f>COUNTIFS($I$7:$I$51,"GIRL",$J$7:$J$51,"OBC",DI7:DI51,"A2")</f>
        <v>0</v>
      </c>
      <c r="DA60" s="201">
        <f>COUNTIFS($I$7:$I$51,"GIRL",$J$7:$J$51,"SC",DI7:DI51,"A2")</f>
        <v>0</v>
      </c>
      <c r="DB60" s="201">
        <f>COUNTIFS($I$7:$I$51,"GIRL",$J$7:$J$51,"ST",DI7:DI51,"A2")</f>
        <v>0</v>
      </c>
      <c r="DC60" s="202">
        <f t="shared" si="225"/>
        <v>0</v>
      </c>
      <c r="DD60" s="207">
        <f t="shared" si="226"/>
        <v>0</v>
      </c>
      <c r="DE60" s="905" t="s">
        <v>66</v>
      </c>
      <c r="DF60" s="905"/>
      <c r="DG60" s="905"/>
      <c r="DH60" s="905"/>
      <c r="DI60" s="905">
        <f>COUNTIFS(DI7:DI51,"C1")</f>
        <v>0</v>
      </c>
      <c r="DJ60" s="904"/>
      <c r="DK60" s="118"/>
      <c r="DL60" s="119"/>
      <c r="DM60" s="118"/>
      <c r="DN60" s="118"/>
      <c r="DO60" s="501" t="s">
        <v>53</v>
      </c>
      <c r="DP60" s="905" t="s">
        <v>66</v>
      </c>
      <c r="DQ60" s="905"/>
      <c r="DR60" s="905"/>
      <c r="DS60" s="905"/>
      <c r="DT60" s="905">
        <f t="shared" si="227"/>
        <v>1</v>
      </c>
      <c r="DU60" s="904"/>
      <c r="DV60" s="118"/>
      <c r="DW60" s="99"/>
      <c r="DX60" s="132"/>
      <c r="DY60" s="209"/>
      <c r="DZ60" s="122"/>
      <c r="EA60" s="122"/>
      <c r="EB60" s="122"/>
      <c r="EC60" s="122"/>
      <c r="ED60" s="104"/>
      <c r="EE60" s="104"/>
      <c r="EF60" s="104"/>
      <c r="EG60" s="104"/>
      <c r="EH60" s="104"/>
      <c r="EI60" s="104"/>
      <c r="EJ60" s="105"/>
      <c r="EK60" s="105"/>
      <c r="EL60" s="105"/>
      <c r="EM60" s="105"/>
      <c r="EN60" s="105"/>
      <c r="EO60" s="105"/>
      <c r="EP60" s="106"/>
      <c r="EQ60" s="106"/>
      <c r="ER60" s="106"/>
      <c r="ES60" s="106"/>
      <c r="ET60" s="106"/>
      <c r="EU60" s="106"/>
      <c r="EV60" s="92"/>
      <c r="EW60" s="92"/>
      <c r="EX60" s="92"/>
      <c r="EY60" s="92"/>
      <c r="EZ60" s="92"/>
      <c r="FA60" s="92"/>
      <c r="FB60" s="93"/>
      <c r="FC60" s="93"/>
      <c r="FD60" s="93"/>
      <c r="FE60" s="93"/>
      <c r="FF60" s="93"/>
      <c r="FG60" s="93"/>
      <c r="FH60" s="107"/>
      <c r="FI60" s="107"/>
      <c r="FJ60" s="978" t="str">
        <f>IF(FV54="0","","RESULT  "&amp;DASHBOARD!B4)</f>
        <v>RESULT  SESSION  -  2025-26</v>
      </c>
      <c r="FK60" s="979"/>
      <c r="FL60" s="980"/>
      <c r="FM60" s="965"/>
      <c r="FN60" s="976" t="str">
        <f>IF(DASHBOARD!D15="","",DASHBOARD!D15&amp;" -"&amp;DASHBOARD!B15)</f>
        <v>XXXXX -MATHS</v>
      </c>
      <c r="FO60" s="977"/>
      <c r="FP60" s="977"/>
      <c r="FQ60" s="977"/>
      <c r="FR60" s="977"/>
      <c r="FS60" s="977"/>
      <c r="FT60" s="977"/>
      <c r="FU60" s="977"/>
      <c r="FV60" s="1034">
        <f>'TECH. WISE RESULT'!F10</f>
        <v>1</v>
      </c>
      <c r="FW60" s="1035"/>
      <c r="FX60" s="1038"/>
      <c r="FY60" s="1039"/>
      <c r="FZ60" s="1040"/>
      <c r="GA60" s="348"/>
      <c r="GB60" s="348"/>
      <c r="GC60" s="274"/>
      <c r="GD60" s="60"/>
    </row>
    <row r="61" spans="1:186" ht="20.25" customHeight="1" thickBot="1" x14ac:dyDescent="0.3">
      <c r="A61" s="60"/>
      <c r="B61" s="577"/>
      <c r="C61" s="577"/>
      <c r="D61" s="577"/>
      <c r="E61" s="578"/>
      <c r="F61" s="584"/>
      <c r="G61" s="138" t="s">
        <v>204</v>
      </c>
      <c r="H61" s="138">
        <f>H58-SUM(H59:H60)</f>
        <v>1</v>
      </c>
      <c r="I61" s="138">
        <f t="shared" ref="I61:J61" si="229">I58-SUM(I59:I60)</f>
        <v>1</v>
      </c>
      <c r="J61" s="138">
        <f t="shared" si="229"/>
        <v>2</v>
      </c>
      <c r="K61" s="584"/>
      <c r="L61" s="573" t="s">
        <v>44</v>
      </c>
      <c r="M61" s="201">
        <f>COUNTIFS($I$7:$I$51,"BOY",$J$7:$J$51,"GEN",AB7:AB51,"A1")</f>
        <v>0</v>
      </c>
      <c r="N61" s="201">
        <f>COUNTIFS($I$7:$I$51,"BOY",$J$7:$J$51,"OBC",AB7:AB51,"A1")</f>
        <v>0</v>
      </c>
      <c r="O61" s="201">
        <f>COUNTIFS($I$7:$I$51,"BOY",$J$7:$J$51,"SC",AB7:AB51,"A1")</f>
        <v>0</v>
      </c>
      <c r="P61" s="201">
        <f>COUNTIFS($I$7:$I$51,"BOY",$J$7:$J$51,"ST",AB7:AB51,"A1")</f>
        <v>0</v>
      </c>
      <c r="Q61" s="202">
        <f t="shared" si="210"/>
        <v>0</v>
      </c>
      <c r="R61" s="201">
        <f>COUNTIFS($I$7:$I$51,"GIRL",$J$7:$J$51,"GEN",AB7:AB51,"A1")</f>
        <v>0</v>
      </c>
      <c r="S61" s="201">
        <f>COUNTIFS($I$7:$I$51,"GIRL",$J$7:$J$51,"OBC",AB7:AB51,"A1")</f>
        <v>0</v>
      </c>
      <c r="T61" s="201">
        <f>COUNTIFS($I$7:$I$51,"GIRL",$J$7:$J$51,"SC",AB7:AB51,"A1")</f>
        <v>0</v>
      </c>
      <c r="U61" s="201">
        <f>COUNTIFS($I$7:$I$51,"GIRL",$J$7:$J$51,"ST",AB7:AB51,"A1")</f>
        <v>0</v>
      </c>
      <c r="V61" s="202">
        <f t="shared" si="211"/>
        <v>0</v>
      </c>
      <c r="W61" s="207">
        <f t="shared" si="212"/>
        <v>0</v>
      </c>
      <c r="X61" s="905" t="s">
        <v>67</v>
      </c>
      <c r="Y61" s="905"/>
      <c r="Z61" s="905"/>
      <c r="AA61" s="905"/>
      <c r="AB61" s="905">
        <f>COUNTIFS(AB7:AB51,"B2")</f>
        <v>2</v>
      </c>
      <c r="AC61" s="904"/>
      <c r="AD61" s="118"/>
      <c r="AE61" s="119"/>
      <c r="AF61" s="118"/>
      <c r="AG61" s="501" t="s">
        <v>45</v>
      </c>
      <c r="AH61" s="206" t="s">
        <v>44</v>
      </c>
      <c r="AI61" s="201">
        <f t="shared" si="213"/>
        <v>0</v>
      </c>
      <c r="AJ61" s="201">
        <f t="shared" si="207"/>
        <v>0</v>
      </c>
      <c r="AK61" s="201">
        <f t="shared" si="207"/>
        <v>0</v>
      </c>
      <c r="AL61" s="201">
        <f t="shared" si="207"/>
        <v>0</v>
      </c>
      <c r="AM61" s="202">
        <f t="shared" si="214"/>
        <v>0</v>
      </c>
      <c r="AN61" s="201">
        <f t="shared" si="215"/>
        <v>0</v>
      </c>
      <c r="AO61" s="201">
        <f t="shared" si="208"/>
        <v>0</v>
      </c>
      <c r="AP61" s="201">
        <f t="shared" si="208"/>
        <v>0</v>
      </c>
      <c r="AQ61" s="201">
        <f t="shared" si="208"/>
        <v>0</v>
      </c>
      <c r="AR61" s="202">
        <f t="shared" si="216"/>
        <v>0</v>
      </c>
      <c r="AS61" s="207">
        <f t="shared" si="217"/>
        <v>0</v>
      </c>
      <c r="AT61" s="905" t="s">
        <v>67</v>
      </c>
      <c r="AU61" s="905"/>
      <c r="AV61" s="905"/>
      <c r="AW61" s="905"/>
      <c r="AX61" s="905">
        <f>COUNTIFS(AX7:AX51,"B2",AG7:AG51,AT56)</f>
        <v>0</v>
      </c>
      <c r="AY61" s="904"/>
      <c r="AZ61" s="118"/>
      <c r="BA61" s="119"/>
      <c r="BB61" s="118"/>
      <c r="BC61" s="206" t="s">
        <v>44</v>
      </c>
      <c r="BD61" s="201">
        <f>COUNTIFS($I$7:$I$51,"BOY",$J$7:$J$51,"GEN",BS7:BS51,"A1")</f>
        <v>0</v>
      </c>
      <c r="BE61" s="201">
        <f>COUNTIFS($I$7:$I$51,"BOY",$J$7:$J$51,"OBC",BS7:BS51,"A1")</f>
        <v>0</v>
      </c>
      <c r="BF61" s="201">
        <f>COUNTIFS($I$7:$I$51,"BOY",$J$7:$J$51,"SC",BS7:BS51,"A1")</f>
        <v>0</v>
      </c>
      <c r="BG61" s="201">
        <f>COUNTIFS($I$7:$I$51,"BOY",$J$7:$J$51,"ST",BS7:BS51,"A1")</f>
        <v>0</v>
      </c>
      <c r="BH61" s="202">
        <f t="shared" si="218"/>
        <v>0</v>
      </c>
      <c r="BI61" s="201">
        <f>COUNTIFS($I$7:$I$51,"GIRL",$J$7:$J$51,"GEN",BS7:BS51,"A1")</f>
        <v>0</v>
      </c>
      <c r="BJ61" s="201">
        <f>COUNTIFS($I$7:$I$51,"GIRL",$J$7:$J$51,"OBC",BS7:BS51,"A1")</f>
        <v>0</v>
      </c>
      <c r="BK61" s="201">
        <f>COUNTIFS($I$7:$I$51,"GIRL",$J$7:$J$51,"SC",BS7:BS51,"A1")</f>
        <v>0</v>
      </c>
      <c r="BL61" s="201">
        <f>COUNTIFS($I$7:$I$51,"GIRL",$J$7:$J$51,"ST",BS7:BS51,"A1")</f>
        <v>0</v>
      </c>
      <c r="BM61" s="202">
        <f t="shared" si="219"/>
        <v>0</v>
      </c>
      <c r="BN61" s="207">
        <f t="shared" si="220"/>
        <v>0</v>
      </c>
      <c r="BO61" s="905" t="s">
        <v>67</v>
      </c>
      <c r="BP61" s="905"/>
      <c r="BQ61" s="905"/>
      <c r="BR61" s="905"/>
      <c r="BS61" s="905">
        <f>COUNTIFS(BS7:BS51,"B2")</f>
        <v>2</v>
      </c>
      <c r="BT61" s="904"/>
      <c r="BU61" s="118"/>
      <c r="BV61" s="119"/>
      <c r="BW61" s="118"/>
      <c r="BX61" s="206" t="s">
        <v>44</v>
      </c>
      <c r="BY61" s="201">
        <f>COUNTIFS($I$7:$I$51,"BOY",$J$7:$J$51,"GEN",CN7:CN51,"A1")</f>
        <v>0</v>
      </c>
      <c r="BZ61" s="201">
        <f>COUNTIFS($I$7:$I$51,"BOY",$J$7:$J$51,"OBC",CN7:CN51,"A1")</f>
        <v>0</v>
      </c>
      <c r="CA61" s="201">
        <f>COUNTIFS($I$7:$I$51,"BOY",$J$7:$J$51,"SC",CN7:CN51,"A1")</f>
        <v>0</v>
      </c>
      <c r="CB61" s="201">
        <f>COUNTIFS($I$7:$I$51,"BOY",$J$7:$J$51,"ST",CN7:CN51,"A1")</f>
        <v>0</v>
      </c>
      <c r="CC61" s="202">
        <f t="shared" si="221"/>
        <v>0</v>
      </c>
      <c r="CD61" s="201">
        <f>COUNTIFS($I$7:$I$51,"GIRL",$J$7:$J$51,"GEN",CN7:CN51,"A1")</f>
        <v>0</v>
      </c>
      <c r="CE61" s="201">
        <f>COUNTIFS($I$7:$I$51,"GIRL",$J$7:$J$51,"OBC",CN7:CN51,"A1")</f>
        <v>0</v>
      </c>
      <c r="CF61" s="201">
        <f>COUNTIFS($I$7:$I$51,"GIRL",$J$7:$J$51,"SC",CN7:CN51,"A1")</f>
        <v>0</v>
      </c>
      <c r="CG61" s="201">
        <f>COUNTIFS($I$7:$I$51,"GIRL",$J$7:$J$51,"ST",CN7:CN51,"A1")</f>
        <v>0</v>
      </c>
      <c r="CH61" s="202">
        <f t="shared" si="222"/>
        <v>0</v>
      </c>
      <c r="CI61" s="207">
        <f t="shared" si="223"/>
        <v>0</v>
      </c>
      <c r="CJ61" s="905" t="s">
        <v>67</v>
      </c>
      <c r="CK61" s="905"/>
      <c r="CL61" s="905"/>
      <c r="CM61" s="905"/>
      <c r="CN61" s="905">
        <f>COUNTIFS(CN7:CN51,"B2")</f>
        <v>0</v>
      </c>
      <c r="CO61" s="904"/>
      <c r="CP61" s="118"/>
      <c r="CQ61" s="119"/>
      <c r="CR61" s="118"/>
      <c r="CS61" s="206" t="s">
        <v>44</v>
      </c>
      <c r="CT61" s="201">
        <f>COUNTIFS($I$7:$I$51,"BOY",$J$7:$J$51,"GEN",DI7:DI51,"A1")</f>
        <v>0</v>
      </c>
      <c r="CU61" s="201">
        <f>COUNTIFS($I$7:$I$51,"BOY",$J$7:$J$51,"OBC",DI7:DI51,"A1")</f>
        <v>0</v>
      </c>
      <c r="CV61" s="201">
        <f>COUNTIFS($I$7:$I$51,"BOY",$J$7:$J$51,"SC",DI7:DI51,"A1")</f>
        <v>0</v>
      </c>
      <c r="CW61" s="201">
        <f>COUNTIFS($I$7:$I$51,"BOY",$J$7:$J$51,"ST",DI7:DI51,"A1")</f>
        <v>0</v>
      </c>
      <c r="CX61" s="202">
        <f t="shared" si="224"/>
        <v>0</v>
      </c>
      <c r="CY61" s="201">
        <f>COUNTIFS($I$7:$I$51,"GIRL",$J$7:$J$51,"GEN",DI7:DI51,"A1")</f>
        <v>0</v>
      </c>
      <c r="CZ61" s="201">
        <f>COUNTIFS($I$7:$I$51,"GIRL",$J$7:$J$51,"OBC",DI7:DI51,"A1")</f>
        <v>0</v>
      </c>
      <c r="DA61" s="201">
        <f>COUNTIFS($I$7:$I$51,"GIRL",$J$7:$J$51,"SC",DI7:DI51,"A1")</f>
        <v>0</v>
      </c>
      <c r="DB61" s="201">
        <f>COUNTIFS($I$7:$I$51,"GIRL",$J$7:$J$51,"ST",DI7:DI51,"A1")</f>
        <v>0</v>
      </c>
      <c r="DC61" s="202">
        <f t="shared" si="225"/>
        <v>0</v>
      </c>
      <c r="DD61" s="207">
        <f t="shared" si="226"/>
        <v>0</v>
      </c>
      <c r="DE61" s="905" t="s">
        <v>67</v>
      </c>
      <c r="DF61" s="905"/>
      <c r="DG61" s="905"/>
      <c r="DH61" s="905"/>
      <c r="DI61" s="905">
        <f>COUNTIFS(DI7:DI51,"B2")</f>
        <v>1</v>
      </c>
      <c r="DJ61" s="904"/>
      <c r="DK61" s="118"/>
      <c r="DL61" s="119"/>
      <c r="DM61" s="118"/>
      <c r="DN61" s="118"/>
      <c r="DO61" s="501" t="s">
        <v>51</v>
      </c>
      <c r="DP61" s="905" t="s">
        <v>67</v>
      </c>
      <c r="DQ61" s="905"/>
      <c r="DR61" s="905"/>
      <c r="DS61" s="905"/>
      <c r="DT61" s="905">
        <f t="shared" si="227"/>
        <v>0</v>
      </c>
      <c r="DU61" s="904"/>
      <c r="DV61" s="118"/>
      <c r="DW61" s="99"/>
      <c r="DX61" s="132"/>
      <c r="DY61" s="209"/>
      <c r="DZ61" s="122"/>
      <c r="EA61" s="122"/>
      <c r="EB61" s="122"/>
      <c r="EC61" s="122"/>
      <c r="ED61" s="104"/>
      <c r="EE61" s="104"/>
      <c r="EF61" s="104"/>
      <c r="EG61" s="104"/>
      <c r="EH61" s="104"/>
      <c r="EI61" s="104"/>
      <c r="EJ61" s="105"/>
      <c r="EK61" s="105"/>
      <c r="EL61" s="105"/>
      <c r="EM61" s="105"/>
      <c r="EN61" s="105"/>
      <c r="EO61" s="105"/>
      <c r="EP61" s="106"/>
      <c r="EQ61" s="106"/>
      <c r="ER61" s="106"/>
      <c r="ES61" s="106"/>
      <c r="ET61" s="106"/>
      <c r="EU61" s="106"/>
      <c r="EV61" s="92"/>
      <c r="EW61" s="92"/>
      <c r="EX61" s="92"/>
      <c r="EY61" s="92"/>
      <c r="EZ61" s="92"/>
      <c r="FA61" s="92"/>
      <c r="FB61" s="93"/>
      <c r="FC61" s="93"/>
      <c r="FD61" s="93"/>
      <c r="FE61" s="93"/>
      <c r="FF61" s="93"/>
      <c r="FG61" s="93"/>
      <c r="FH61" s="107"/>
      <c r="FI61" s="107"/>
      <c r="FJ61" s="978"/>
      <c r="FK61" s="979"/>
      <c r="FL61" s="980"/>
      <c r="FM61" s="965"/>
      <c r="FN61" s="976" t="str">
        <f>IF(DASHBOARD!D16="","",DASHBOARD!D16&amp;" -"&amp;DASHBOARD!B16)</f>
        <v>XXXXX -SCIENCE</v>
      </c>
      <c r="FO61" s="977"/>
      <c r="FP61" s="977"/>
      <c r="FQ61" s="977"/>
      <c r="FR61" s="977"/>
      <c r="FS61" s="977"/>
      <c r="FT61" s="977"/>
      <c r="FU61" s="977"/>
      <c r="FV61" s="1034">
        <f>'TECH. WISE RESULT'!G10</f>
        <v>0.5</v>
      </c>
      <c r="FW61" s="1035"/>
      <c r="FX61" s="1038"/>
      <c r="FY61" s="1039"/>
      <c r="FZ61" s="1040"/>
      <c r="GA61" s="348"/>
      <c r="GB61" s="348"/>
      <c r="GC61" s="274"/>
      <c r="GD61" s="60"/>
    </row>
    <row r="62" spans="1:186" ht="20.25" customHeight="1" thickBot="1" x14ac:dyDescent="0.3">
      <c r="A62" s="60"/>
      <c r="B62" s="577"/>
      <c r="C62" s="577"/>
      <c r="D62" s="577"/>
      <c r="E62" s="578"/>
      <c r="F62" s="584"/>
      <c r="G62" s="584"/>
      <c r="H62" s="584"/>
      <c r="I62" s="584"/>
      <c r="J62" s="584"/>
      <c r="K62" s="584"/>
      <c r="L62" s="573" t="s">
        <v>57</v>
      </c>
      <c r="M62" s="201">
        <f>SUM(M54:M61)</f>
        <v>1</v>
      </c>
      <c r="N62" s="201">
        <f t="shared" ref="N62:W62" si="230">SUM(N54:N61)</f>
        <v>0</v>
      </c>
      <c r="O62" s="201">
        <f t="shared" si="230"/>
        <v>0</v>
      </c>
      <c r="P62" s="201">
        <f t="shared" si="230"/>
        <v>0</v>
      </c>
      <c r="Q62" s="202">
        <f t="shared" si="230"/>
        <v>1</v>
      </c>
      <c r="R62" s="201">
        <f t="shared" si="230"/>
        <v>0</v>
      </c>
      <c r="S62" s="201">
        <f t="shared" si="230"/>
        <v>1</v>
      </c>
      <c r="T62" s="201">
        <f t="shared" si="230"/>
        <v>0</v>
      </c>
      <c r="U62" s="201">
        <f t="shared" si="230"/>
        <v>0</v>
      </c>
      <c r="V62" s="202">
        <f t="shared" si="230"/>
        <v>1</v>
      </c>
      <c r="W62" s="207">
        <f t="shared" si="230"/>
        <v>2</v>
      </c>
      <c r="X62" s="905" t="s">
        <v>68</v>
      </c>
      <c r="Y62" s="905"/>
      <c r="Z62" s="905"/>
      <c r="AA62" s="905"/>
      <c r="AB62" s="905">
        <f>COUNTIFS(AB7:AB51,"B1")</f>
        <v>0</v>
      </c>
      <c r="AC62" s="904"/>
      <c r="AD62" s="118"/>
      <c r="AE62" s="119"/>
      <c r="AF62" s="118"/>
      <c r="AG62" s="206"/>
      <c r="AH62" s="206" t="s">
        <v>57</v>
      </c>
      <c r="AI62" s="201">
        <f>SUM(AI54:AI61)</f>
        <v>0</v>
      </c>
      <c r="AJ62" s="201">
        <f t="shared" ref="AJ62:AL62" si="231">SUM(AJ54:AJ61)</f>
        <v>0</v>
      </c>
      <c r="AK62" s="201">
        <f t="shared" si="231"/>
        <v>0</v>
      </c>
      <c r="AL62" s="201">
        <f t="shared" si="231"/>
        <v>0</v>
      </c>
      <c r="AM62" s="202">
        <f t="shared" ref="AM62" si="232">SUM(AM54:AM61)</f>
        <v>0</v>
      </c>
      <c r="AN62" s="201">
        <f>SUM(AN54:AN61)</f>
        <v>0</v>
      </c>
      <c r="AO62" s="201">
        <f t="shared" ref="AO62" si="233">SUM(AO54:AO61)</f>
        <v>1</v>
      </c>
      <c r="AP62" s="201">
        <f t="shared" ref="AP62" si="234">SUM(AP54:AP61)</f>
        <v>0</v>
      </c>
      <c r="AQ62" s="201">
        <f t="shared" ref="AQ62" si="235">SUM(AQ54:AQ61)</f>
        <v>0</v>
      </c>
      <c r="AR62" s="202">
        <f t="shared" ref="AR62" si="236">SUM(AR54:AR61)</f>
        <v>1</v>
      </c>
      <c r="AS62" s="207">
        <f t="shared" ref="AS62" si="237">SUM(AS54:AS61)</f>
        <v>1</v>
      </c>
      <c r="AT62" s="905" t="s">
        <v>68</v>
      </c>
      <c r="AU62" s="905"/>
      <c r="AV62" s="905"/>
      <c r="AW62" s="905"/>
      <c r="AX62" s="905">
        <f>COUNTIFS(AX7:AX51,"B1",AG7:AG51,AT56)</f>
        <v>0</v>
      </c>
      <c r="AY62" s="904"/>
      <c r="AZ62" s="118"/>
      <c r="BA62" s="119"/>
      <c r="BB62" s="118"/>
      <c r="BC62" s="206" t="s">
        <v>57</v>
      </c>
      <c r="BD62" s="201">
        <f>SUM(BD54:BD61)</f>
        <v>1</v>
      </c>
      <c r="BE62" s="201">
        <f t="shared" ref="BE62:BN62" si="238">SUM(BE54:BE61)</f>
        <v>0</v>
      </c>
      <c r="BF62" s="201">
        <f t="shared" si="238"/>
        <v>0</v>
      </c>
      <c r="BG62" s="201">
        <f t="shared" si="238"/>
        <v>0</v>
      </c>
      <c r="BH62" s="202">
        <f t="shared" si="238"/>
        <v>1</v>
      </c>
      <c r="BI62" s="201">
        <f t="shared" si="238"/>
        <v>0</v>
      </c>
      <c r="BJ62" s="201">
        <f t="shared" si="238"/>
        <v>1</v>
      </c>
      <c r="BK62" s="201">
        <f t="shared" si="238"/>
        <v>0</v>
      </c>
      <c r="BL62" s="201">
        <f t="shared" si="238"/>
        <v>0</v>
      </c>
      <c r="BM62" s="202">
        <f t="shared" si="238"/>
        <v>1</v>
      </c>
      <c r="BN62" s="207">
        <f t="shared" si="238"/>
        <v>2</v>
      </c>
      <c r="BO62" s="905" t="s">
        <v>68</v>
      </c>
      <c r="BP62" s="905"/>
      <c r="BQ62" s="905"/>
      <c r="BR62" s="905"/>
      <c r="BS62" s="905">
        <f>COUNTIFS(BS7:BS51,"B1")</f>
        <v>0</v>
      </c>
      <c r="BT62" s="904"/>
      <c r="BU62" s="118"/>
      <c r="BV62" s="119"/>
      <c r="BW62" s="118"/>
      <c r="BX62" s="206" t="s">
        <v>57</v>
      </c>
      <c r="BY62" s="201">
        <f>SUM(BY54:BY61)</f>
        <v>1</v>
      </c>
      <c r="BZ62" s="201">
        <f t="shared" ref="BZ62:CI62" si="239">SUM(BZ54:BZ61)</f>
        <v>0</v>
      </c>
      <c r="CA62" s="201">
        <f t="shared" si="239"/>
        <v>0</v>
      </c>
      <c r="CB62" s="201">
        <f t="shared" si="239"/>
        <v>0</v>
      </c>
      <c r="CC62" s="202">
        <f t="shared" si="239"/>
        <v>1</v>
      </c>
      <c r="CD62" s="201">
        <f t="shared" si="239"/>
        <v>0</v>
      </c>
      <c r="CE62" s="201">
        <f t="shared" si="239"/>
        <v>1</v>
      </c>
      <c r="CF62" s="201">
        <f t="shared" si="239"/>
        <v>0</v>
      </c>
      <c r="CG62" s="201">
        <f t="shared" si="239"/>
        <v>0</v>
      </c>
      <c r="CH62" s="202">
        <f t="shared" si="222"/>
        <v>1</v>
      </c>
      <c r="CI62" s="207">
        <f t="shared" si="239"/>
        <v>2</v>
      </c>
      <c r="CJ62" s="905" t="s">
        <v>68</v>
      </c>
      <c r="CK62" s="905"/>
      <c r="CL62" s="905"/>
      <c r="CM62" s="905"/>
      <c r="CN62" s="905">
        <f>COUNTIFS(CN7:CN51,"B1")</f>
        <v>0</v>
      </c>
      <c r="CO62" s="904"/>
      <c r="CP62" s="118"/>
      <c r="CQ62" s="119"/>
      <c r="CR62" s="118"/>
      <c r="CS62" s="206" t="s">
        <v>57</v>
      </c>
      <c r="CT62" s="201">
        <f>SUM(CT54:CT61)</f>
        <v>1</v>
      </c>
      <c r="CU62" s="201">
        <f t="shared" ref="CU62:DD62" si="240">SUM(CU54:CU61)</f>
        <v>0</v>
      </c>
      <c r="CV62" s="201">
        <f t="shared" si="240"/>
        <v>0</v>
      </c>
      <c r="CW62" s="201">
        <f t="shared" si="240"/>
        <v>0</v>
      </c>
      <c r="CX62" s="202">
        <f t="shared" si="240"/>
        <v>1</v>
      </c>
      <c r="CY62" s="201">
        <f t="shared" si="240"/>
        <v>0</v>
      </c>
      <c r="CZ62" s="201">
        <f t="shared" si="240"/>
        <v>1</v>
      </c>
      <c r="DA62" s="201">
        <f t="shared" si="240"/>
        <v>0</v>
      </c>
      <c r="DB62" s="201">
        <f t="shared" si="240"/>
        <v>0</v>
      </c>
      <c r="DC62" s="202">
        <f t="shared" si="240"/>
        <v>1</v>
      </c>
      <c r="DD62" s="207">
        <f t="shared" si="240"/>
        <v>2</v>
      </c>
      <c r="DE62" s="905" t="s">
        <v>68</v>
      </c>
      <c r="DF62" s="905"/>
      <c r="DG62" s="905"/>
      <c r="DH62" s="905"/>
      <c r="DI62" s="905">
        <f>COUNTIFS(DI7:DI51,"B1")</f>
        <v>0</v>
      </c>
      <c r="DJ62" s="904"/>
      <c r="DK62" s="118"/>
      <c r="DL62" s="119"/>
      <c r="DM62" s="118"/>
      <c r="DN62" s="118"/>
      <c r="DO62" s="501" t="s">
        <v>49</v>
      </c>
      <c r="DP62" s="905" t="s">
        <v>68</v>
      </c>
      <c r="DQ62" s="905"/>
      <c r="DR62" s="905"/>
      <c r="DS62" s="905"/>
      <c r="DT62" s="905">
        <f t="shared" si="227"/>
        <v>0</v>
      </c>
      <c r="DU62" s="904"/>
      <c r="DV62" s="118"/>
      <c r="DW62" s="99"/>
      <c r="DX62" s="132"/>
      <c r="DY62" s="209"/>
      <c r="DZ62" s="122"/>
      <c r="EA62" s="122"/>
      <c r="EB62" s="122"/>
      <c r="EC62" s="122"/>
      <c r="ED62" s="104"/>
      <c r="EE62" s="104"/>
      <c r="EF62" s="104"/>
      <c r="EG62" s="104"/>
      <c r="EH62" s="104"/>
      <c r="EI62" s="104"/>
      <c r="EJ62" s="105"/>
      <c r="EK62" s="105"/>
      <c r="EL62" s="105"/>
      <c r="EM62" s="105"/>
      <c r="EN62" s="105"/>
      <c r="EO62" s="105"/>
      <c r="EP62" s="106"/>
      <c r="EQ62" s="106"/>
      <c r="ER62" s="106"/>
      <c r="ES62" s="106"/>
      <c r="ET62" s="106"/>
      <c r="EU62" s="106"/>
      <c r="EV62" s="92"/>
      <c r="EW62" s="92"/>
      <c r="EX62" s="92"/>
      <c r="EY62" s="92"/>
      <c r="EZ62" s="92"/>
      <c r="FA62" s="92"/>
      <c r="FB62" s="93"/>
      <c r="FC62" s="93"/>
      <c r="FD62" s="93"/>
      <c r="FE62" s="93"/>
      <c r="FF62" s="93"/>
      <c r="FG62" s="93"/>
      <c r="FH62" s="107"/>
      <c r="FI62" s="107"/>
      <c r="FJ62" s="978"/>
      <c r="FK62" s="979"/>
      <c r="FL62" s="980"/>
      <c r="FM62" s="965"/>
      <c r="FN62" s="976" t="str">
        <f>IF(DASHBOARD!D17="","",DASHBOARD!D17&amp;" -"&amp;DASHBOARD!B17)</f>
        <v>XXXXX -SOCIAL SCIENCE</v>
      </c>
      <c r="FO62" s="977"/>
      <c r="FP62" s="977"/>
      <c r="FQ62" s="977"/>
      <c r="FR62" s="977"/>
      <c r="FS62" s="977"/>
      <c r="FT62" s="977"/>
      <c r="FU62" s="977"/>
      <c r="FV62" s="1034">
        <f>'TECH. WISE RESULT'!H10</f>
        <v>0.5</v>
      </c>
      <c r="FW62" s="1035"/>
      <c r="FX62" s="1038"/>
      <c r="FY62" s="1039"/>
      <c r="FZ62" s="1040"/>
      <c r="GA62" s="348"/>
      <c r="GB62" s="348"/>
      <c r="GC62" s="274"/>
      <c r="GD62" s="60"/>
    </row>
    <row r="63" spans="1:186" ht="20.25" customHeight="1" thickBot="1" x14ac:dyDescent="0.3">
      <c r="A63" s="60"/>
      <c r="B63" s="577"/>
      <c r="C63" s="577"/>
      <c r="D63" s="577"/>
      <c r="E63" s="578"/>
      <c r="F63" s="578"/>
      <c r="G63" s="578"/>
      <c r="H63" s="578"/>
      <c r="I63" s="578"/>
      <c r="J63" s="578"/>
      <c r="K63" s="578"/>
      <c r="L63" s="571"/>
      <c r="M63" s="208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905" t="s">
        <v>193</v>
      </c>
      <c r="Y63" s="905"/>
      <c r="Z63" s="905"/>
      <c r="AA63" s="905"/>
      <c r="AB63" s="905">
        <f>COUNTIFS(AB7:AB51,"A2")</f>
        <v>0</v>
      </c>
      <c r="AC63" s="904"/>
      <c r="AD63" s="118"/>
      <c r="AE63" s="119"/>
      <c r="AF63" s="118"/>
      <c r="AG63" s="159"/>
      <c r="AH63" s="159"/>
      <c r="AI63" s="910" t="s">
        <v>198</v>
      </c>
      <c r="AJ63" s="911"/>
      <c r="AK63" s="911"/>
      <c r="AL63" s="911"/>
      <c r="AM63" s="912"/>
      <c r="AN63" s="910" t="s">
        <v>199</v>
      </c>
      <c r="AO63" s="911"/>
      <c r="AP63" s="911"/>
      <c r="AQ63" s="911"/>
      <c r="AR63" s="912"/>
      <c r="AS63" s="210"/>
      <c r="AT63" s="905" t="s">
        <v>193</v>
      </c>
      <c r="AU63" s="905"/>
      <c r="AV63" s="905"/>
      <c r="AW63" s="905"/>
      <c r="AX63" s="905">
        <f>COUNTIFS(AX7:AX51,"A2",AG7:AG51,AT56)</f>
        <v>0</v>
      </c>
      <c r="AY63" s="904"/>
      <c r="AZ63" s="118"/>
      <c r="BA63" s="119"/>
      <c r="BB63" s="118"/>
      <c r="BC63" s="159"/>
      <c r="BD63" s="208"/>
      <c r="BE63" s="210"/>
      <c r="BF63" s="210"/>
      <c r="BG63" s="210"/>
      <c r="BH63" s="210"/>
      <c r="BI63" s="210"/>
      <c r="BJ63" s="210"/>
      <c r="BK63" s="210"/>
      <c r="BL63" s="210"/>
      <c r="BM63" s="210"/>
      <c r="BN63" s="210"/>
      <c r="BO63" s="905" t="s">
        <v>193</v>
      </c>
      <c r="BP63" s="905"/>
      <c r="BQ63" s="905"/>
      <c r="BR63" s="905"/>
      <c r="BS63" s="905">
        <f>COUNTIFS(BS7:BS51,"A2")</f>
        <v>0</v>
      </c>
      <c r="BT63" s="904"/>
      <c r="BU63" s="118"/>
      <c r="BV63" s="119"/>
      <c r="BW63" s="118"/>
      <c r="BX63" s="159"/>
      <c r="BY63" s="208"/>
      <c r="BZ63" s="210"/>
      <c r="CA63" s="210"/>
      <c r="CB63" s="210"/>
      <c r="CC63" s="210"/>
      <c r="CD63" s="210"/>
      <c r="CE63" s="210"/>
      <c r="CF63" s="210"/>
      <c r="CG63" s="210"/>
      <c r="CH63" s="210"/>
      <c r="CI63" s="210"/>
      <c r="CJ63" s="905" t="s">
        <v>193</v>
      </c>
      <c r="CK63" s="905"/>
      <c r="CL63" s="905"/>
      <c r="CM63" s="905"/>
      <c r="CN63" s="905">
        <f>COUNTIFS(CN7:CN51,"A2")</f>
        <v>0</v>
      </c>
      <c r="CO63" s="904"/>
      <c r="CP63" s="118"/>
      <c r="CQ63" s="119"/>
      <c r="CR63" s="118"/>
      <c r="CS63" s="159"/>
      <c r="CT63" s="208"/>
      <c r="CU63" s="210"/>
      <c r="CV63" s="210"/>
      <c r="CW63" s="210"/>
      <c r="CX63" s="210"/>
      <c r="CY63" s="210"/>
      <c r="CZ63" s="210"/>
      <c r="DA63" s="210"/>
      <c r="DB63" s="210"/>
      <c r="DC63" s="210"/>
      <c r="DD63" s="210"/>
      <c r="DE63" s="905" t="s">
        <v>193</v>
      </c>
      <c r="DF63" s="905"/>
      <c r="DG63" s="905"/>
      <c r="DH63" s="905"/>
      <c r="DI63" s="905">
        <f>COUNTIFS(DI7:DI51,"A2")</f>
        <v>0</v>
      </c>
      <c r="DJ63" s="904"/>
      <c r="DK63" s="118"/>
      <c r="DL63" s="119"/>
      <c r="DM63" s="118"/>
      <c r="DN63" s="118"/>
      <c r="DO63" s="501" t="s">
        <v>47</v>
      </c>
      <c r="DP63" s="905" t="s">
        <v>193</v>
      </c>
      <c r="DQ63" s="905"/>
      <c r="DR63" s="905"/>
      <c r="DS63" s="905"/>
      <c r="DT63" s="905">
        <f t="shared" si="227"/>
        <v>0</v>
      </c>
      <c r="DU63" s="904"/>
      <c r="DV63" s="118"/>
      <c r="DW63" s="99"/>
      <c r="DX63" s="132"/>
      <c r="DY63" s="209"/>
      <c r="DZ63" s="122"/>
      <c r="EA63" s="122"/>
      <c r="EB63" s="122"/>
      <c r="EC63" s="122"/>
      <c r="ED63" s="104"/>
      <c r="EE63" s="104"/>
      <c r="EF63" s="104"/>
      <c r="EG63" s="104"/>
      <c r="EH63" s="104"/>
      <c r="EI63" s="104"/>
      <c r="EJ63" s="105"/>
      <c r="EK63" s="105"/>
      <c r="EL63" s="105"/>
      <c r="EM63" s="105"/>
      <c r="EN63" s="105"/>
      <c r="EO63" s="105"/>
      <c r="EP63" s="106"/>
      <c r="EQ63" s="106"/>
      <c r="ER63" s="106"/>
      <c r="ES63" s="106"/>
      <c r="ET63" s="106"/>
      <c r="EU63" s="106"/>
      <c r="EV63" s="92"/>
      <c r="EW63" s="92"/>
      <c r="EX63" s="92"/>
      <c r="EY63" s="92"/>
      <c r="EZ63" s="92"/>
      <c r="FA63" s="92"/>
      <c r="FB63" s="93"/>
      <c r="FC63" s="93"/>
      <c r="FD63" s="93"/>
      <c r="FE63" s="93"/>
      <c r="FF63" s="93"/>
      <c r="FG63" s="93"/>
      <c r="FH63" s="107"/>
      <c r="FI63" s="107"/>
      <c r="FJ63" s="978"/>
      <c r="FK63" s="979"/>
      <c r="FL63" s="980"/>
      <c r="FM63" s="966"/>
      <c r="FN63" s="976" t="str">
        <f>IF(DASHBOARD!D20="","",DASHBOARD!D20&amp;" -"&amp;DASHBOARD!B20)</f>
        <v>XXXXX -BEAUTY &amp; WELLNESS</v>
      </c>
      <c r="FO63" s="977"/>
      <c r="FP63" s="977"/>
      <c r="FQ63" s="977"/>
      <c r="FR63" s="977"/>
      <c r="FS63" s="977"/>
      <c r="FT63" s="977"/>
      <c r="FU63" s="977"/>
      <c r="FV63" s="1034" t="str">
        <f>'TECH. WISE RESULT'!K10</f>
        <v>N/A</v>
      </c>
      <c r="FW63" s="1035"/>
      <c r="FX63" s="1038"/>
      <c r="FY63" s="1039"/>
      <c r="FZ63" s="1040"/>
      <c r="GA63" s="348"/>
      <c r="GB63" s="348"/>
      <c r="GC63" s="274"/>
      <c r="GD63" s="60"/>
    </row>
    <row r="64" spans="1:186" ht="15" customHeight="1" x14ac:dyDescent="0.25">
      <c r="A64" s="60"/>
      <c r="B64" s="577"/>
      <c r="C64" s="577"/>
      <c r="D64" s="577"/>
      <c r="E64" s="578"/>
      <c r="F64" s="578"/>
      <c r="G64" s="578"/>
      <c r="H64" s="578"/>
      <c r="I64" s="578"/>
      <c r="J64" s="578"/>
      <c r="K64" s="578"/>
      <c r="L64" s="571" t="s">
        <v>194</v>
      </c>
      <c r="M64" s="201">
        <f>COUNTIFS($I$7:$I$51,"BOY",$J$7:$J$51,"GEN",AA7:AA51,"&gt;=60")</f>
        <v>1</v>
      </c>
      <c r="N64" s="201">
        <f>COUNTIFS($I$7:$I$51,"BOY",$J$7:$J$51,"OBC",AA7:AA51,"&gt;=60")</f>
        <v>0</v>
      </c>
      <c r="O64" s="201">
        <f>COUNTIFS($I$7:$I$51,"BOY",$J$7:$J$51,"SC",AA7:AA51,"&gt;=60")</f>
        <v>0</v>
      </c>
      <c r="P64" s="201">
        <f>COUNTIFS($I$7:$I$51,"BOY",$J$7:$J$51,"ST",AA7:AA51,"&gt;=60")</f>
        <v>0</v>
      </c>
      <c r="Q64" s="202">
        <f>SUM(M64:P64)</f>
        <v>1</v>
      </c>
      <c r="R64" s="201">
        <f>COUNTIFS($I$7:$I$51,"GIRL",$J$7:$J$51,"GEN",AA7:AA51,"&gt;=60")</f>
        <v>0</v>
      </c>
      <c r="S64" s="201">
        <f>COUNTIFS($I$7:$I$51,"GIRL",$J$7:$J$51,"OBC",AA7:AA51,"&gt;=60")</f>
        <v>1</v>
      </c>
      <c r="T64" s="201">
        <f>COUNTIFS($I$7:$I$51,"GIRL",$J$7:$J$51,"SC",AA7:AA51,"&gt;=60")</f>
        <v>0</v>
      </c>
      <c r="U64" s="201">
        <f>COUNTIFS($I$7:$I$51,"GIRL",$J$7:$J$51,"ST",AA7:AA51,"&gt;=60")</f>
        <v>0</v>
      </c>
      <c r="V64" s="202">
        <f>SUM(R64:U64)</f>
        <v>1</v>
      </c>
      <c r="W64" s="207">
        <f>SUM(Q64,V64)</f>
        <v>2</v>
      </c>
      <c r="X64" s="905" t="s">
        <v>44</v>
      </c>
      <c r="Y64" s="905"/>
      <c r="Z64" s="905"/>
      <c r="AA64" s="905"/>
      <c r="AB64" s="905">
        <f>COUNTIFS(AB7:AB51,"A1")</f>
        <v>0</v>
      </c>
      <c r="AC64" s="904"/>
      <c r="AD64" s="118"/>
      <c r="AE64" s="119"/>
      <c r="AF64" s="118"/>
      <c r="AG64" s="159"/>
      <c r="AH64" s="159" t="s">
        <v>194</v>
      </c>
      <c r="AI64" s="201">
        <f>COUNTIFS($I$7:$I$51,$AI$63,$J$7:$J$51,AI$53,$AG$7:$AG$51,$AT$56,$AW$7:$AW$51,"&gt;=60")</f>
        <v>0</v>
      </c>
      <c r="AJ64" s="201">
        <f t="shared" ref="AJ64:AL64" si="241">COUNTIFS($I$7:$I$51,$AI$63,$J$7:$J$51,AJ$53,$AG$7:$AG$51,$AT$56,$AW$7:$AW$51,"&gt;=60")</f>
        <v>0</v>
      </c>
      <c r="AK64" s="201">
        <f t="shared" si="241"/>
        <v>0</v>
      </c>
      <c r="AL64" s="201">
        <f t="shared" si="241"/>
        <v>0</v>
      </c>
      <c r="AM64" s="202">
        <f>SUM(AI64:AL64)</f>
        <v>0</v>
      </c>
      <c r="AN64" s="201">
        <f>COUNTIFS($I$7:$I$51,$AN$63,$J$7:$J$51,AN$53,$AG$7:$AG$51,$AT$56,$AW$7:$AW$51,"&gt;=60")</f>
        <v>0</v>
      </c>
      <c r="AO64" s="201">
        <f t="shared" ref="AO64:AQ64" si="242">COUNTIFS($I$7:$I$51,$AN$63,$J$7:$J$51,AO$53,$AG$7:$AG$51,$AT$56,$AW$7:$AW$51,"&gt;=60")</f>
        <v>0</v>
      </c>
      <c r="AP64" s="201">
        <f t="shared" si="242"/>
        <v>0</v>
      </c>
      <c r="AQ64" s="201">
        <f t="shared" si="242"/>
        <v>0</v>
      </c>
      <c r="AR64" s="202">
        <f>SUM(AN64:AQ64)</f>
        <v>0</v>
      </c>
      <c r="AS64" s="207">
        <f>SUM(AM64,AR64)</f>
        <v>0</v>
      </c>
      <c r="AT64" s="905" t="s">
        <v>44</v>
      </c>
      <c r="AU64" s="905"/>
      <c r="AV64" s="905"/>
      <c r="AW64" s="905"/>
      <c r="AX64" s="905">
        <f>COUNTIFS(AX7:AX51,"A1",AG7:AG51,AT56)</f>
        <v>0</v>
      </c>
      <c r="AY64" s="904"/>
      <c r="AZ64" s="118"/>
      <c r="BA64" s="119"/>
      <c r="BB64" s="118"/>
      <c r="BC64" s="159" t="s">
        <v>194</v>
      </c>
      <c r="BD64" s="201">
        <f>COUNTIFS($I$7:$I$51,"BOY",$J$7:$J$51,"GEN",BR7:BR51,"&gt;=60")</f>
        <v>1</v>
      </c>
      <c r="BE64" s="201">
        <f>COUNTIFS($I$7:$I$51,"BOY",$J$7:$J$51,"OBC",BR7:BR51,"&gt;=60")</f>
        <v>0</v>
      </c>
      <c r="BF64" s="201">
        <f>COUNTIFS($I$7:$I$51,"BOY",$J$7:$J$51,"SC",BR7:BR51,"&gt;=60")</f>
        <v>0</v>
      </c>
      <c r="BG64" s="201">
        <f>COUNTIFS($I$7:$I$51,"BOY",$J$7:$J$51,"ST",BR7:BR51,"&gt;=60")</f>
        <v>0</v>
      </c>
      <c r="BH64" s="202">
        <f>SUM(BD64:BG64)</f>
        <v>1</v>
      </c>
      <c r="BI64" s="201">
        <f>COUNTIFS($I$7:$I$51,"GIRL",$J$7:$J$51,"GEN",BR7:BR51,"&gt;=60")</f>
        <v>0</v>
      </c>
      <c r="BJ64" s="201">
        <f>COUNTIFS($I$7:$I$51,"GIRL",$J$7:$J$51,"OBC",BR7:BR51,"&gt;=60")</f>
        <v>1</v>
      </c>
      <c r="BK64" s="201">
        <f>COUNTIFS($I$7:$I$51,"GIRL",$J$7:$J$51,"SC",BR7:BR51,"&gt;=60")</f>
        <v>0</v>
      </c>
      <c r="BL64" s="201">
        <f>COUNTIFS($I$7:$I$51,"GIRL",$J$7:$J$51,"ST",BR7:BR51,"&gt;=60")</f>
        <v>0</v>
      </c>
      <c r="BM64" s="202">
        <f>SUM(BI64:BL64)</f>
        <v>1</v>
      </c>
      <c r="BN64" s="207">
        <f>SUM(BH64,BM64)</f>
        <v>2</v>
      </c>
      <c r="BO64" s="905" t="s">
        <v>44</v>
      </c>
      <c r="BP64" s="905"/>
      <c r="BQ64" s="905"/>
      <c r="BR64" s="905"/>
      <c r="BS64" s="905">
        <f>COUNTIFS(BS7:BS51,"A1")</f>
        <v>0</v>
      </c>
      <c r="BT64" s="904"/>
      <c r="BU64" s="118"/>
      <c r="BV64" s="119"/>
      <c r="BW64" s="118"/>
      <c r="BX64" s="159" t="s">
        <v>194</v>
      </c>
      <c r="BY64" s="201">
        <f>COUNTIFS($I$7:$I$51,"BOY",$J$7:$J$51,"GEN",CM7:CM51,"&gt;=60")</f>
        <v>0</v>
      </c>
      <c r="BZ64" s="201">
        <f>COUNTIFS($I$7:$I$51,"BOY",$J$7:$J$51,"OBC",CM7:CM51,"&gt;=60")</f>
        <v>0</v>
      </c>
      <c r="CA64" s="201">
        <f>COUNTIFS($I$7:$I$51,"BOY",$J$7:$J$51,"SC",CM7:CM51,"&gt;=60")</f>
        <v>0</v>
      </c>
      <c r="CB64" s="201">
        <f>COUNTIFS($I$7:$I$51,"BOY",$J$7:$J$51,"ST",CM7:CM51,"&gt;=60")</f>
        <v>0</v>
      </c>
      <c r="CC64" s="202">
        <f>SUM(BY64:CB64)</f>
        <v>0</v>
      </c>
      <c r="CD64" s="201">
        <f>COUNTIFS($I$7:$I$51,"GIRL",$J$7:$J$51,"GEN",CM7:CM51,"&gt;=60")</f>
        <v>0</v>
      </c>
      <c r="CE64" s="201">
        <f>COUNTIFS($I$7:$I$51,"GIRL",$J$7:$J$51,"OBC",CM7:CM51,"&gt;=60")</f>
        <v>0</v>
      </c>
      <c r="CF64" s="201">
        <f>COUNTIFS($I$7:$I$51,"GIRL",$J$7:$J$51,"SC",CM7:CM51,"&gt;=60")</f>
        <v>0</v>
      </c>
      <c r="CG64" s="201">
        <f>COUNTIFS($I$7:$I$51,"GIRL",$J$7:$J$51,"ST",CM7:CM51,"&gt;=60")</f>
        <v>0</v>
      </c>
      <c r="CH64" s="202">
        <f>SUM(CD64:CG64)</f>
        <v>0</v>
      </c>
      <c r="CI64" s="207">
        <f>SUM(CC64,CH64)</f>
        <v>0</v>
      </c>
      <c r="CJ64" s="905" t="s">
        <v>44</v>
      </c>
      <c r="CK64" s="905"/>
      <c r="CL64" s="905"/>
      <c r="CM64" s="905"/>
      <c r="CN64" s="905">
        <f>COUNTIFS(CN7:CN51,"A1")</f>
        <v>0</v>
      </c>
      <c r="CO64" s="904"/>
      <c r="CP64" s="118"/>
      <c r="CQ64" s="119"/>
      <c r="CR64" s="118"/>
      <c r="CS64" s="159" t="s">
        <v>194</v>
      </c>
      <c r="CT64" s="201">
        <f>COUNTIFS($I$7:$I$51,"BOY",$J$7:$J$51,"GEN",DH7:DH51,"&gt;=60")</f>
        <v>0</v>
      </c>
      <c r="CU64" s="201">
        <f>COUNTIFS($I$7:$I$51,"BOY",$J$7:$J$51,"OBC",DH7:DH51,"&gt;=60")</f>
        <v>0</v>
      </c>
      <c r="CV64" s="201">
        <f>COUNTIFS($I$7:$I$51,"BOY",$J$7:$J$51,"SC",DH7:DH51,"&gt;=60")</f>
        <v>0</v>
      </c>
      <c r="CW64" s="201">
        <f>COUNTIFS($I$7:$I$51,"BOY",$J$7:$J$51,"ST",DH7:DH51,"&gt;=60")</f>
        <v>0</v>
      </c>
      <c r="CX64" s="202">
        <f>SUM(CT64:CW64)</f>
        <v>0</v>
      </c>
      <c r="CY64" s="201">
        <f>COUNTIFS($I$7:$I$51,"GIRL",$J$7:$J$51,"GEN",DH7:DH51,"&gt;=60")</f>
        <v>0</v>
      </c>
      <c r="CZ64" s="201">
        <f>COUNTIFS($I$7:$I$51,"GIRL",$J$7:$J$51,"OBC",DH7:DH51,"&gt;=60")</f>
        <v>1</v>
      </c>
      <c r="DA64" s="201">
        <f>COUNTIFS($I$7:$I$51,"GIRL",$J$7:$J$51,"SC",DH7:DH51,"&gt;=60")</f>
        <v>0</v>
      </c>
      <c r="DB64" s="201">
        <f>COUNTIFS($I$7:$I$51,"GIRL",$J$7:$J$51,"ST",DH7:DH51,"&gt;=60")</f>
        <v>0</v>
      </c>
      <c r="DC64" s="202">
        <f>SUM(CY64:DB64)</f>
        <v>1</v>
      </c>
      <c r="DD64" s="207">
        <f>SUM(CX64,DC64)</f>
        <v>1</v>
      </c>
      <c r="DE64" s="905" t="s">
        <v>44</v>
      </c>
      <c r="DF64" s="905"/>
      <c r="DG64" s="905"/>
      <c r="DH64" s="905"/>
      <c r="DI64" s="905">
        <f>COUNTIFS(DI7:DI51,"A1")</f>
        <v>0</v>
      </c>
      <c r="DJ64" s="904"/>
      <c r="DK64" s="118"/>
      <c r="DL64" s="119"/>
      <c r="DM64" s="118"/>
      <c r="DN64" s="118"/>
      <c r="DO64" s="501" t="s">
        <v>45</v>
      </c>
      <c r="DP64" s="905" t="s">
        <v>44</v>
      </c>
      <c r="DQ64" s="905"/>
      <c r="DR64" s="905"/>
      <c r="DS64" s="905"/>
      <c r="DT64" s="905">
        <f t="shared" si="227"/>
        <v>0</v>
      </c>
      <c r="DU64" s="904"/>
      <c r="DV64" s="118"/>
      <c r="DW64" s="99"/>
      <c r="DX64" s="132"/>
      <c r="DY64" s="209"/>
      <c r="DZ64" s="122"/>
      <c r="EA64" s="122"/>
      <c r="EB64" s="122"/>
      <c r="EC64" s="122"/>
      <c r="ED64" s="104"/>
      <c r="EE64" s="104"/>
      <c r="EF64" s="104"/>
      <c r="EG64" s="104"/>
      <c r="EH64" s="104"/>
      <c r="EI64" s="104"/>
      <c r="EJ64" s="105"/>
      <c r="EK64" s="105"/>
      <c r="EL64" s="105"/>
      <c r="EM64" s="105"/>
      <c r="EN64" s="105"/>
      <c r="EO64" s="105"/>
      <c r="EP64" s="106"/>
      <c r="EQ64" s="106"/>
      <c r="ER64" s="106"/>
      <c r="ES64" s="106"/>
      <c r="ET64" s="106"/>
      <c r="EU64" s="106"/>
      <c r="EV64" s="92"/>
      <c r="EW64" s="92"/>
      <c r="EX64" s="92"/>
      <c r="EY64" s="92"/>
      <c r="EZ64" s="92"/>
      <c r="FA64" s="92"/>
      <c r="FB64" s="93"/>
      <c r="FC64" s="93"/>
      <c r="FD64" s="93"/>
      <c r="FE64" s="93"/>
      <c r="FF64" s="93"/>
      <c r="FG64" s="93"/>
      <c r="FH64" s="107"/>
      <c r="FI64" s="107"/>
      <c r="FJ64" s="943" t="str">
        <f>IF(FV54="0","","CLASS  "&amp;DASHBOARD!B8&amp;DASHBOARD!C8)</f>
        <v>CLASS  9A</v>
      </c>
      <c r="FK64" s="944"/>
      <c r="FL64" s="944"/>
      <c r="FM64" s="951"/>
      <c r="FN64" s="954"/>
      <c r="FO64" s="955"/>
      <c r="FP64" s="955"/>
      <c r="FQ64" s="956"/>
      <c r="FR64" s="954"/>
      <c r="FS64" s="955"/>
      <c r="FT64" s="955"/>
      <c r="FU64" s="956"/>
      <c r="FV64" s="937" t="s">
        <v>284</v>
      </c>
      <c r="FW64" s="937"/>
      <c r="FX64" s="937"/>
      <c r="FY64" s="937"/>
      <c r="FZ64" s="937"/>
      <c r="GA64" s="938"/>
      <c r="GB64" s="938"/>
      <c r="GC64" s="939"/>
      <c r="GD64" s="60"/>
    </row>
    <row r="65" spans="1:186" ht="15" customHeight="1" x14ac:dyDescent="0.3">
      <c r="A65" s="60"/>
      <c r="B65" s="577"/>
      <c r="C65" s="577"/>
      <c r="D65" s="577"/>
      <c r="E65" s="578"/>
      <c r="F65" s="578"/>
      <c r="G65" s="578"/>
      <c r="H65" s="578"/>
      <c r="I65" s="578"/>
      <c r="J65" s="578"/>
      <c r="K65" s="578"/>
      <c r="L65" s="571" t="s">
        <v>195</v>
      </c>
      <c r="M65" s="201">
        <f>COUNTIFS($I$7:$I$51,"BOY",$J$7:$J$51,"GEN",AA7:AA51,"&gt;=48",AA7:AA51,"&lt;60")</f>
        <v>0</v>
      </c>
      <c r="N65" s="201">
        <f>COUNTIFS($I$7:$I$51,"BOY",$J$7:$J$51,"OBC",AA7:AA51,"&gt;=48",AA7:AA51,"&lt;60")</f>
        <v>0</v>
      </c>
      <c r="O65" s="201">
        <f>COUNTIFS($I$7:$I$51,"BOY",$J$7:$J$51,"SC",AA7:AA51,"&gt;=48",AA7:AA51,"&lt;60")</f>
        <v>0</v>
      </c>
      <c r="P65" s="201">
        <f>COUNTIFS($I$7:$I$51,"BOY",$J$7:$J$51,"ST",AA7:AA51,"&gt;=48",AA7:AA51,"&lt;60")</f>
        <v>0</v>
      </c>
      <c r="Q65" s="202">
        <f t="shared" ref="Q65:Q68" si="243">SUM(M65:P65)</f>
        <v>0</v>
      </c>
      <c r="R65" s="201">
        <f>COUNTIFS($I$7:$I$51,"GIRL",$J$7:$J$51,"GEN",AA7:AA51,"&gt;=48",AA7:AA51,"&lt;60")</f>
        <v>0</v>
      </c>
      <c r="S65" s="201">
        <f>COUNTIFS($I$7:$I$51,"GIRL",$J$7:$J$51,"OBC",AA7:AA51,"&gt;=48",AA7:AA51,"&lt;60")</f>
        <v>0</v>
      </c>
      <c r="T65" s="201">
        <f>COUNTIFS($I$7:$I$51,"GIRL",$J$7:$J$51,"SC",AA7:AA51,"&gt;=48",AA7:AA51,"&lt;60")</f>
        <v>0</v>
      </c>
      <c r="U65" s="201">
        <f>COUNTIFS($I$7:$I$51,"GIRL",$J$7:$J$51,"ST",AA7:AA51,"&gt;=48",AA7:AA51,"&lt;60")</f>
        <v>0</v>
      </c>
      <c r="V65" s="202">
        <f t="shared" ref="V65:V68" si="244">SUM(R65:U65)</f>
        <v>0</v>
      </c>
      <c r="W65" s="207">
        <f t="shared" ref="W65:W66" si="245">SUM(Q65,V65)</f>
        <v>0</v>
      </c>
      <c r="X65" s="906" t="s">
        <v>57</v>
      </c>
      <c r="Y65" s="906"/>
      <c r="Z65" s="906"/>
      <c r="AA65" s="906"/>
      <c r="AB65" s="906">
        <f>SUM(AB57:AB64)</f>
        <v>2</v>
      </c>
      <c r="AC65" s="904"/>
      <c r="AD65" s="118"/>
      <c r="AE65" s="119"/>
      <c r="AF65" s="118"/>
      <c r="AG65" s="159"/>
      <c r="AH65" s="159" t="s">
        <v>195</v>
      </c>
      <c r="AI65" s="201">
        <f>COUNTIFS($I$7:$I$51,$AI$63,$J$7:$J$51,AI$53,$AG$7:$AG$51,$AT$56,$AW$7:$AW$51,"&gt;=48",$AW$7:$AW$51,"&lt;60")</f>
        <v>0</v>
      </c>
      <c r="AJ65" s="201">
        <f t="shared" ref="AJ65:AL65" si="246">COUNTIFS($I$7:$I$51,$AI$63,$J$7:$J$51,AJ$53,$AG$7:$AG$51,$AT$56,$AW$7:$AW$51,"&gt;=48",$AW$7:$AW$51,"&lt;60")</f>
        <v>0</v>
      </c>
      <c r="AK65" s="201">
        <f t="shared" si="246"/>
        <v>0</v>
      </c>
      <c r="AL65" s="201">
        <f t="shared" si="246"/>
        <v>0</v>
      </c>
      <c r="AM65" s="202">
        <f t="shared" ref="AM65:AM68" si="247">SUM(AI65:AL65)</f>
        <v>0</v>
      </c>
      <c r="AN65" s="201">
        <f>COUNTIFS($I$7:$I$51,$AN$63,$J$7:$J$51,AN$53,$AG$7:$AG$51,$AT$56,$AW$7:$AW$51,"&gt;=48",$AW$7:$AW$51,"&lt;60")</f>
        <v>0</v>
      </c>
      <c r="AO65" s="201">
        <f t="shared" ref="AO65:AQ65" si="248">COUNTIFS($I$7:$I$51,$AN$63,$J$7:$J$51,AO$53,$AG$7:$AG$51,$AT$56,$AW$7:$AW$51,"&gt;=48",$AW$7:$AW$51,"&lt;60")</f>
        <v>0</v>
      </c>
      <c r="AP65" s="201">
        <f t="shared" si="248"/>
        <v>0</v>
      </c>
      <c r="AQ65" s="201">
        <f t="shared" si="248"/>
        <v>0</v>
      </c>
      <c r="AR65" s="202">
        <f t="shared" ref="AR65:AR68" si="249">SUM(AN65:AQ65)</f>
        <v>0</v>
      </c>
      <c r="AS65" s="207">
        <f t="shared" ref="AS65:AS69" si="250">SUM(AM65,AR65)</f>
        <v>0</v>
      </c>
      <c r="AT65" s="906" t="s">
        <v>57</v>
      </c>
      <c r="AU65" s="906"/>
      <c r="AV65" s="906"/>
      <c r="AW65" s="906"/>
      <c r="AX65" s="906">
        <f>SUM(AX57:AX64)</f>
        <v>1</v>
      </c>
      <c r="AY65" s="904"/>
      <c r="AZ65" s="118"/>
      <c r="BA65" s="119"/>
      <c r="BB65" s="118"/>
      <c r="BC65" s="159" t="s">
        <v>195</v>
      </c>
      <c r="BD65" s="201">
        <f>COUNTIFS($I$7:$I$51,"BOY",$J$7:$J$51,"GEN",BR7:BR51,"&gt;=48",BR7:BR51,"&lt;60")</f>
        <v>0</v>
      </c>
      <c r="BE65" s="201">
        <f>COUNTIFS($I$7:$I$51,"BOY",$J$7:$J$51,"OBC",BR7:BR51,"&gt;=48",BR7:BR51,"&lt;60")</f>
        <v>0</v>
      </c>
      <c r="BF65" s="201">
        <f>COUNTIFS($I$7:$I$51,"BOY",$J$7:$J$51,"SC",BR7:BR51,"&gt;=48",BR7:BR51,"&lt;60")</f>
        <v>0</v>
      </c>
      <c r="BG65" s="201">
        <f>COUNTIFS($I$7:$I$51,"BOY",$J$7:$J$51,"ST",BR7:BR51,"&gt;=48",BR7:BR51,"&lt;60")</f>
        <v>0</v>
      </c>
      <c r="BH65" s="202">
        <f t="shared" ref="BH65:BH68" si="251">SUM(BD65:BG65)</f>
        <v>0</v>
      </c>
      <c r="BI65" s="201">
        <f>COUNTIFS($I$7:$I$51,"GIRL",$J$7:$J$51,"GEN",BR7:BR51,"&gt;=48",BR7:BR51,"&lt;60")</f>
        <v>0</v>
      </c>
      <c r="BJ65" s="201">
        <f>COUNTIFS($I$7:$I$51,"GIRL",$J$7:$J$51,"OBC",BR7:BR51,"&gt;=48",BR7:BR51,"&lt;60")</f>
        <v>0</v>
      </c>
      <c r="BK65" s="201">
        <f>COUNTIFS($I$7:$I$51,"GIRL",$J$7:$J$51,"SC",BR7:BR51,"&gt;=48",BR7:BR51,"&lt;60")</f>
        <v>0</v>
      </c>
      <c r="BL65" s="201">
        <f>COUNTIFS($I$7:$I$51,"GIRL",$J$7:$J$51,"ST",BR7:BR51,"&gt;=48",BR7:BR51,"&lt;60")</f>
        <v>0</v>
      </c>
      <c r="BM65" s="202">
        <f t="shared" ref="BM65:BM68" si="252">SUM(BI65:BL65)</f>
        <v>0</v>
      </c>
      <c r="BN65" s="207">
        <f t="shared" ref="BN65:BN69" si="253">SUM(BH65,BM65)</f>
        <v>0</v>
      </c>
      <c r="BO65" s="906" t="s">
        <v>57</v>
      </c>
      <c r="BP65" s="906"/>
      <c r="BQ65" s="906"/>
      <c r="BR65" s="906"/>
      <c r="BS65" s="906">
        <f>SUM(BS57:BS64)</f>
        <v>2</v>
      </c>
      <c r="BT65" s="904"/>
      <c r="BU65" s="118"/>
      <c r="BV65" s="119"/>
      <c r="BW65" s="118"/>
      <c r="BX65" s="159" t="s">
        <v>195</v>
      </c>
      <c r="BY65" s="201">
        <f>COUNTIFS($I$7:$I$51,"BOY",$J$7:$J$51,"GEN",CM7:CM51,"&gt;=48",CM7:CM51,"&lt;60")</f>
        <v>0</v>
      </c>
      <c r="BZ65" s="201">
        <f>COUNTIFS($I$7:$I$51,"BOY",$J$7:$J$51,"OBC",CM7:CM51,"&gt;=48",CM7:CM51,"&lt;60")</f>
        <v>0</v>
      </c>
      <c r="CA65" s="201">
        <f>COUNTIFS($I$7:$I$51,"BOY",$J$7:$J$51,"SC",CM7:CM51,"&gt;=48",CM7:CM51,"&lt;60")</f>
        <v>0</v>
      </c>
      <c r="CB65" s="201">
        <f>COUNTIFS($I$7:$I$51,"BOY",$J$7:$J$51,"ST",CM7:CM51,"&gt;=48",CM7:CM51,"&lt;60")</f>
        <v>0</v>
      </c>
      <c r="CC65" s="202">
        <f t="shared" ref="CC65:CC68" si="254">SUM(BY65:CB65)</f>
        <v>0</v>
      </c>
      <c r="CD65" s="201">
        <f>COUNTIFS($I$7:$I$51,"GIRL",$J$7:$J$51,"GEN",CM7:CM51,"&gt;=48",CM7:CM51,"&lt;60")</f>
        <v>0</v>
      </c>
      <c r="CE65" s="201">
        <f>COUNTIFS($I$7:$I$51,"GIRL",$J$7:$J$51,"OBC",CM7:CM51,"&gt;=48",CM7:CM51,"&lt;60")</f>
        <v>0</v>
      </c>
      <c r="CF65" s="201">
        <f>COUNTIFS($I$7:$I$51,"GIRL",$J$7:$J$51,"SC",CM7:CM51,"&gt;=48",CM7:CM51,"&lt;60")</f>
        <v>0</v>
      </c>
      <c r="CG65" s="201">
        <f>COUNTIFS($I$7:$I$51,"GIRL",$J$7:$J$51,"ST",CM7:CM51,"&gt;=48",CM7:CM51,"&lt;60")</f>
        <v>0</v>
      </c>
      <c r="CH65" s="202">
        <f t="shared" ref="CH65:CH68" si="255">SUM(CD65:CG65)</f>
        <v>0</v>
      </c>
      <c r="CI65" s="207">
        <f t="shared" ref="CI65:CI69" si="256">SUM(CC65,CH65)</f>
        <v>0</v>
      </c>
      <c r="CJ65" s="906" t="s">
        <v>57</v>
      </c>
      <c r="CK65" s="906"/>
      <c r="CL65" s="906"/>
      <c r="CM65" s="906"/>
      <c r="CN65" s="906">
        <f>SUM(CN57:CN64)</f>
        <v>2</v>
      </c>
      <c r="CO65" s="904"/>
      <c r="CP65" s="118"/>
      <c r="CQ65" s="119"/>
      <c r="CR65" s="118"/>
      <c r="CS65" s="159" t="s">
        <v>195</v>
      </c>
      <c r="CT65" s="201">
        <f>COUNTIFS($I$7:$I$51,"BOY",$J$7:$J$51,"GEN",DH7:DH51,"&gt;=48",DH7:DH51,"&lt;60")</f>
        <v>0</v>
      </c>
      <c r="CU65" s="201">
        <f>COUNTIFS($I$7:$I$51,"BOY",$J$7:$J$51,"OBC",DH7:DH51,"&gt;=48",DH7:DH51,"&lt;60")</f>
        <v>0</v>
      </c>
      <c r="CV65" s="201">
        <f>COUNTIFS($I$7:$I$51,"BOY",$J$7:$J$51,"SC",DH7:DH51,"&gt;=48",DH7:DH51,"&lt;60")</f>
        <v>0</v>
      </c>
      <c r="CW65" s="201">
        <f>COUNTIFS($I$7:$I$51,"BOY",$J$7:$J$51,"ST",DH7:DH51,"&gt;=48",DH7:DH51,"&lt;60")</f>
        <v>0</v>
      </c>
      <c r="CX65" s="202">
        <f t="shared" ref="CX65:CX68" si="257">SUM(CT65:CW65)</f>
        <v>0</v>
      </c>
      <c r="CY65" s="201">
        <f>COUNTIFS($I$7:$I$51,"GIRL",$J$7:$J$51,"GEN",DH7:DH51,"&gt;=48",DH7:DH51,"&lt;60")</f>
        <v>0</v>
      </c>
      <c r="CZ65" s="201">
        <f>COUNTIFS($I$7:$I$51,"GIRL",$J$7:$J$51,"OBC",DH7:DH51,"&gt;=48",DH7:DH51,"&lt;60")</f>
        <v>0</v>
      </c>
      <c r="DA65" s="201">
        <f>COUNTIFS($I$7:$I$51,"GIRL",$J$7:$J$51,"SC",DH7:DH51,"&gt;=48",DH7:DH51,"&lt;60")</f>
        <v>0</v>
      </c>
      <c r="DB65" s="201">
        <f>COUNTIFS($I$7:$I$51,"GIRL",$J$7:$J$51,"ST",DH7:DH51,"&gt;=48",DH7:DH51,"&lt;60")</f>
        <v>0</v>
      </c>
      <c r="DC65" s="202">
        <f t="shared" ref="DC65:DC68" si="258">SUM(CY65:DB65)</f>
        <v>0</v>
      </c>
      <c r="DD65" s="207">
        <f t="shared" ref="DD65:DD69" si="259">SUM(CX65,DC65)</f>
        <v>0</v>
      </c>
      <c r="DE65" s="906" t="s">
        <v>57</v>
      </c>
      <c r="DF65" s="906"/>
      <c r="DG65" s="906"/>
      <c r="DH65" s="906"/>
      <c r="DI65" s="906">
        <f>SUM(DI57:DI64)</f>
        <v>2</v>
      </c>
      <c r="DJ65" s="904"/>
      <c r="DK65" s="118"/>
      <c r="DL65" s="119"/>
      <c r="DM65" s="118"/>
      <c r="DN65" s="118"/>
      <c r="DO65" s="118"/>
      <c r="DP65" s="906" t="s">
        <v>57</v>
      </c>
      <c r="DQ65" s="906"/>
      <c r="DR65" s="906"/>
      <c r="DS65" s="906"/>
      <c r="DT65" s="906">
        <f>SUM(DT57:DT64)</f>
        <v>1</v>
      </c>
      <c r="DU65" s="904"/>
      <c r="DV65" s="118"/>
      <c r="DW65" s="99"/>
      <c r="DX65" s="132"/>
      <c r="DY65" s="209"/>
      <c r="DZ65" s="122"/>
      <c r="EA65" s="122"/>
      <c r="EB65" s="122"/>
      <c r="EC65" s="122"/>
      <c r="ED65" s="104"/>
      <c r="EE65" s="104"/>
      <c r="EF65" s="104"/>
      <c r="EG65" s="104"/>
      <c r="EH65" s="104"/>
      <c r="EI65" s="104"/>
      <c r="EJ65" s="105"/>
      <c r="EK65" s="105"/>
      <c r="EL65" s="105"/>
      <c r="EM65" s="105"/>
      <c r="EN65" s="105"/>
      <c r="EO65" s="105"/>
      <c r="EP65" s="106"/>
      <c r="EQ65" s="106"/>
      <c r="ER65" s="106"/>
      <c r="ES65" s="106"/>
      <c r="ET65" s="106"/>
      <c r="EU65" s="106"/>
      <c r="EV65" s="92"/>
      <c r="EW65" s="92"/>
      <c r="EX65" s="92"/>
      <c r="EY65" s="92"/>
      <c r="EZ65" s="92"/>
      <c r="FA65" s="92"/>
      <c r="FB65" s="93"/>
      <c r="FC65" s="93"/>
      <c r="FD65" s="93"/>
      <c r="FE65" s="93"/>
      <c r="FF65" s="93"/>
      <c r="FG65" s="93"/>
      <c r="FH65" s="107"/>
      <c r="FI65" s="107"/>
      <c r="FJ65" s="943"/>
      <c r="FK65" s="944"/>
      <c r="FL65" s="944"/>
      <c r="FM65" s="952"/>
      <c r="FN65" s="948"/>
      <c r="FO65" s="949"/>
      <c r="FP65" s="949"/>
      <c r="FQ65" s="950"/>
      <c r="FR65" s="948"/>
      <c r="FS65" s="949"/>
      <c r="FT65" s="949"/>
      <c r="FU65" s="950"/>
      <c r="FV65" s="937"/>
      <c r="FW65" s="937"/>
      <c r="FX65" s="937"/>
      <c r="FY65" s="937"/>
      <c r="FZ65" s="937"/>
      <c r="GA65" s="937"/>
      <c r="GB65" s="937"/>
      <c r="GC65" s="940"/>
      <c r="GD65" s="60"/>
    </row>
    <row r="66" spans="1:186" ht="15" customHeight="1" x14ac:dyDescent="0.25">
      <c r="A66" s="60"/>
      <c r="B66" s="577"/>
      <c r="C66" s="577"/>
      <c r="D66" s="577"/>
      <c r="E66" s="578"/>
      <c r="F66" s="578"/>
      <c r="G66" s="578"/>
      <c r="H66" s="578"/>
      <c r="I66" s="578"/>
      <c r="J66" s="578"/>
      <c r="K66" s="578"/>
      <c r="L66" s="571" t="s">
        <v>196</v>
      </c>
      <c r="M66" s="201">
        <f>COUNTIFS($I$7:$I$51,"BOY",$J$7:$J$51,"GEN",AA7:AA51,"&gt;=33",AA7:AA51,"&lt;48")</f>
        <v>0</v>
      </c>
      <c r="N66" s="201">
        <f>COUNTIFS($I$7:$I$51,"BOY",$J$7:$J$51,"OBC",AA7:AA51,"&gt;=33",AA7:AA51,"&lt;48")</f>
        <v>0</v>
      </c>
      <c r="O66" s="201">
        <f>COUNTIFS($I$7:$I$51,"BOY",$J$7:$J$51,"SC",AA7:AA51,"&gt;=33",AA7:AA51,"&lt;48")</f>
        <v>0</v>
      </c>
      <c r="P66" s="201">
        <f>COUNTIFS($I$7:$I$51,"BOY",$J$7:$J$51,"ST",AA7:AA51,"&gt;=33",AA7:AA51,"&lt;48")</f>
        <v>0</v>
      </c>
      <c r="Q66" s="202">
        <f t="shared" si="243"/>
        <v>0</v>
      </c>
      <c r="R66" s="201">
        <f>COUNTIFS($I$7:$I$51,"GIRL",$J$7:$J$51,"GEN",AA7:AA51,"&gt;=33",AA7:AA51,"&lt;48")</f>
        <v>0</v>
      </c>
      <c r="S66" s="201">
        <f>COUNTIFS($I$7:$I$51,"GIRL",$J$7:$J$51,"OBC",AA7:AA51,"&gt;=33",AA7:AA51,"&lt;48")</f>
        <v>0</v>
      </c>
      <c r="T66" s="201">
        <f>COUNTIFS($I$7:$I$51,"GIRL",$J$7:$J$51,"SC",AA7:AA51,"&gt;=33",AA7:AA51,"&lt;48")</f>
        <v>0</v>
      </c>
      <c r="U66" s="201">
        <f>COUNTIFS($I$7:$I$51,"GIRL",$J$7:$J$51,"ST",AA7:AA51,"&gt;=33",AA7:AA51,"&lt;48")</f>
        <v>0</v>
      </c>
      <c r="V66" s="202">
        <f t="shared" si="244"/>
        <v>0</v>
      </c>
      <c r="W66" s="207">
        <f t="shared" si="245"/>
        <v>0</v>
      </c>
      <c r="X66" s="905" t="s">
        <v>70</v>
      </c>
      <c r="Y66" s="905"/>
      <c r="Z66" s="905"/>
      <c r="AA66" s="905"/>
      <c r="AB66" s="905">
        <f>COUNTIFS(AA7:AA51,"&gt;=60")</f>
        <v>2</v>
      </c>
      <c r="AC66" s="904"/>
      <c r="AD66" s="118"/>
      <c r="AE66" s="119"/>
      <c r="AF66" s="118"/>
      <c r="AG66" s="159"/>
      <c r="AH66" s="159" t="s">
        <v>196</v>
      </c>
      <c r="AI66" s="201">
        <f>COUNTIFS($I$7:$I$51,$AI$63,$J$7:$J$51,AI$53,$AG$7:$AG$51,$AT$56,$AW$7:$AW$51,"&gt;=33",$AW$7:$AW$51,"&lt;48")</f>
        <v>0</v>
      </c>
      <c r="AJ66" s="201">
        <f t="shared" ref="AJ66:AL66" si="260">COUNTIFS($I$7:$I$51,$AI$63,$J$7:$J$51,AJ$53,$AG$7:$AG$51,$AT$56,$AW$7:$AW$51,"&gt;=33",$AW$7:$AW$51,"&lt;48")</f>
        <v>0</v>
      </c>
      <c r="AK66" s="201">
        <f t="shared" si="260"/>
        <v>0</v>
      </c>
      <c r="AL66" s="201">
        <f t="shared" si="260"/>
        <v>0</v>
      </c>
      <c r="AM66" s="202">
        <f t="shared" si="247"/>
        <v>0</v>
      </c>
      <c r="AN66" s="201">
        <f>COUNTIFS($I$7:$I$51,$AN$63,$J$7:$J$51,AN$53,$AG$7:$AG$51,$AT$56,$AW$7:$AW$51,"&gt;=33",$AW$7:$AW$51,"&lt;48")</f>
        <v>0</v>
      </c>
      <c r="AO66" s="201">
        <f t="shared" ref="AO66:AQ66" si="261">COUNTIFS($I$7:$I$51,$AN$63,$J$7:$J$51,AO$53,$AG$7:$AG$51,$AT$56,$AW$7:$AW$51,"&gt;=33",$AW$7:$AW$51,"&lt;48")</f>
        <v>1</v>
      </c>
      <c r="AP66" s="201">
        <f t="shared" si="261"/>
        <v>0</v>
      </c>
      <c r="AQ66" s="201">
        <f t="shared" si="261"/>
        <v>0</v>
      </c>
      <c r="AR66" s="202">
        <f t="shared" si="249"/>
        <v>1</v>
      </c>
      <c r="AS66" s="207">
        <f t="shared" si="250"/>
        <v>1</v>
      </c>
      <c r="AT66" s="905" t="s">
        <v>70</v>
      </c>
      <c r="AU66" s="905"/>
      <c r="AV66" s="905"/>
      <c r="AW66" s="905"/>
      <c r="AX66" s="905">
        <f>COUNTIFS(AW7:AW51,"&gt;=60",AG7:AG51,AT56)</f>
        <v>0</v>
      </c>
      <c r="AY66" s="904"/>
      <c r="AZ66" s="118"/>
      <c r="BA66" s="119"/>
      <c r="BB66" s="118"/>
      <c r="BC66" s="159" t="s">
        <v>196</v>
      </c>
      <c r="BD66" s="201">
        <f>COUNTIFS($I$7:$I$51,"BOY",$J$7:$J$51,"GEN",BR7:BR51,"&gt;=33",BR7:BR51,"&lt;48")</f>
        <v>0</v>
      </c>
      <c r="BE66" s="201">
        <f>COUNTIFS($I$7:$I$51,"BOY",$J$7:$J$51,"OBC",BR7:BR51,"&gt;=33",BR7:BR51,"&lt;48")</f>
        <v>0</v>
      </c>
      <c r="BF66" s="201">
        <f>COUNTIFS($I$7:$I$51,"BOY",$J$7:$J$51,"SC",BR7:BR51,"&gt;=33",BR7:BR51,"&lt;48")</f>
        <v>0</v>
      </c>
      <c r="BG66" s="201">
        <f>COUNTIFS($I$7:$I$51,"BOY",$J$7:$J$51,"ST",BR7:BR51,"&gt;=33",BR7:BR51,"&lt;48")</f>
        <v>0</v>
      </c>
      <c r="BH66" s="202">
        <f t="shared" si="251"/>
        <v>0</v>
      </c>
      <c r="BI66" s="201">
        <f>COUNTIFS($I$7:$I$51,"GIRL",$J$7:$J$51,"GEN",BR7:BR51,"&gt;=33",BR7:BR51,"&lt;48")</f>
        <v>0</v>
      </c>
      <c r="BJ66" s="201">
        <f>COUNTIFS($I$7:$I$51,"GIRL",$J$7:$J$51,"OBC",BR7:BR51,"&gt;=33",BR7:BR51,"&lt;48")</f>
        <v>0</v>
      </c>
      <c r="BK66" s="201">
        <f>COUNTIFS($I$7:$I$51,"GIRL",$J$7:$J$51,"SC",BR7:BR51,"&gt;=33",BR7:BR51,"&lt;48")</f>
        <v>0</v>
      </c>
      <c r="BL66" s="201">
        <f>COUNTIFS($I$7:$I$51,"GIRL",$J$7:$J$51,"ST",BR7:BR51,"&gt;=33",BR7:BR51,"&lt;48")</f>
        <v>0</v>
      </c>
      <c r="BM66" s="202">
        <f t="shared" si="252"/>
        <v>0</v>
      </c>
      <c r="BN66" s="207">
        <f t="shared" si="253"/>
        <v>0</v>
      </c>
      <c r="BO66" s="905" t="s">
        <v>70</v>
      </c>
      <c r="BP66" s="905"/>
      <c r="BQ66" s="905"/>
      <c r="BR66" s="905"/>
      <c r="BS66" s="905">
        <f>COUNTIFS(BR7:BR51,"&gt;=60")</f>
        <v>2</v>
      </c>
      <c r="BT66" s="904"/>
      <c r="BU66" s="118"/>
      <c r="BV66" s="119"/>
      <c r="BW66" s="118"/>
      <c r="BX66" s="159" t="s">
        <v>196</v>
      </c>
      <c r="BY66" s="201">
        <f>COUNTIFS($I$7:$I$51,"BOY",$J$7:$J$51,"GEN",CM7:CM51,"&gt;=33",CM7:CM51,"&lt;48")</f>
        <v>1</v>
      </c>
      <c r="BZ66" s="201">
        <f>COUNTIFS($I$7:$I$51,"BOY",$J$7:$J$51,"OBC",CM7:CM51,"&gt;=33",CM7:CM51,"&lt;48")</f>
        <v>0</v>
      </c>
      <c r="CA66" s="201">
        <f>COUNTIFS($I$7:$I$51,"BOY",$J$7:$J$51,"SC",CM7:CM51,"&gt;=33",CM7:CM51,"&lt;48")</f>
        <v>0</v>
      </c>
      <c r="CB66" s="201">
        <f>COUNTIFS($I$7:$I$51,"BOY",$J$7:$J$51,"ST",CM7:CM51,"&gt;=33",CM7:CM51,"&lt;48")</f>
        <v>0</v>
      </c>
      <c r="CC66" s="202">
        <f t="shared" si="254"/>
        <v>1</v>
      </c>
      <c r="CD66" s="201">
        <f>COUNTIFS($I$7:$I$51,"GIRL",$J$7:$J$51,"GEN",CM7:CM51,"&gt;=33",CM7:CM51,"&lt;48")</f>
        <v>0</v>
      </c>
      <c r="CE66" s="201">
        <f>COUNTIFS($I$7:$I$51,"GIRL",$J$7:$J$51,"OBC",CM7:CM51,"&gt;=33",CM7:CM51,"&lt;48")</f>
        <v>0</v>
      </c>
      <c r="CF66" s="201">
        <f>COUNTIFS($I$7:$I$51,"GIRL",$J$7:$J$51,"SC",CM7:CM51,"&gt;=33",CM7:CM51,"&lt;48")</f>
        <v>0</v>
      </c>
      <c r="CG66" s="201">
        <f>COUNTIFS($I$7:$I$51,"GIRL",$J$7:$J$51,"ST",CM7:CM51,"&gt;=33",CM7:CM51,"&lt;48")</f>
        <v>0</v>
      </c>
      <c r="CH66" s="202">
        <f t="shared" si="255"/>
        <v>0</v>
      </c>
      <c r="CI66" s="207">
        <f t="shared" si="256"/>
        <v>1</v>
      </c>
      <c r="CJ66" s="905" t="s">
        <v>70</v>
      </c>
      <c r="CK66" s="905"/>
      <c r="CL66" s="905"/>
      <c r="CM66" s="905"/>
      <c r="CN66" s="905">
        <f>COUNTIFS(CM7:CM51,"&gt;=60")</f>
        <v>0</v>
      </c>
      <c r="CO66" s="904"/>
      <c r="CP66" s="118"/>
      <c r="CQ66" s="119"/>
      <c r="CR66" s="118"/>
      <c r="CS66" s="159" t="s">
        <v>196</v>
      </c>
      <c r="CT66" s="201">
        <f>COUNTIFS($I$7:$I$51,"BOY",$J$7:$J$51,"GEN",DH7:DH51,"&gt;=33",DH7:DH51,"&lt;48")</f>
        <v>0</v>
      </c>
      <c r="CU66" s="201">
        <f>COUNTIFS($I$7:$I$51,"BOY",$J$7:$J$51,"OBC",DH7:DH51,"&gt;=33",DH7:DH51,"&lt;48")</f>
        <v>0</v>
      </c>
      <c r="CV66" s="201">
        <f>COUNTIFS($I$7:$I$51,"BOY",$J$7:$J$51,"SC",DH7:DH51,"&gt;=33",DH7:DH51,"&lt;48")</f>
        <v>0</v>
      </c>
      <c r="CW66" s="201">
        <f>COUNTIFS($I$7:$I$51,"BOY",$J$7:$J$51,"ST",DH7:DH51,"&gt;=33",DH7:DH51,"&lt;48")</f>
        <v>0</v>
      </c>
      <c r="CX66" s="202">
        <f t="shared" si="257"/>
        <v>0</v>
      </c>
      <c r="CY66" s="201">
        <f>COUNTIFS($I$7:$I$51,"GIRL",$J$7:$J$51,"GEN",DH7:DH51,"&gt;=33",DH7:DH51,"&lt;48")</f>
        <v>0</v>
      </c>
      <c r="CZ66" s="201">
        <f>COUNTIFS($I$7:$I$51,"GIRL",$J$7:$J$51,"OBC",DH7:DH51,"&gt;=33",DH7:DH51,"&lt;48")</f>
        <v>0</v>
      </c>
      <c r="DA66" s="201">
        <f>COUNTIFS($I$7:$I$51,"GIRL",$J$7:$J$51,"SC",DH7:DH51,"&gt;=33",DH7:DH51,"&lt;48")</f>
        <v>0</v>
      </c>
      <c r="DB66" s="201">
        <f>COUNTIFS($I$7:$I$51,"GIRL",$J$7:$J$51,"ST",DH7:DH51,"&gt;=33",DH7:DH51,"&lt;48")</f>
        <v>0</v>
      </c>
      <c r="DC66" s="202">
        <f t="shared" si="258"/>
        <v>0</v>
      </c>
      <c r="DD66" s="207">
        <f t="shared" si="259"/>
        <v>0</v>
      </c>
      <c r="DE66" s="905" t="s">
        <v>70</v>
      </c>
      <c r="DF66" s="905"/>
      <c r="DG66" s="905"/>
      <c r="DH66" s="905"/>
      <c r="DI66" s="905">
        <f>COUNTIFS(DH7:DH51,"&gt;=60")</f>
        <v>1</v>
      </c>
      <c r="DJ66" s="904"/>
      <c r="DK66" s="118"/>
      <c r="DL66" s="119"/>
      <c r="DM66" s="118"/>
      <c r="DN66" s="118"/>
      <c r="DO66" s="118"/>
      <c r="DP66" s="905" t="s">
        <v>70</v>
      </c>
      <c r="DQ66" s="905"/>
      <c r="DR66" s="905"/>
      <c r="DS66" s="905"/>
      <c r="DT66" s="905">
        <f>COUNTIFS(DR7:DR51,"&gt;=60",$DO$7:$DO$51,$DP$56)</f>
        <v>0</v>
      </c>
      <c r="DU66" s="904"/>
      <c r="DV66" s="118"/>
      <c r="DW66" s="99"/>
      <c r="DX66" s="132"/>
      <c r="DY66" s="209"/>
      <c r="DZ66" s="122"/>
      <c r="EA66" s="122"/>
      <c r="EB66" s="122"/>
      <c r="EC66" s="122"/>
      <c r="ED66" s="104"/>
      <c r="EE66" s="104"/>
      <c r="EF66" s="104"/>
      <c r="EG66" s="104"/>
      <c r="EH66" s="104"/>
      <c r="EI66" s="104"/>
      <c r="EJ66" s="105"/>
      <c r="EK66" s="105"/>
      <c r="EL66" s="105"/>
      <c r="EM66" s="105"/>
      <c r="EN66" s="105"/>
      <c r="EO66" s="105"/>
      <c r="EP66" s="106"/>
      <c r="EQ66" s="106"/>
      <c r="ER66" s="106"/>
      <c r="ES66" s="106"/>
      <c r="ET66" s="106"/>
      <c r="EU66" s="106"/>
      <c r="EV66" s="92"/>
      <c r="EW66" s="92"/>
      <c r="EX66" s="92"/>
      <c r="EY66" s="92"/>
      <c r="EZ66" s="92"/>
      <c r="FA66" s="92"/>
      <c r="FB66" s="93"/>
      <c r="FC66" s="93"/>
      <c r="FD66" s="93"/>
      <c r="FE66" s="93"/>
      <c r="FF66" s="93"/>
      <c r="FG66" s="93"/>
      <c r="FH66" s="107"/>
      <c r="FI66" s="107"/>
      <c r="FJ66" s="943"/>
      <c r="FK66" s="944"/>
      <c r="FL66" s="944"/>
      <c r="FM66" s="952"/>
      <c r="FN66" s="948"/>
      <c r="FO66" s="949"/>
      <c r="FP66" s="949"/>
      <c r="FQ66" s="950"/>
      <c r="FR66" s="948"/>
      <c r="FS66" s="949"/>
      <c r="FT66" s="949"/>
      <c r="FU66" s="950"/>
      <c r="FV66" s="937"/>
      <c r="FW66" s="937"/>
      <c r="FX66" s="937"/>
      <c r="FY66" s="937"/>
      <c r="FZ66" s="937"/>
      <c r="GA66" s="937"/>
      <c r="GB66" s="937"/>
      <c r="GC66" s="940"/>
      <c r="GD66" s="60"/>
    </row>
    <row r="67" spans="1:186" ht="15" customHeight="1" x14ac:dyDescent="0.25">
      <c r="A67" s="60"/>
      <c r="B67" s="577"/>
      <c r="C67" s="577"/>
      <c r="D67" s="577"/>
      <c r="E67" s="578"/>
      <c r="F67" s="578"/>
      <c r="G67" s="578"/>
      <c r="H67" s="578"/>
      <c r="I67" s="578"/>
      <c r="J67" s="578"/>
      <c r="K67" s="578"/>
      <c r="L67" s="571" t="s">
        <v>73</v>
      </c>
      <c r="M67" s="201">
        <f>COUNTIFS($I$7:$I$51,"BOY",$J$7:$J$51,"GEN",AA7:AA51,"&lt;33")</f>
        <v>0</v>
      </c>
      <c r="N67" s="201">
        <f>COUNTIFS($I$7:$I$51,"BOY",$J$7:$J$51,"OBC",AA7:AA51,"&lt;33")</f>
        <v>0</v>
      </c>
      <c r="O67" s="201">
        <f>COUNTIFS($I$7:$I$51,"BOY",$J$7:$J$51,"SC",AA7:AA51,"&lt;33")</f>
        <v>0</v>
      </c>
      <c r="P67" s="201">
        <f>COUNTIFS($I$7:$I$51,"BOY",$J$7:$J$51,"ST",AA7:AA51,"&lt;33")</f>
        <v>0</v>
      </c>
      <c r="Q67" s="202">
        <f t="shared" si="243"/>
        <v>0</v>
      </c>
      <c r="R67" s="201">
        <f>COUNTIFS($I$7:$I$51,"GIRL",$J$7:$J$51,"GEN",AA7:AA51,"&lt;33")</f>
        <v>0</v>
      </c>
      <c r="S67" s="201">
        <f>COUNTIFS($I$7:$I$51,"GIRL",$J$7:$J$51,"OBC",AA7:AA51,"&lt;33")</f>
        <v>0</v>
      </c>
      <c r="T67" s="201">
        <f>COUNTIFS($I$7:$I$51,"GIRL",$J$7:$J$51,"SC",AA7:AA51,"&lt;33")</f>
        <v>0</v>
      </c>
      <c r="U67" s="201">
        <f>COUNTIFS($I$7:$I$51,"GIRL",$J$7:$J$51,"ST",AA7:AA51,"&lt;33")</f>
        <v>0</v>
      </c>
      <c r="V67" s="202">
        <f t="shared" si="244"/>
        <v>0</v>
      </c>
      <c r="W67" s="207">
        <f>SUM(Q34,V34)</f>
        <v>0</v>
      </c>
      <c r="X67" s="905" t="s">
        <v>71</v>
      </c>
      <c r="Y67" s="905"/>
      <c r="Z67" s="905"/>
      <c r="AA67" s="905"/>
      <c r="AB67" s="905">
        <f>COUNTIFS(AA7:AA51,"&gt;=48",AA7:AA51,"&lt;60")</f>
        <v>0</v>
      </c>
      <c r="AC67" s="904"/>
      <c r="AD67" s="118"/>
      <c r="AE67" s="119"/>
      <c r="AF67" s="118"/>
      <c r="AG67" s="159"/>
      <c r="AH67" s="159" t="s">
        <v>73</v>
      </c>
      <c r="AI67" s="201">
        <f>COUNTIFS($I$7:$I$51,$AI$63,$J$7:$J$51,AI$53,$AG$7:$AG$51,$AT$56,$AW$7:$AW$51,"&lt;33")</f>
        <v>0</v>
      </c>
      <c r="AJ67" s="201">
        <f t="shared" ref="AJ67:AL67" si="262">COUNTIFS($I$7:$I$51,$AI$63,$J$7:$J$51,AJ$53,$AG$7:$AG$51,$AT$56,$AW$7:$AW$51,"&lt;33")</f>
        <v>0</v>
      </c>
      <c r="AK67" s="201">
        <f t="shared" si="262"/>
        <v>0</v>
      </c>
      <c r="AL67" s="201">
        <f t="shared" si="262"/>
        <v>0</v>
      </c>
      <c r="AM67" s="202">
        <f t="shared" si="247"/>
        <v>0</v>
      </c>
      <c r="AN67" s="201">
        <f>COUNTIFS($I$7:$I$51,$AN$63,$J$7:$J$51,AN$53,$AG$7:$AG$51,$AT$56,$AW$7:$AW$51,"&lt;33")</f>
        <v>0</v>
      </c>
      <c r="AO67" s="201">
        <f t="shared" ref="AO67:AQ67" si="263">COUNTIFS($I$7:$I$51,$AN$63,$J$7:$J$51,AO$53,$AG$7:$AG$51,$AT$56,$AW$7:$AW$51,"&lt;33")</f>
        <v>0</v>
      </c>
      <c r="AP67" s="201">
        <f t="shared" si="263"/>
        <v>0</v>
      </c>
      <c r="AQ67" s="201">
        <f t="shared" si="263"/>
        <v>0</v>
      </c>
      <c r="AR67" s="202">
        <f t="shared" si="249"/>
        <v>0</v>
      </c>
      <c r="AS67" s="207">
        <f t="shared" si="250"/>
        <v>0</v>
      </c>
      <c r="AT67" s="905" t="s">
        <v>71</v>
      </c>
      <c r="AU67" s="905"/>
      <c r="AV67" s="905"/>
      <c r="AW67" s="905"/>
      <c r="AX67" s="905">
        <f>COUNTIFS(AW7:AW51,"&gt;=48",AW7:AW51,"&lt;60",AG7:AG51,AT56)</f>
        <v>0</v>
      </c>
      <c r="AY67" s="904"/>
      <c r="AZ67" s="118"/>
      <c r="BA67" s="119"/>
      <c r="BB67" s="118"/>
      <c r="BC67" s="159" t="s">
        <v>73</v>
      </c>
      <c r="BD67" s="201">
        <f>COUNTIFS($I$7:$I$51,"BOY",$J$7:$J$51,"GEN",BR7:BR51,"&lt;33")</f>
        <v>0</v>
      </c>
      <c r="BE67" s="201">
        <f>COUNTIFS($I$7:$I$51,"BOY",$J$7:$J$51,"OBC",BR7:BR51,"&lt;33")</f>
        <v>0</v>
      </c>
      <c r="BF67" s="201">
        <f>COUNTIFS($I$7:$I$51,"BOY",$J$7:$J$51,"SC",BR7:BR51,"&lt;33")</f>
        <v>0</v>
      </c>
      <c r="BG67" s="201">
        <f>COUNTIFS($I$7:$I$51,"BOY",$J$7:$J$51,"ST",BR7:BR51,"&lt;33")</f>
        <v>0</v>
      </c>
      <c r="BH67" s="202">
        <f t="shared" si="251"/>
        <v>0</v>
      </c>
      <c r="BI67" s="201">
        <f>COUNTIFS($I$7:$I$51,"GIRL",$J$7:$J$51,"GEN",BR7:BR51,"&lt;33")</f>
        <v>0</v>
      </c>
      <c r="BJ67" s="201">
        <f>COUNTIFS($I$7:$I$51,"GIRL",$J$7:$J$51,"OBC",BR7:BR51,"&lt;33")</f>
        <v>0</v>
      </c>
      <c r="BK67" s="201">
        <f>COUNTIFS($I$7:$I$51,"GIRL",$J$7:$J$51,"SC",BR7:BR51,"&lt;33")</f>
        <v>0</v>
      </c>
      <c r="BL67" s="201">
        <f>COUNTIFS($I$7:$I$51,"GIRL",$J$7:$J$51,"ST",BR7:BR51,"&lt;33")</f>
        <v>0</v>
      </c>
      <c r="BM67" s="202">
        <f t="shared" si="252"/>
        <v>0</v>
      </c>
      <c r="BN67" s="207">
        <f t="shared" si="253"/>
        <v>0</v>
      </c>
      <c r="BO67" s="905" t="s">
        <v>71</v>
      </c>
      <c r="BP67" s="905"/>
      <c r="BQ67" s="905"/>
      <c r="BR67" s="905"/>
      <c r="BS67" s="905">
        <f>COUNTIFS(BR7:BR51,"&gt;=48",BR7:BR51,"&lt;60")</f>
        <v>0</v>
      </c>
      <c r="BT67" s="904"/>
      <c r="BU67" s="118"/>
      <c r="BV67" s="119"/>
      <c r="BW67" s="118"/>
      <c r="BX67" s="159" t="s">
        <v>73</v>
      </c>
      <c r="BY67" s="201">
        <f>COUNTIFS($I$7:$I$51,"BOY",$J$7:$J$51,"GEN",CM7:CM51,"&lt;33")</f>
        <v>0</v>
      </c>
      <c r="BZ67" s="201">
        <f>COUNTIFS($I$7:$I$51,"BOY",$J$7:$J$51,"OBC",CM7:CM51,"&lt;33")</f>
        <v>0</v>
      </c>
      <c r="CA67" s="201">
        <f>COUNTIFS($I$7:$I$51,"BOY",$J$7:$J$51,"SC",CM7:CM51,"&lt;33")</f>
        <v>0</v>
      </c>
      <c r="CB67" s="201">
        <f>COUNTIFS($I$7:$I$51,"BOY",$J$7:$J$51,"ST",CM7:CM51,"&lt;33")</f>
        <v>0</v>
      </c>
      <c r="CC67" s="202">
        <f t="shared" si="254"/>
        <v>0</v>
      </c>
      <c r="CD67" s="201">
        <f>COUNTIFS($I$7:$I$51,"GIRL",$J$7:$J$51,"GEN",CM7:CM51,"&lt;33")</f>
        <v>0</v>
      </c>
      <c r="CE67" s="201">
        <f>COUNTIFS($I$7:$I$51,"GIRL",$J$7:$J$51,"OBC",CM7:CM51,"&lt;33")</f>
        <v>1</v>
      </c>
      <c r="CF67" s="201">
        <f>COUNTIFS($I$7:$I$51,"GIRL",$J$7:$J$51,"SC",CM7:CM51,"&lt;33")</f>
        <v>0</v>
      </c>
      <c r="CG67" s="201">
        <f>COUNTIFS($I$7:$I$51,"GIRL",$J$7:$J$51,"ST",CM7:CM51,"&lt;33")</f>
        <v>0</v>
      </c>
      <c r="CH67" s="202">
        <f t="shared" si="255"/>
        <v>1</v>
      </c>
      <c r="CI67" s="207">
        <f t="shared" si="256"/>
        <v>1</v>
      </c>
      <c r="CJ67" s="905" t="s">
        <v>71</v>
      </c>
      <c r="CK67" s="905"/>
      <c r="CL67" s="905"/>
      <c r="CM67" s="905"/>
      <c r="CN67" s="905">
        <f>COUNTIFS(CM7:CM51,"&gt;=48",CM7:CM51,"&lt;60")</f>
        <v>0</v>
      </c>
      <c r="CO67" s="904"/>
      <c r="CP67" s="118"/>
      <c r="CQ67" s="119"/>
      <c r="CR67" s="118"/>
      <c r="CS67" s="159" t="s">
        <v>73</v>
      </c>
      <c r="CT67" s="201">
        <f>COUNTIFS($I$7:$I$51,"BOY",$J$7:$J$51,"GEN",DH7:DH51,"&lt;33")</f>
        <v>1</v>
      </c>
      <c r="CU67" s="201">
        <f>COUNTIFS($I$7:$I$51,"BOY",$J$7:$J$51,"OBC",DH7:DH51,"&lt;33")</f>
        <v>0</v>
      </c>
      <c r="CV67" s="201">
        <f>COUNTIFS($I$7:$I$51,"BOY",$J$7:$J$51,"SC",DH7:DH51,"&lt;33")</f>
        <v>0</v>
      </c>
      <c r="CW67" s="201">
        <f>COUNTIFS($I$7:$I$51,"BOY",$J$7:$J$51,"ST",DH7:DH51,"&lt;33")</f>
        <v>0</v>
      </c>
      <c r="CX67" s="202">
        <f t="shared" si="257"/>
        <v>1</v>
      </c>
      <c r="CY67" s="201">
        <f>COUNTIFS($I$7:$I$51,"GIRL",$J$7:$J$51,"GEN",DH7:DH51,"&lt;33")</f>
        <v>0</v>
      </c>
      <c r="CZ67" s="201">
        <f>COUNTIFS($I$7:$I$51,"GIRL",$J$7:$J$51,"OBC",DH7:DH51,"&lt;33")</f>
        <v>0</v>
      </c>
      <c r="DA67" s="201">
        <f>COUNTIFS($I$7:$I$51,"GIRL",$J$7:$J$51,"SC",DH7:DH51,"&lt;33")</f>
        <v>0</v>
      </c>
      <c r="DB67" s="201">
        <f>COUNTIFS($I$7:$I$51,"GIRL",$J$7:$J$51,"ST",DH7:DH51,"&lt;33")</f>
        <v>0</v>
      </c>
      <c r="DC67" s="202">
        <f t="shared" si="258"/>
        <v>0</v>
      </c>
      <c r="DD67" s="207">
        <f t="shared" si="259"/>
        <v>1</v>
      </c>
      <c r="DE67" s="905" t="s">
        <v>71</v>
      </c>
      <c r="DF67" s="905"/>
      <c r="DG67" s="905"/>
      <c r="DH67" s="905"/>
      <c r="DI67" s="905">
        <f>COUNTIFS(DH7:DH51,"&gt;=48",DH7:DH51,"&lt;60")</f>
        <v>0</v>
      </c>
      <c r="DJ67" s="904"/>
      <c r="DK67" s="118"/>
      <c r="DL67" s="119"/>
      <c r="DM67" s="118"/>
      <c r="DN67" s="118"/>
      <c r="DO67" s="118"/>
      <c r="DP67" s="905" t="s">
        <v>71</v>
      </c>
      <c r="DQ67" s="905"/>
      <c r="DR67" s="905"/>
      <c r="DS67" s="905"/>
      <c r="DT67" s="905">
        <f>COUNTIFS(DR7:DR51,"&gt;=48",DR7:DR51,"&lt;60",$DO$7:$DO$51,$DP$56)</f>
        <v>1</v>
      </c>
      <c r="DU67" s="904"/>
      <c r="DV67" s="118"/>
      <c r="DW67" s="99"/>
      <c r="DX67" s="132"/>
      <c r="DY67" s="209"/>
      <c r="DZ67" s="122"/>
      <c r="EA67" s="122"/>
      <c r="EB67" s="122"/>
      <c r="EC67" s="122"/>
      <c r="ED67" s="104"/>
      <c r="EE67" s="104"/>
      <c r="EF67" s="104"/>
      <c r="EG67" s="104"/>
      <c r="EH67" s="104"/>
      <c r="EI67" s="104"/>
      <c r="EJ67" s="105"/>
      <c r="EK67" s="105"/>
      <c r="EL67" s="105"/>
      <c r="EM67" s="105"/>
      <c r="EN67" s="105"/>
      <c r="EO67" s="105"/>
      <c r="EP67" s="106"/>
      <c r="EQ67" s="106"/>
      <c r="ER67" s="106"/>
      <c r="ES67" s="106"/>
      <c r="ET67" s="106"/>
      <c r="EU67" s="106"/>
      <c r="EV67" s="92"/>
      <c r="EW67" s="92"/>
      <c r="EX67" s="92"/>
      <c r="EY67" s="92"/>
      <c r="EZ67" s="92"/>
      <c r="FA67" s="92"/>
      <c r="FB67" s="93"/>
      <c r="FC67" s="93"/>
      <c r="FD67" s="93"/>
      <c r="FE67" s="93"/>
      <c r="FF67" s="93"/>
      <c r="FG67" s="93"/>
      <c r="FH67" s="107"/>
      <c r="FI67" s="107"/>
      <c r="FJ67" s="943"/>
      <c r="FK67" s="944"/>
      <c r="FL67" s="944"/>
      <c r="FM67" s="952"/>
      <c r="FN67" s="948"/>
      <c r="FO67" s="949"/>
      <c r="FP67" s="949"/>
      <c r="FQ67" s="950"/>
      <c r="FR67" s="948"/>
      <c r="FS67" s="949"/>
      <c r="FT67" s="949"/>
      <c r="FU67" s="950"/>
      <c r="FV67" s="937"/>
      <c r="FW67" s="937"/>
      <c r="FX67" s="937"/>
      <c r="FY67" s="937"/>
      <c r="FZ67" s="937"/>
      <c r="GA67" s="937"/>
      <c r="GB67" s="937"/>
      <c r="GC67" s="940"/>
      <c r="GD67" s="60"/>
    </row>
    <row r="68" spans="1:186" ht="18.75" customHeight="1" thickBot="1" x14ac:dyDescent="0.3">
      <c r="A68" s="60"/>
      <c r="B68" s="577"/>
      <c r="C68" s="577"/>
      <c r="D68" s="577"/>
      <c r="E68" s="578"/>
      <c r="F68" s="578"/>
      <c r="G68" s="578"/>
      <c r="H68" s="578"/>
      <c r="I68" s="578"/>
      <c r="J68" s="578"/>
      <c r="K68" s="578"/>
      <c r="L68" s="571" t="s">
        <v>187</v>
      </c>
      <c r="M68" s="211">
        <f>M69-M67</f>
        <v>1</v>
      </c>
      <c r="N68" s="211">
        <f t="shared" ref="N68:W68" si="264">N69-N67</f>
        <v>0</v>
      </c>
      <c r="O68" s="211">
        <f t="shared" si="264"/>
        <v>0</v>
      </c>
      <c r="P68" s="211">
        <f t="shared" si="264"/>
        <v>0</v>
      </c>
      <c r="Q68" s="202">
        <f t="shared" si="243"/>
        <v>1</v>
      </c>
      <c r="R68" s="211">
        <f t="shared" si="264"/>
        <v>0</v>
      </c>
      <c r="S68" s="211">
        <f t="shared" si="264"/>
        <v>1</v>
      </c>
      <c r="T68" s="211">
        <f t="shared" si="264"/>
        <v>0</v>
      </c>
      <c r="U68" s="211">
        <f t="shared" si="264"/>
        <v>0</v>
      </c>
      <c r="V68" s="202">
        <f t="shared" si="244"/>
        <v>1</v>
      </c>
      <c r="W68" s="394">
        <f t="shared" si="264"/>
        <v>2</v>
      </c>
      <c r="X68" s="905" t="s">
        <v>72</v>
      </c>
      <c r="Y68" s="905"/>
      <c r="Z68" s="905"/>
      <c r="AA68" s="905"/>
      <c r="AB68" s="905">
        <f>COUNTIFS(AA7:AA51,"&gt;=33",AA7:AA51,"&lt;48")</f>
        <v>0</v>
      </c>
      <c r="AC68" s="904"/>
      <c r="AD68" s="118"/>
      <c r="AE68" s="119"/>
      <c r="AF68" s="118"/>
      <c r="AG68" s="159"/>
      <c r="AH68" s="159" t="s">
        <v>187</v>
      </c>
      <c r="AI68" s="211">
        <f>AI69-AI67</f>
        <v>0</v>
      </c>
      <c r="AJ68" s="211">
        <f t="shared" ref="AJ68" si="265">AJ69-AJ67</f>
        <v>0</v>
      </c>
      <c r="AK68" s="211">
        <f t="shared" ref="AK68" si="266">AK69-AK67</f>
        <v>0</v>
      </c>
      <c r="AL68" s="211">
        <f t="shared" ref="AL68" si="267">AL69-AL67</f>
        <v>0</v>
      </c>
      <c r="AM68" s="202">
        <f t="shared" si="247"/>
        <v>0</v>
      </c>
      <c r="AN68" s="211">
        <f>AN69-AN67</f>
        <v>0</v>
      </c>
      <c r="AO68" s="211">
        <f t="shared" ref="AO68" si="268">AO69-AO67</f>
        <v>1</v>
      </c>
      <c r="AP68" s="211">
        <f t="shared" ref="AP68" si="269">AP69-AP67</f>
        <v>0</v>
      </c>
      <c r="AQ68" s="211">
        <f t="shared" ref="AQ68" si="270">AQ69-AQ67</f>
        <v>0</v>
      </c>
      <c r="AR68" s="202">
        <f t="shared" si="249"/>
        <v>1</v>
      </c>
      <c r="AS68" s="207">
        <f t="shared" si="250"/>
        <v>1</v>
      </c>
      <c r="AT68" s="905" t="s">
        <v>72</v>
      </c>
      <c r="AU68" s="905"/>
      <c r="AV68" s="905"/>
      <c r="AW68" s="905"/>
      <c r="AX68" s="905">
        <f>COUNTIFS(AW7:AW51,"&gt;=33",AW7:AW51,"&lt;48",AG7:AG51,AT56)</f>
        <v>1</v>
      </c>
      <c r="AY68" s="904"/>
      <c r="AZ68" s="118"/>
      <c r="BA68" s="119"/>
      <c r="BB68" s="118"/>
      <c r="BC68" s="159" t="s">
        <v>187</v>
      </c>
      <c r="BD68" s="211">
        <f>BD69-BD67</f>
        <v>1</v>
      </c>
      <c r="BE68" s="211">
        <f t="shared" ref="BE68:BG68" si="271">BE69-BE67</f>
        <v>0</v>
      </c>
      <c r="BF68" s="211">
        <f t="shared" si="271"/>
        <v>0</v>
      </c>
      <c r="BG68" s="211">
        <f t="shared" si="271"/>
        <v>0</v>
      </c>
      <c r="BH68" s="202">
        <f t="shared" si="251"/>
        <v>1</v>
      </c>
      <c r="BI68" s="211">
        <f t="shared" ref="BI68:BL68" si="272">BI69-BI67</f>
        <v>0</v>
      </c>
      <c r="BJ68" s="211">
        <f t="shared" si="272"/>
        <v>1</v>
      </c>
      <c r="BK68" s="211">
        <f t="shared" si="272"/>
        <v>0</v>
      </c>
      <c r="BL68" s="211">
        <f t="shared" si="272"/>
        <v>0</v>
      </c>
      <c r="BM68" s="202">
        <f t="shared" si="252"/>
        <v>1</v>
      </c>
      <c r="BN68" s="207">
        <f t="shared" si="253"/>
        <v>2</v>
      </c>
      <c r="BO68" s="905" t="s">
        <v>72</v>
      </c>
      <c r="BP68" s="905"/>
      <c r="BQ68" s="905"/>
      <c r="BR68" s="905"/>
      <c r="BS68" s="905">
        <f>COUNTIFS(BR7:BR51,"&gt;=33",BR7:BR51,"&lt;48")</f>
        <v>0</v>
      </c>
      <c r="BT68" s="904"/>
      <c r="BU68" s="118"/>
      <c r="BV68" s="119"/>
      <c r="BW68" s="118"/>
      <c r="BX68" s="159" t="s">
        <v>187</v>
      </c>
      <c r="BY68" s="211">
        <f>BY69-BY67</f>
        <v>1</v>
      </c>
      <c r="BZ68" s="211">
        <f t="shared" ref="BZ68:CB68" si="273">BZ69-BZ67</f>
        <v>0</v>
      </c>
      <c r="CA68" s="211">
        <f t="shared" si="273"/>
        <v>0</v>
      </c>
      <c r="CB68" s="211">
        <f t="shared" si="273"/>
        <v>0</v>
      </c>
      <c r="CC68" s="202">
        <f t="shared" si="254"/>
        <v>1</v>
      </c>
      <c r="CD68" s="211">
        <f t="shared" ref="CD68:CG68" si="274">CD69-CD67</f>
        <v>0</v>
      </c>
      <c r="CE68" s="211">
        <f t="shared" si="274"/>
        <v>0</v>
      </c>
      <c r="CF68" s="211">
        <f t="shared" si="274"/>
        <v>0</v>
      </c>
      <c r="CG68" s="211">
        <f t="shared" si="274"/>
        <v>0</v>
      </c>
      <c r="CH68" s="202">
        <f t="shared" si="255"/>
        <v>0</v>
      </c>
      <c r="CI68" s="207">
        <f t="shared" si="256"/>
        <v>1</v>
      </c>
      <c r="CJ68" s="905" t="s">
        <v>72</v>
      </c>
      <c r="CK68" s="905"/>
      <c r="CL68" s="905"/>
      <c r="CM68" s="905"/>
      <c r="CN68" s="905">
        <f>COUNTIFS(CM7:CM51,"&gt;=33",CM7:CM51,"&lt;48")</f>
        <v>1</v>
      </c>
      <c r="CO68" s="904"/>
      <c r="CP68" s="118"/>
      <c r="CQ68" s="119"/>
      <c r="CR68" s="118"/>
      <c r="CS68" s="159" t="s">
        <v>187</v>
      </c>
      <c r="CT68" s="211">
        <f>CT69-CT67</f>
        <v>0</v>
      </c>
      <c r="CU68" s="211">
        <f t="shared" ref="CU68:CW68" si="275">CU69-CU67</f>
        <v>0</v>
      </c>
      <c r="CV68" s="211">
        <f t="shared" si="275"/>
        <v>0</v>
      </c>
      <c r="CW68" s="211">
        <f t="shared" si="275"/>
        <v>0</v>
      </c>
      <c r="CX68" s="202">
        <f t="shared" si="257"/>
        <v>0</v>
      </c>
      <c r="CY68" s="211">
        <f t="shared" ref="CY68:DB68" si="276">CY69-CY67</f>
        <v>0</v>
      </c>
      <c r="CZ68" s="211">
        <f t="shared" si="276"/>
        <v>1</v>
      </c>
      <c r="DA68" s="211">
        <f t="shared" si="276"/>
        <v>0</v>
      </c>
      <c r="DB68" s="211">
        <f t="shared" si="276"/>
        <v>0</v>
      </c>
      <c r="DC68" s="202">
        <f t="shared" si="258"/>
        <v>1</v>
      </c>
      <c r="DD68" s="207">
        <f t="shared" si="259"/>
        <v>1</v>
      </c>
      <c r="DE68" s="905" t="s">
        <v>72</v>
      </c>
      <c r="DF68" s="905"/>
      <c r="DG68" s="905"/>
      <c r="DH68" s="905"/>
      <c r="DI68" s="905">
        <f>COUNTIFS(DH7:DH51,"&gt;=33",DH7:DH51,"&lt;48")</f>
        <v>0</v>
      </c>
      <c r="DJ68" s="904"/>
      <c r="DK68" s="118"/>
      <c r="DL68" s="119"/>
      <c r="DM68" s="118"/>
      <c r="DN68" s="118"/>
      <c r="DO68" s="118"/>
      <c r="DP68" s="905" t="s">
        <v>72</v>
      </c>
      <c r="DQ68" s="905"/>
      <c r="DR68" s="905"/>
      <c r="DS68" s="905"/>
      <c r="DT68" s="905">
        <f>COUNTIFS(DR7:DR51,"&gt;=33",DR7:DR51,"&lt;48",$DO$7:$DO$51,$DP$56)</f>
        <v>0</v>
      </c>
      <c r="DU68" s="904"/>
      <c r="DV68" s="118"/>
      <c r="DW68" s="99"/>
      <c r="DX68" s="132"/>
      <c r="DY68" s="209"/>
      <c r="DZ68" s="122"/>
      <c r="EA68" s="122"/>
      <c r="EB68" s="122"/>
      <c r="EC68" s="122"/>
      <c r="ED68" s="104"/>
      <c r="EE68" s="104"/>
      <c r="EF68" s="104"/>
      <c r="EG68" s="104"/>
      <c r="EH68" s="104"/>
      <c r="EI68" s="104"/>
      <c r="EJ68" s="105"/>
      <c r="EK68" s="105"/>
      <c r="EL68" s="105"/>
      <c r="EM68" s="105"/>
      <c r="EN68" s="105"/>
      <c r="EO68" s="105"/>
      <c r="EP68" s="106"/>
      <c r="EQ68" s="106"/>
      <c r="ER68" s="106"/>
      <c r="ES68" s="106"/>
      <c r="ET68" s="106"/>
      <c r="EU68" s="106"/>
      <c r="EV68" s="92"/>
      <c r="EW68" s="92"/>
      <c r="EX68" s="92"/>
      <c r="EY68" s="92"/>
      <c r="EZ68" s="92"/>
      <c r="FA68" s="92"/>
      <c r="FB68" s="93"/>
      <c r="FC68" s="93"/>
      <c r="FD68" s="93"/>
      <c r="FE68" s="93"/>
      <c r="FF68" s="93"/>
      <c r="FG68" s="93"/>
      <c r="FH68" s="107"/>
      <c r="FI68" s="107"/>
      <c r="FJ68" s="943"/>
      <c r="FK68" s="944"/>
      <c r="FL68" s="944"/>
      <c r="FM68" s="953"/>
      <c r="FN68" s="957"/>
      <c r="FO68" s="958"/>
      <c r="FP68" s="958"/>
      <c r="FQ68" s="959"/>
      <c r="FR68" s="957"/>
      <c r="FS68" s="958"/>
      <c r="FT68" s="958"/>
      <c r="FU68" s="959"/>
      <c r="FV68" s="937"/>
      <c r="FW68" s="937"/>
      <c r="FX68" s="937"/>
      <c r="FY68" s="937"/>
      <c r="FZ68" s="937"/>
      <c r="GA68" s="937"/>
      <c r="GB68" s="937"/>
      <c r="GC68" s="940"/>
      <c r="GD68" s="60"/>
    </row>
    <row r="69" spans="1:186" ht="19.5" customHeight="1" x14ac:dyDescent="0.25">
      <c r="A69" s="60"/>
      <c r="B69" s="577"/>
      <c r="C69" s="577"/>
      <c r="D69" s="577"/>
      <c r="E69" s="578"/>
      <c r="F69" s="578"/>
      <c r="G69" s="578"/>
      <c r="H69" s="578"/>
      <c r="I69" s="578"/>
      <c r="J69" s="578"/>
      <c r="K69" s="578"/>
      <c r="L69" s="571" t="s">
        <v>57</v>
      </c>
      <c r="M69" s="212">
        <f>SUM(M64:M67)</f>
        <v>1</v>
      </c>
      <c r="N69" s="212">
        <f t="shared" ref="N69:V69" si="277">SUM(N64:N67)</f>
        <v>0</v>
      </c>
      <c r="O69" s="212">
        <f t="shared" si="277"/>
        <v>0</v>
      </c>
      <c r="P69" s="212">
        <f t="shared" si="277"/>
        <v>0</v>
      </c>
      <c r="Q69" s="212">
        <f t="shared" si="277"/>
        <v>1</v>
      </c>
      <c r="R69" s="212">
        <f t="shared" si="277"/>
        <v>0</v>
      </c>
      <c r="S69" s="212">
        <f t="shared" si="277"/>
        <v>1</v>
      </c>
      <c r="T69" s="212">
        <f t="shared" si="277"/>
        <v>0</v>
      </c>
      <c r="U69" s="212">
        <f t="shared" si="277"/>
        <v>0</v>
      </c>
      <c r="V69" s="212">
        <f t="shared" si="277"/>
        <v>1</v>
      </c>
      <c r="W69" s="213">
        <f t="shared" ref="W69" si="278">SUM(W64:W66)</f>
        <v>2</v>
      </c>
      <c r="X69" s="905" t="s">
        <v>73</v>
      </c>
      <c r="Y69" s="905"/>
      <c r="Z69" s="905"/>
      <c r="AA69" s="905"/>
      <c r="AB69" s="905">
        <f>COUNTIFS(AA7:AA51,"&lt;33")</f>
        <v>0</v>
      </c>
      <c r="AC69" s="904"/>
      <c r="AD69" s="118"/>
      <c r="AE69" s="119"/>
      <c r="AF69" s="118"/>
      <c r="AG69" s="159"/>
      <c r="AH69" s="159" t="s">
        <v>57</v>
      </c>
      <c r="AI69" s="212">
        <f>SUM(AI64:AI67)</f>
        <v>0</v>
      </c>
      <c r="AJ69" s="212">
        <f t="shared" ref="AJ69:AL69" si="279">SUM(AJ64:AJ67)</f>
        <v>0</v>
      </c>
      <c r="AK69" s="212">
        <f t="shared" si="279"/>
        <v>0</v>
      </c>
      <c r="AL69" s="212">
        <f t="shared" si="279"/>
        <v>0</v>
      </c>
      <c r="AM69" s="212">
        <f t="shared" ref="AM69:AR69" si="280">SUM(AM64:AM67)</f>
        <v>0</v>
      </c>
      <c r="AN69" s="212">
        <f>SUM(AN64:AN67)</f>
        <v>0</v>
      </c>
      <c r="AO69" s="212">
        <f t="shared" ref="AO69:AQ69" si="281">SUM(AO64:AO67)</f>
        <v>1</v>
      </c>
      <c r="AP69" s="212">
        <f t="shared" si="281"/>
        <v>0</v>
      </c>
      <c r="AQ69" s="212">
        <f t="shared" si="281"/>
        <v>0</v>
      </c>
      <c r="AR69" s="212">
        <f t="shared" si="280"/>
        <v>1</v>
      </c>
      <c r="AS69" s="207">
        <f t="shared" si="250"/>
        <v>1</v>
      </c>
      <c r="AT69" s="905" t="s">
        <v>73</v>
      </c>
      <c r="AU69" s="905"/>
      <c r="AV69" s="905"/>
      <c r="AW69" s="905"/>
      <c r="AX69" s="905">
        <f>COUNTIFS(AW7:AW51,"&lt;33",AG7:AG51,AT56)</f>
        <v>0</v>
      </c>
      <c r="AY69" s="904"/>
      <c r="AZ69" s="118"/>
      <c r="BA69" s="119"/>
      <c r="BB69" s="118"/>
      <c r="BC69" s="159" t="s">
        <v>57</v>
      </c>
      <c r="BD69" s="212">
        <f>SUM(BD64:BD67)</f>
        <v>1</v>
      </c>
      <c r="BE69" s="212">
        <f t="shared" ref="BE69:BM69" si="282">SUM(BE64:BE67)</f>
        <v>0</v>
      </c>
      <c r="BF69" s="212">
        <f t="shared" si="282"/>
        <v>0</v>
      </c>
      <c r="BG69" s="212">
        <f t="shared" si="282"/>
        <v>0</v>
      </c>
      <c r="BH69" s="212">
        <f t="shared" si="282"/>
        <v>1</v>
      </c>
      <c r="BI69" s="212">
        <f t="shared" si="282"/>
        <v>0</v>
      </c>
      <c r="BJ69" s="212">
        <f t="shared" si="282"/>
        <v>1</v>
      </c>
      <c r="BK69" s="212">
        <f t="shared" si="282"/>
        <v>0</v>
      </c>
      <c r="BL69" s="212">
        <f t="shared" si="282"/>
        <v>0</v>
      </c>
      <c r="BM69" s="212">
        <f t="shared" si="282"/>
        <v>1</v>
      </c>
      <c r="BN69" s="207">
        <f t="shared" si="253"/>
        <v>2</v>
      </c>
      <c r="BO69" s="905" t="s">
        <v>73</v>
      </c>
      <c r="BP69" s="905"/>
      <c r="BQ69" s="905"/>
      <c r="BR69" s="905"/>
      <c r="BS69" s="905">
        <f>COUNTIFS(BR7:BR51,"&lt;33")</f>
        <v>0</v>
      </c>
      <c r="BT69" s="904"/>
      <c r="BU69" s="118"/>
      <c r="BV69" s="119"/>
      <c r="BW69" s="118"/>
      <c r="BX69" s="159" t="s">
        <v>57</v>
      </c>
      <c r="BY69" s="212">
        <f>SUM(BY64:BY67)</f>
        <v>1</v>
      </c>
      <c r="BZ69" s="212">
        <f t="shared" ref="BZ69:CH69" si="283">SUM(BZ64:BZ67)</f>
        <v>0</v>
      </c>
      <c r="CA69" s="212">
        <f t="shared" si="283"/>
        <v>0</v>
      </c>
      <c r="CB69" s="212">
        <f t="shared" si="283"/>
        <v>0</v>
      </c>
      <c r="CC69" s="212">
        <f t="shared" si="283"/>
        <v>1</v>
      </c>
      <c r="CD69" s="212">
        <f t="shared" si="283"/>
        <v>0</v>
      </c>
      <c r="CE69" s="212">
        <f t="shared" si="283"/>
        <v>1</v>
      </c>
      <c r="CF69" s="212">
        <f t="shared" si="283"/>
        <v>0</v>
      </c>
      <c r="CG69" s="212">
        <f t="shared" si="283"/>
        <v>0</v>
      </c>
      <c r="CH69" s="212">
        <f t="shared" si="283"/>
        <v>1</v>
      </c>
      <c r="CI69" s="207">
        <f t="shared" si="256"/>
        <v>2</v>
      </c>
      <c r="CJ69" s="905" t="s">
        <v>73</v>
      </c>
      <c r="CK69" s="905"/>
      <c r="CL69" s="905"/>
      <c r="CM69" s="905"/>
      <c r="CN69" s="905">
        <f>COUNTIFS(CM7:CM51,"&lt;33")</f>
        <v>1</v>
      </c>
      <c r="CO69" s="904"/>
      <c r="CP69" s="118"/>
      <c r="CQ69" s="119"/>
      <c r="CR69" s="118"/>
      <c r="CS69" s="159" t="s">
        <v>57</v>
      </c>
      <c r="CT69" s="212">
        <f t="shared" ref="CT69:DC69" si="284">SUM(CT64:CT67)</f>
        <v>1</v>
      </c>
      <c r="CU69" s="212">
        <f t="shared" si="284"/>
        <v>0</v>
      </c>
      <c r="CV69" s="212">
        <f t="shared" si="284"/>
        <v>0</v>
      </c>
      <c r="CW69" s="212">
        <f t="shared" si="284"/>
        <v>0</v>
      </c>
      <c r="CX69" s="212">
        <f>SUM(CX64:CX67)</f>
        <v>1</v>
      </c>
      <c r="CY69" s="212">
        <f t="shared" si="284"/>
        <v>0</v>
      </c>
      <c r="CZ69" s="212">
        <f t="shared" si="284"/>
        <v>1</v>
      </c>
      <c r="DA69" s="212">
        <f t="shared" si="284"/>
        <v>0</v>
      </c>
      <c r="DB69" s="212">
        <f t="shared" si="284"/>
        <v>0</v>
      </c>
      <c r="DC69" s="212">
        <f t="shared" si="284"/>
        <v>1</v>
      </c>
      <c r="DD69" s="207">
        <f t="shared" si="259"/>
        <v>2</v>
      </c>
      <c r="DE69" s="905" t="s">
        <v>73</v>
      </c>
      <c r="DF69" s="905"/>
      <c r="DG69" s="905"/>
      <c r="DH69" s="905"/>
      <c r="DI69" s="905">
        <f>COUNTIFS(DH7:DH51,"&lt;33")</f>
        <v>1</v>
      </c>
      <c r="DJ69" s="904"/>
      <c r="DK69" s="118"/>
      <c r="DL69" s="119"/>
      <c r="DM69" s="118"/>
      <c r="DN69" s="118"/>
      <c r="DO69" s="118"/>
      <c r="DP69" s="905" t="s">
        <v>73</v>
      </c>
      <c r="DQ69" s="905"/>
      <c r="DR69" s="905"/>
      <c r="DS69" s="905"/>
      <c r="DT69" s="905">
        <f>COUNTIFS(DR7:DR51,"&lt;33",$DO$7:$DO$51,$DP$56)</f>
        <v>0</v>
      </c>
      <c r="DU69" s="904"/>
      <c r="DV69" s="118"/>
      <c r="DW69" s="99"/>
      <c r="DX69" s="132"/>
      <c r="DY69" s="209"/>
      <c r="DZ69" s="122"/>
      <c r="EA69" s="122"/>
      <c r="EB69" s="122"/>
      <c r="EC69" s="122"/>
      <c r="ED69" s="104"/>
      <c r="EE69" s="104"/>
      <c r="EF69" s="104"/>
      <c r="EG69" s="104"/>
      <c r="EH69" s="104"/>
      <c r="EI69" s="104"/>
      <c r="EJ69" s="105"/>
      <c r="EK69" s="105"/>
      <c r="EL69" s="105"/>
      <c r="EM69" s="105"/>
      <c r="EN69" s="105"/>
      <c r="EO69" s="105"/>
      <c r="EP69" s="106"/>
      <c r="EQ69" s="106"/>
      <c r="ER69" s="106"/>
      <c r="ES69" s="106"/>
      <c r="ET69" s="106"/>
      <c r="EU69" s="106"/>
      <c r="EV69" s="92"/>
      <c r="EW69" s="92"/>
      <c r="EX69" s="92"/>
      <c r="EY69" s="92"/>
      <c r="EZ69" s="92"/>
      <c r="FA69" s="92"/>
      <c r="FB69" s="93"/>
      <c r="FC69" s="93"/>
      <c r="FD69" s="93"/>
      <c r="FE69" s="93"/>
      <c r="FF69" s="93"/>
      <c r="FG69" s="93"/>
      <c r="FH69" s="107"/>
      <c r="FI69" s="107"/>
      <c r="FJ69" s="943"/>
      <c r="FK69" s="944"/>
      <c r="FL69" s="944"/>
      <c r="FM69" s="339" t="str">
        <f>IF(DASHBOARD!G8="","","CLASS TEACHER")</f>
        <v/>
      </c>
      <c r="FN69" s="948" t="str">
        <f>IF(DASHBOARD!H8="","","EXAM INCHARGE")</f>
        <v/>
      </c>
      <c r="FO69" s="949"/>
      <c r="FP69" s="949"/>
      <c r="FQ69" s="950"/>
      <c r="FR69" s="948" t="str">
        <f>IF(DASHBOARD!D8="","","PRINCIPAL")</f>
        <v/>
      </c>
      <c r="FS69" s="949"/>
      <c r="FT69" s="949"/>
      <c r="FU69" s="950"/>
      <c r="FV69" s="937"/>
      <c r="FW69" s="937"/>
      <c r="FX69" s="937"/>
      <c r="FY69" s="937"/>
      <c r="FZ69" s="937"/>
      <c r="GA69" s="937"/>
      <c r="GB69" s="937"/>
      <c r="GC69" s="940"/>
      <c r="GD69" s="60"/>
    </row>
    <row r="70" spans="1:186" s="215" customFormat="1" ht="18" customHeight="1" thickBot="1" x14ac:dyDescent="0.35">
      <c r="A70" s="214"/>
      <c r="B70" s="585"/>
      <c r="C70" s="585"/>
      <c r="D70" s="585"/>
      <c r="E70" s="586"/>
      <c r="F70" s="586"/>
      <c r="G70" s="586"/>
      <c r="H70" s="586"/>
      <c r="I70" s="586"/>
      <c r="J70" s="586"/>
      <c r="K70" s="586"/>
      <c r="L70" s="1025" t="str">
        <f>IF(L3="","","SIGN. OF SUBJECT TEACHER ("&amp;L3&amp;")")</f>
        <v>SIGN. OF SUBJECT TEACHER (XXXXX)</v>
      </c>
      <c r="M70" s="1025"/>
      <c r="N70" s="1025"/>
      <c r="O70" s="1025"/>
      <c r="P70" s="1025"/>
      <c r="Q70" s="1025"/>
      <c r="R70" s="1025"/>
      <c r="S70" s="1025"/>
      <c r="T70" s="1025"/>
      <c r="U70" s="1025"/>
      <c r="V70" s="1025"/>
      <c r="W70" s="1026"/>
      <c r="X70" s="916" t="s">
        <v>57</v>
      </c>
      <c r="Y70" s="916"/>
      <c r="Z70" s="916"/>
      <c r="AA70" s="916"/>
      <c r="AB70" s="923">
        <f>SUM(AB66:AB69)</f>
        <v>2</v>
      </c>
      <c r="AC70" s="924"/>
      <c r="AD70" s="587"/>
      <c r="AE70" s="588"/>
      <c r="AF70" s="587"/>
      <c r="AG70" s="589"/>
      <c r="AH70" s="1027" t="str">
        <f>IF(AG3="","","SIGN. OF SUBJECT TEACHER ("&amp;AG3&amp;")")</f>
        <v>SIGN. OF SUBJECT TEACHER (XXXXX / XXXXX)</v>
      </c>
      <c r="AI70" s="1028"/>
      <c r="AJ70" s="1028"/>
      <c r="AK70" s="1028"/>
      <c r="AL70" s="1028"/>
      <c r="AM70" s="1028"/>
      <c r="AN70" s="1028"/>
      <c r="AO70" s="1028"/>
      <c r="AP70" s="1028"/>
      <c r="AQ70" s="1028"/>
      <c r="AR70" s="1028"/>
      <c r="AS70" s="1029"/>
      <c r="AT70" s="916" t="s">
        <v>57</v>
      </c>
      <c r="AU70" s="916"/>
      <c r="AV70" s="916"/>
      <c r="AW70" s="916"/>
      <c r="AX70" s="923">
        <f>SUM(AX66:AX69)</f>
        <v>1</v>
      </c>
      <c r="AY70" s="924"/>
      <c r="AZ70" s="587"/>
      <c r="BA70" s="588"/>
      <c r="BB70" s="587"/>
      <c r="BC70" s="1030" t="str">
        <f>IF(BC3="","","SIGN. OF SUBJECT TEACHER ("&amp;BC3&amp;")")</f>
        <v>SIGN. OF SUBJECT TEACHER (XXXXX)</v>
      </c>
      <c r="BD70" s="1025"/>
      <c r="BE70" s="1025"/>
      <c r="BF70" s="1025"/>
      <c r="BG70" s="1025"/>
      <c r="BH70" s="1025"/>
      <c r="BI70" s="1025"/>
      <c r="BJ70" s="1025"/>
      <c r="BK70" s="1025"/>
      <c r="BL70" s="1025"/>
      <c r="BM70" s="1025"/>
      <c r="BN70" s="1026"/>
      <c r="BO70" s="916" t="s">
        <v>57</v>
      </c>
      <c r="BP70" s="916"/>
      <c r="BQ70" s="916"/>
      <c r="BR70" s="916"/>
      <c r="BS70" s="923">
        <f>SUM(BS66:BS69)</f>
        <v>2</v>
      </c>
      <c r="BT70" s="924"/>
      <c r="BU70" s="587"/>
      <c r="BV70" s="588"/>
      <c r="BW70" s="587"/>
      <c r="BX70" s="1027" t="str">
        <f>IF(BX3="","","SIGN. OF SUBJECT TEACHER ("&amp;BX3&amp;")")</f>
        <v>SIGN. OF SUBJECT TEACHER (XXXXX)</v>
      </c>
      <c r="BY70" s="1028"/>
      <c r="BZ70" s="1028"/>
      <c r="CA70" s="1028"/>
      <c r="CB70" s="1028"/>
      <c r="CC70" s="1028"/>
      <c r="CD70" s="1028"/>
      <c r="CE70" s="1028"/>
      <c r="CF70" s="1028"/>
      <c r="CG70" s="1028"/>
      <c r="CH70" s="1028"/>
      <c r="CI70" s="1029"/>
      <c r="CJ70" s="916" t="s">
        <v>57</v>
      </c>
      <c r="CK70" s="916"/>
      <c r="CL70" s="916"/>
      <c r="CM70" s="916"/>
      <c r="CN70" s="923">
        <f>SUM(CN66:CN69)</f>
        <v>2</v>
      </c>
      <c r="CO70" s="924"/>
      <c r="CP70" s="587"/>
      <c r="CQ70" s="588"/>
      <c r="CR70" s="587"/>
      <c r="CS70" s="1030" t="str">
        <f>IF(CS3="","","SIGN. OF SUBJECT TEACHER ("&amp;CS3&amp;")")</f>
        <v>SIGN. OF SUBJECT TEACHER (XXXXX)</v>
      </c>
      <c r="CT70" s="1025"/>
      <c r="CU70" s="1025"/>
      <c r="CV70" s="1025"/>
      <c r="CW70" s="1025"/>
      <c r="CX70" s="1025"/>
      <c r="CY70" s="1025"/>
      <c r="CZ70" s="1025"/>
      <c r="DA70" s="1025"/>
      <c r="DB70" s="1025"/>
      <c r="DC70" s="1025"/>
      <c r="DD70" s="1026"/>
      <c r="DE70" s="916" t="s">
        <v>57</v>
      </c>
      <c r="DF70" s="916"/>
      <c r="DG70" s="916"/>
      <c r="DH70" s="916"/>
      <c r="DI70" s="923">
        <f>SUM(DI66:DI69)</f>
        <v>2</v>
      </c>
      <c r="DJ70" s="924"/>
      <c r="DK70" s="587"/>
      <c r="DL70" s="588"/>
      <c r="DM70" s="587"/>
      <c r="DN70" s="587"/>
      <c r="DO70" s="587"/>
      <c r="DP70" s="916" t="s">
        <v>57</v>
      </c>
      <c r="DQ70" s="916"/>
      <c r="DR70" s="916"/>
      <c r="DS70" s="916"/>
      <c r="DT70" s="923">
        <f>SUM(DT66:DT69)</f>
        <v>1</v>
      </c>
      <c r="DU70" s="924"/>
      <c r="DV70" s="587"/>
      <c r="DW70" s="544"/>
      <c r="DX70" s="519"/>
      <c r="DY70" s="520"/>
      <c r="DZ70" s="521"/>
      <c r="EA70" s="521"/>
      <c r="EB70" s="521"/>
      <c r="EC70" s="521"/>
      <c r="ED70" s="522"/>
      <c r="EE70" s="522"/>
      <c r="EF70" s="522"/>
      <c r="EG70" s="522"/>
      <c r="EH70" s="522"/>
      <c r="EI70" s="522"/>
      <c r="EJ70" s="523"/>
      <c r="EK70" s="523"/>
      <c r="EL70" s="523"/>
      <c r="EM70" s="523"/>
      <c r="EN70" s="523"/>
      <c r="EO70" s="523"/>
      <c r="EP70" s="524"/>
      <c r="EQ70" s="524"/>
      <c r="ER70" s="524"/>
      <c r="ES70" s="524"/>
      <c r="ET70" s="524"/>
      <c r="EU70" s="524"/>
      <c r="EV70" s="525"/>
      <c r="EW70" s="525"/>
      <c r="EX70" s="525"/>
      <c r="EY70" s="525"/>
      <c r="EZ70" s="525"/>
      <c r="FA70" s="525"/>
      <c r="FB70" s="526"/>
      <c r="FC70" s="526"/>
      <c r="FD70" s="526"/>
      <c r="FE70" s="526"/>
      <c r="FF70" s="526"/>
      <c r="FG70" s="526"/>
      <c r="FH70" s="527"/>
      <c r="FI70" s="527"/>
      <c r="FJ70" s="943"/>
      <c r="FK70" s="944"/>
      <c r="FL70" s="944"/>
      <c r="FM70" s="542" t="str">
        <f>IF(DASHBOARD!G8="","",CONCATENATE("(",DASHBOARD!G8,")"))</f>
        <v/>
      </c>
      <c r="FN70" s="945" t="str">
        <f>IF(DASHBOARD!H8="","",CONCATENATE("(",DASHBOARD!H8,")"))</f>
        <v/>
      </c>
      <c r="FO70" s="946"/>
      <c r="FP70" s="946"/>
      <c r="FQ70" s="947"/>
      <c r="FR70" s="945" t="str">
        <f>IF(DASHBOARD!D8="","",CONCATENATE("(",DASHBOARD!D8,")"))</f>
        <v/>
      </c>
      <c r="FS70" s="946"/>
      <c r="FT70" s="946"/>
      <c r="FU70" s="947"/>
      <c r="FV70" s="937"/>
      <c r="FW70" s="937"/>
      <c r="FX70" s="937"/>
      <c r="FY70" s="937"/>
      <c r="FZ70" s="937"/>
      <c r="GA70" s="941"/>
      <c r="GB70" s="941"/>
      <c r="GC70" s="942"/>
      <c r="GD70" s="214"/>
    </row>
    <row r="71" spans="1:186" ht="8.4" customHeight="1" x14ac:dyDescent="0.25">
      <c r="A71" s="60"/>
      <c r="B71" s="577"/>
      <c r="C71" s="577"/>
      <c r="D71" s="577"/>
      <c r="E71" s="578"/>
      <c r="F71" s="578"/>
      <c r="G71" s="578"/>
      <c r="H71" s="578"/>
      <c r="I71" s="578"/>
      <c r="J71" s="578"/>
      <c r="K71" s="578"/>
      <c r="L71" s="555"/>
      <c r="M71" s="554"/>
      <c r="N71" s="555"/>
      <c r="O71" s="554"/>
      <c r="P71" s="555"/>
      <c r="Q71" s="555"/>
      <c r="R71" s="554"/>
      <c r="S71" s="554"/>
      <c r="T71" s="555"/>
      <c r="U71" s="554"/>
      <c r="V71" s="555"/>
      <c r="W71" s="555"/>
      <c r="X71" s="555"/>
      <c r="Y71" s="554"/>
      <c r="Z71" s="554"/>
      <c r="AA71" s="579"/>
      <c r="AB71" s="555"/>
      <c r="AC71" s="555"/>
      <c r="AD71" s="555"/>
      <c r="AE71" s="555"/>
      <c r="AF71" s="555"/>
      <c r="AG71" s="567"/>
      <c r="AH71" s="567"/>
      <c r="AI71" s="568"/>
      <c r="AJ71" s="567"/>
      <c r="AK71" s="568"/>
      <c r="AL71" s="567"/>
      <c r="AM71" s="567"/>
      <c r="AN71" s="557"/>
      <c r="AO71" s="557"/>
      <c r="AP71" s="567"/>
      <c r="AQ71" s="568"/>
      <c r="AR71" s="567"/>
      <c r="AS71" s="569"/>
      <c r="AT71" s="556"/>
      <c r="AU71" s="568"/>
      <c r="AV71" s="570"/>
      <c r="AW71" s="556"/>
      <c r="AX71" s="567"/>
      <c r="AY71" s="556"/>
      <c r="AZ71" s="556"/>
      <c r="BA71" s="556"/>
      <c r="BB71" s="556"/>
      <c r="BC71" s="552"/>
      <c r="BD71" s="553"/>
      <c r="BE71" s="552"/>
      <c r="BF71" s="553"/>
      <c r="BG71" s="552"/>
      <c r="BH71" s="552"/>
      <c r="BI71" s="554"/>
      <c r="BJ71" s="554"/>
      <c r="BK71" s="552"/>
      <c r="BL71" s="554"/>
      <c r="BM71" s="555"/>
      <c r="BN71" s="555"/>
      <c r="BO71" s="555"/>
      <c r="BP71" s="555"/>
      <c r="BQ71" s="554"/>
      <c r="BR71" s="555"/>
      <c r="BS71" s="555"/>
      <c r="BT71" s="555"/>
      <c r="BU71" s="555"/>
      <c r="BV71" s="555"/>
      <c r="BW71" s="555"/>
      <c r="BX71" s="556"/>
      <c r="BY71" s="557"/>
      <c r="BZ71" s="556"/>
      <c r="CA71" s="557"/>
      <c r="CB71" s="556"/>
      <c r="CC71" s="556"/>
      <c r="CD71" s="557"/>
      <c r="CE71" s="557"/>
      <c r="CF71" s="556"/>
      <c r="CG71" s="557"/>
      <c r="CH71" s="557"/>
      <c r="CI71" s="557"/>
      <c r="CJ71" s="557"/>
      <c r="CK71" s="557"/>
      <c r="CL71" s="557"/>
      <c r="CM71" s="556"/>
      <c r="CN71" s="556"/>
      <c r="CO71" s="556"/>
      <c r="CP71" s="556"/>
      <c r="CQ71" s="556"/>
      <c r="CR71" s="556"/>
      <c r="CS71" s="555"/>
      <c r="CT71" s="554"/>
      <c r="CU71" s="555"/>
      <c r="CV71" s="554"/>
      <c r="CW71" s="555"/>
      <c r="CX71" s="555"/>
      <c r="CY71" s="554"/>
      <c r="CZ71" s="554"/>
      <c r="DA71" s="555"/>
      <c r="DB71" s="554"/>
      <c r="DC71" s="554"/>
      <c r="DD71" s="554"/>
      <c r="DE71" s="554"/>
      <c r="DF71" s="554"/>
      <c r="DG71" s="554"/>
      <c r="DH71" s="555"/>
      <c r="DI71" s="555"/>
      <c r="DJ71" s="555"/>
      <c r="DK71" s="555"/>
      <c r="DL71" s="555"/>
      <c r="DM71" s="555"/>
      <c r="DN71" s="555"/>
      <c r="DO71" s="556"/>
      <c r="DP71" s="556"/>
      <c r="DQ71" s="556"/>
      <c r="DR71" s="556"/>
      <c r="DS71" s="556"/>
      <c r="DT71" s="556"/>
      <c r="DU71" s="556"/>
      <c r="DV71" s="556"/>
      <c r="DW71" s="555"/>
      <c r="DX71" s="534"/>
      <c r="DY71" s="534"/>
      <c r="DZ71" s="534"/>
      <c r="EA71" s="534"/>
      <c r="EB71" s="534"/>
      <c r="EC71" s="534"/>
      <c r="ED71" s="534"/>
      <c r="EE71" s="534"/>
      <c r="EF71" s="534"/>
      <c r="EG71" s="534"/>
      <c r="EH71" s="534"/>
      <c r="EI71" s="534"/>
      <c r="EJ71" s="535"/>
      <c r="EK71" s="535"/>
      <c r="EL71" s="535"/>
      <c r="EM71" s="535"/>
      <c r="EN71" s="535"/>
      <c r="EO71" s="535"/>
      <c r="EP71" s="536"/>
      <c r="EQ71" s="536"/>
      <c r="ER71" s="536"/>
      <c r="ES71" s="536"/>
      <c r="ET71" s="536"/>
      <c r="EU71" s="536"/>
      <c r="EV71" s="537"/>
      <c r="EW71" s="537"/>
      <c r="EX71" s="537"/>
      <c r="EY71" s="537"/>
      <c r="EZ71" s="537"/>
      <c r="FA71" s="537"/>
      <c r="FB71" s="538"/>
      <c r="FC71" s="538"/>
      <c r="FD71" s="538"/>
      <c r="FE71" s="538"/>
      <c r="FF71" s="538"/>
      <c r="FG71" s="538"/>
      <c r="FH71" s="539"/>
      <c r="FI71" s="539"/>
      <c r="FJ71" s="347"/>
      <c r="FK71" s="347"/>
      <c r="FL71" s="347"/>
      <c r="FM71" s="540"/>
      <c r="FN71" s="540"/>
      <c r="FO71" s="540"/>
      <c r="FP71" s="540"/>
      <c r="FQ71" s="540"/>
      <c r="FR71" s="540"/>
      <c r="FS71" s="540"/>
      <c r="FT71" s="540"/>
      <c r="FU71" s="540"/>
      <c r="FV71" s="540"/>
      <c r="FW71" s="540"/>
      <c r="FX71" s="540"/>
      <c r="FY71" s="540"/>
      <c r="FZ71" s="540"/>
      <c r="GA71" s="347"/>
      <c r="GB71" s="594"/>
      <c r="GC71" s="594"/>
      <c r="GD71" s="60"/>
    </row>
    <row r="72" spans="1:186" ht="12.6" customHeight="1" x14ac:dyDescent="0.25">
      <c r="A72" s="60"/>
      <c r="B72" s="577"/>
      <c r="C72" s="577"/>
      <c r="D72" s="577"/>
      <c r="E72" s="578"/>
      <c r="F72" s="578"/>
      <c r="G72" s="578"/>
      <c r="H72" s="578"/>
      <c r="I72" s="578"/>
      <c r="J72" s="578"/>
      <c r="K72" s="578"/>
      <c r="L72" s="555"/>
      <c r="M72" s="554"/>
      <c r="N72" s="555"/>
      <c r="O72" s="554"/>
      <c r="P72" s="555"/>
      <c r="Q72" s="555"/>
      <c r="R72" s="554"/>
      <c r="S72" s="554"/>
      <c r="T72" s="555"/>
      <c r="U72" s="554"/>
      <c r="V72" s="555"/>
      <c r="W72" s="555"/>
      <c r="X72" s="555"/>
      <c r="Y72" s="554"/>
      <c r="Z72" s="554"/>
      <c r="AA72" s="579"/>
      <c r="AB72" s="555"/>
      <c r="AC72" s="555"/>
      <c r="AD72" s="555"/>
      <c r="AE72" s="555"/>
      <c r="AF72" s="555"/>
      <c r="AG72" s="349"/>
      <c r="AH72" s="346"/>
      <c r="AI72" s="917" t="s">
        <v>183</v>
      </c>
      <c r="AJ72" s="918"/>
      <c r="AK72" s="918"/>
      <c r="AL72" s="918"/>
      <c r="AM72" s="919"/>
      <c r="AN72" s="917" t="s">
        <v>184</v>
      </c>
      <c r="AO72" s="918"/>
      <c r="AP72" s="918"/>
      <c r="AQ72" s="918"/>
      <c r="AR72" s="919"/>
      <c r="AS72" s="346"/>
      <c r="AT72" s="901" t="s">
        <v>58</v>
      </c>
      <c r="AU72" s="901"/>
      <c r="AV72" s="901"/>
      <c r="AW72" s="901"/>
      <c r="AX72" s="901">
        <f>COUNTIFS(DATA!D7:D51,"&lt;&gt;",AG7:AG51,AT76)
 -COUNTIFS(DATA!C7:C51,"TC",AG7:AG51,AT76)</f>
        <v>1</v>
      </c>
      <c r="AY72" s="901"/>
      <c r="AZ72" s="496"/>
      <c r="BA72" s="590"/>
      <c r="BB72" s="591"/>
      <c r="BC72" s="552"/>
      <c r="BD72" s="553"/>
      <c r="BE72" s="552"/>
      <c r="BF72" s="553"/>
      <c r="BG72" s="552"/>
      <c r="BH72" s="552"/>
      <c r="BI72" s="554"/>
      <c r="BJ72" s="554"/>
      <c r="BK72" s="552"/>
      <c r="BL72" s="554"/>
      <c r="BM72" s="555"/>
      <c r="BN72" s="555"/>
      <c r="BO72" s="555"/>
      <c r="BP72" s="555"/>
      <c r="BQ72" s="554"/>
      <c r="BR72" s="555"/>
      <c r="BS72" s="555"/>
      <c r="BT72" s="555"/>
      <c r="BU72" s="555"/>
      <c r="BV72" s="555"/>
      <c r="BW72" s="555"/>
      <c r="BX72" s="556"/>
      <c r="BY72" s="557"/>
      <c r="BZ72" s="556"/>
      <c r="CA72" s="557"/>
      <c r="CB72" s="556"/>
      <c r="CC72" s="556"/>
      <c r="CD72" s="557"/>
      <c r="CE72" s="557"/>
      <c r="CF72" s="556"/>
      <c r="CG72" s="557"/>
      <c r="CH72" s="557"/>
      <c r="CI72" s="557"/>
      <c r="CJ72" s="557"/>
      <c r="CK72" s="557"/>
      <c r="CL72" s="557"/>
      <c r="CM72" s="556"/>
      <c r="CN72" s="556"/>
      <c r="CO72" s="556"/>
      <c r="CP72" s="556"/>
      <c r="CQ72" s="556"/>
      <c r="CR72" s="556"/>
      <c r="CS72" s="555"/>
      <c r="CT72" s="554"/>
      <c r="CU72" s="555"/>
      <c r="CV72" s="554"/>
      <c r="CW72" s="555"/>
      <c r="CX72" s="555"/>
      <c r="CY72" s="554"/>
      <c r="CZ72" s="554"/>
      <c r="DA72" s="555"/>
      <c r="DB72" s="554"/>
      <c r="DC72" s="554"/>
      <c r="DD72" s="554"/>
      <c r="DE72" s="554"/>
      <c r="DF72" s="554"/>
      <c r="DG72" s="554"/>
      <c r="DH72" s="555"/>
      <c r="DI72" s="555"/>
      <c r="DJ72" s="555"/>
      <c r="DK72" s="555"/>
      <c r="DL72" s="555"/>
      <c r="DM72" s="555"/>
      <c r="DN72" s="592"/>
      <c r="DO72" s="496"/>
      <c r="DP72" s="901" t="s">
        <v>58</v>
      </c>
      <c r="DQ72" s="901"/>
      <c r="DR72" s="901"/>
      <c r="DS72" s="901"/>
      <c r="DT72" s="901">
        <f>COUNTIFS(D7:D51,"&lt;&gt;",DO7:DO51,DP76)
 -COUNTIFS(C7:C51,"TC",DO7:DO51,DP76)</f>
        <v>1</v>
      </c>
      <c r="DU72" s="901"/>
      <c r="DV72" s="496"/>
      <c r="DW72" s="593"/>
      <c r="DX72" s="534"/>
      <c r="DY72" s="534"/>
      <c r="DZ72" s="534"/>
      <c r="EA72" s="534"/>
      <c r="EB72" s="534"/>
      <c r="EC72" s="534"/>
      <c r="ED72" s="534"/>
      <c r="EE72" s="534"/>
      <c r="EF72" s="534"/>
      <c r="EG72" s="534"/>
      <c r="EH72" s="534"/>
      <c r="EI72" s="534"/>
      <c r="EJ72" s="535"/>
      <c r="EK72" s="535"/>
      <c r="EL72" s="535"/>
      <c r="EM72" s="535"/>
      <c r="EN72" s="535"/>
      <c r="EO72" s="535"/>
      <c r="EP72" s="536"/>
      <c r="EQ72" s="536"/>
      <c r="ER72" s="536"/>
      <c r="ES72" s="536"/>
      <c r="ET72" s="536"/>
      <c r="EU72" s="536"/>
      <c r="EV72" s="537"/>
      <c r="EW72" s="537"/>
      <c r="EX72" s="537"/>
      <c r="EY72" s="537"/>
      <c r="EZ72" s="537"/>
      <c r="FA72" s="537"/>
      <c r="FB72" s="538"/>
      <c r="FC72" s="538"/>
      <c r="FD72" s="538"/>
      <c r="FE72" s="538"/>
      <c r="FF72" s="538"/>
      <c r="FG72" s="538"/>
      <c r="FH72" s="539"/>
      <c r="FI72" s="539"/>
      <c r="FJ72" s="347"/>
      <c r="FK72" s="347"/>
      <c r="FL72" s="347"/>
      <c r="FM72" s="540"/>
      <c r="FN72" s="540"/>
      <c r="FO72" s="540"/>
      <c r="FP72" s="540"/>
      <c r="FQ72" s="540"/>
      <c r="FR72" s="540"/>
      <c r="FS72" s="540"/>
      <c r="FT72" s="540"/>
      <c r="FU72" s="540"/>
      <c r="FV72" s="540"/>
      <c r="FW72" s="540"/>
      <c r="FX72" s="540"/>
      <c r="FY72" s="540"/>
      <c r="FZ72" s="540"/>
      <c r="GA72" s="541"/>
      <c r="GB72" s="399"/>
      <c r="GC72" s="399"/>
      <c r="GD72" s="60"/>
    </row>
    <row r="73" spans="1:186" ht="12.6" customHeight="1" x14ac:dyDescent="0.3">
      <c r="A73" s="60"/>
      <c r="B73" s="577"/>
      <c r="C73" s="577"/>
      <c r="D73" s="577"/>
      <c r="E73" s="578"/>
      <c r="F73" s="578"/>
      <c r="G73" s="578"/>
      <c r="H73" s="578"/>
      <c r="I73" s="578"/>
      <c r="J73" s="578"/>
      <c r="K73" s="578"/>
      <c r="L73" s="555"/>
      <c r="M73" s="554"/>
      <c r="N73" s="555"/>
      <c r="O73" s="554"/>
      <c r="P73" s="555"/>
      <c r="Q73" s="555"/>
      <c r="R73" s="554"/>
      <c r="S73" s="554"/>
      <c r="T73" s="555"/>
      <c r="U73" s="554"/>
      <c r="V73" s="555"/>
      <c r="W73" s="555"/>
      <c r="X73" s="555"/>
      <c r="Y73" s="554"/>
      <c r="Z73" s="554"/>
      <c r="AA73" s="579"/>
      <c r="AB73" s="555"/>
      <c r="AC73" s="555"/>
      <c r="AD73" s="555"/>
      <c r="AE73" s="555"/>
      <c r="AF73" s="555"/>
      <c r="AG73" s="571"/>
      <c r="AH73" s="159"/>
      <c r="AI73" s="201" t="s">
        <v>166</v>
      </c>
      <c r="AJ73" s="201" t="s">
        <v>165</v>
      </c>
      <c r="AK73" s="201" t="s">
        <v>167</v>
      </c>
      <c r="AL73" s="201" t="s">
        <v>185</v>
      </c>
      <c r="AM73" s="202" t="s">
        <v>57</v>
      </c>
      <c r="AN73" s="201" t="s">
        <v>166</v>
      </c>
      <c r="AO73" s="201" t="s">
        <v>165</v>
      </c>
      <c r="AP73" s="201" t="s">
        <v>167</v>
      </c>
      <c r="AQ73" s="201" t="s">
        <v>185</v>
      </c>
      <c r="AR73" s="202" t="s">
        <v>57</v>
      </c>
      <c r="AS73" s="203" t="s">
        <v>186</v>
      </c>
      <c r="AT73" s="902" t="s">
        <v>59</v>
      </c>
      <c r="AU73" s="902"/>
      <c r="AV73" s="902"/>
      <c r="AW73" s="902"/>
      <c r="AX73" s="902">
        <f>COUNTIFS(AW7:AW51,"&gt;=33",AG7:AG51,AT76)</f>
        <v>1</v>
      </c>
      <c r="AY73" s="902"/>
      <c r="AZ73" s="118"/>
      <c r="BA73" s="119"/>
      <c r="BB73" s="497"/>
      <c r="BC73" s="552"/>
      <c r="BD73" s="553"/>
      <c r="BE73" s="552"/>
      <c r="BF73" s="553"/>
      <c r="BG73" s="552"/>
      <c r="BH73" s="552"/>
      <c r="BI73" s="554"/>
      <c r="BJ73" s="554"/>
      <c r="BK73" s="552"/>
      <c r="BL73" s="554"/>
      <c r="BM73" s="555"/>
      <c r="BN73" s="555"/>
      <c r="BO73" s="555"/>
      <c r="BP73" s="555"/>
      <c r="BQ73" s="554"/>
      <c r="BR73" s="555"/>
      <c r="BS73" s="555"/>
      <c r="BT73" s="555"/>
      <c r="BU73" s="555"/>
      <c r="BV73" s="555"/>
      <c r="BW73" s="555"/>
      <c r="BX73" s="556"/>
      <c r="BY73" s="557"/>
      <c r="BZ73" s="556"/>
      <c r="CA73" s="557"/>
      <c r="CB73" s="556"/>
      <c r="CC73" s="556"/>
      <c r="CD73" s="557"/>
      <c r="CE73" s="557"/>
      <c r="CF73" s="556"/>
      <c r="CG73" s="557"/>
      <c r="CH73" s="557"/>
      <c r="CI73" s="557"/>
      <c r="CJ73" s="557"/>
      <c r="CK73" s="557"/>
      <c r="CL73" s="557"/>
      <c r="CM73" s="556"/>
      <c r="CN73" s="556"/>
      <c r="CO73" s="556"/>
      <c r="CP73" s="556"/>
      <c r="CQ73" s="556"/>
      <c r="CR73" s="556"/>
      <c r="CS73" s="555"/>
      <c r="CT73" s="554"/>
      <c r="CU73" s="555"/>
      <c r="CV73" s="554"/>
      <c r="CW73" s="555"/>
      <c r="CX73" s="555"/>
      <c r="CY73" s="554"/>
      <c r="CZ73" s="554"/>
      <c r="DA73" s="555"/>
      <c r="DB73" s="554"/>
      <c r="DC73" s="554"/>
      <c r="DD73" s="554"/>
      <c r="DE73" s="554"/>
      <c r="DF73" s="554"/>
      <c r="DG73" s="554"/>
      <c r="DH73" s="555"/>
      <c r="DI73" s="555"/>
      <c r="DJ73" s="555"/>
      <c r="DK73" s="555"/>
      <c r="DL73" s="555"/>
      <c r="DM73" s="555"/>
      <c r="DN73" s="543"/>
      <c r="DO73" s="118"/>
      <c r="DP73" s="902" t="s">
        <v>59</v>
      </c>
      <c r="DQ73" s="902"/>
      <c r="DR73" s="902"/>
      <c r="DS73" s="902"/>
      <c r="DT73" s="902">
        <f>COUNTIFS(DR7:DR51,"&gt;=33",DO7:DO51,DP76)</f>
        <v>0</v>
      </c>
      <c r="DU73" s="902"/>
      <c r="DV73" s="118"/>
      <c r="DW73" s="500"/>
      <c r="DX73" s="534"/>
      <c r="DY73" s="534"/>
      <c r="DZ73" s="534"/>
      <c r="EA73" s="534"/>
      <c r="EB73" s="534"/>
      <c r="EC73" s="534"/>
      <c r="ED73" s="534"/>
      <c r="EE73" s="534"/>
      <c r="EF73" s="534"/>
      <c r="EG73" s="534"/>
      <c r="EH73" s="534"/>
      <c r="EI73" s="534"/>
      <c r="EJ73" s="535"/>
      <c r="EK73" s="535"/>
      <c r="EL73" s="535"/>
      <c r="EM73" s="535"/>
      <c r="EN73" s="535"/>
      <c r="EO73" s="535"/>
      <c r="EP73" s="536"/>
      <c r="EQ73" s="536"/>
      <c r="ER73" s="536"/>
      <c r="ES73" s="536"/>
      <c r="ET73" s="536"/>
      <c r="EU73" s="536"/>
      <c r="EV73" s="537"/>
      <c r="EW73" s="537"/>
      <c r="EX73" s="537"/>
      <c r="EY73" s="537"/>
      <c r="EZ73" s="537"/>
      <c r="FA73" s="537"/>
      <c r="FB73" s="538"/>
      <c r="FC73" s="538"/>
      <c r="FD73" s="538"/>
      <c r="FE73" s="538"/>
      <c r="FF73" s="538"/>
      <c r="FG73" s="538"/>
      <c r="FH73" s="539"/>
      <c r="FI73" s="539"/>
      <c r="FJ73" s="347"/>
      <c r="FK73" s="347"/>
      <c r="FL73" s="347"/>
      <c r="FM73" s="540"/>
      <c r="FN73" s="540"/>
      <c r="FO73" s="540"/>
      <c r="FP73" s="540"/>
      <c r="FQ73" s="540"/>
      <c r="FR73" s="540"/>
      <c r="FS73" s="540"/>
      <c r="FT73" s="540"/>
      <c r="FU73" s="540"/>
      <c r="FV73" s="540"/>
      <c r="FW73" s="540"/>
      <c r="FX73" s="540"/>
      <c r="FY73" s="540"/>
      <c r="FZ73" s="540"/>
      <c r="GA73" s="541"/>
      <c r="GB73" s="399"/>
      <c r="GC73" s="399"/>
      <c r="GD73" s="60"/>
    </row>
    <row r="74" spans="1:186" ht="12.6" customHeight="1" x14ac:dyDescent="0.3">
      <c r="A74" s="60"/>
      <c r="B74" s="577"/>
      <c r="C74" s="577"/>
      <c r="D74" s="577"/>
      <c r="E74" s="578"/>
      <c r="F74" s="578"/>
      <c r="G74" s="578"/>
      <c r="H74" s="578"/>
      <c r="I74" s="578"/>
      <c r="J74" s="578"/>
      <c r="K74" s="578"/>
      <c r="L74" s="555"/>
      <c r="M74" s="554"/>
      <c r="N74" s="555"/>
      <c r="O74" s="554"/>
      <c r="P74" s="555"/>
      <c r="Q74" s="555"/>
      <c r="R74" s="554"/>
      <c r="S74" s="554"/>
      <c r="T74" s="555"/>
      <c r="U74" s="554"/>
      <c r="V74" s="555"/>
      <c r="W74" s="555"/>
      <c r="X74" s="555"/>
      <c r="Y74" s="554"/>
      <c r="Z74" s="554"/>
      <c r="AA74" s="579"/>
      <c r="AB74" s="555"/>
      <c r="AC74" s="555"/>
      <c r="AD74" s="555"/>
      <c r="AE74" s="555"/>
      <c r="AF74" s="555"/>
      <c r="AG74" s="572" t="s">
        <v>310</v>
      </c>
      <c r="AH74" s="206" t="s">
        <v>64</v>
      </c>
      <c r="AI74" s="201">
        <f t="shared" ref="AI74:AL81" si="285">COUNTIFS($I$7:$I$51,$AI$63,$J$7:$J$51,AI$53,$AG$7:$AG$51,$AT$76,$AX$7:$AX$51,$AG74)</f>
        <v>0</v>
      </c>
      <c r="AJ74" s="201">
        <f t="shared" si="285"/>
        <v>0</v>
      </c>
      <c r="AK74" s="201">
        <f t="shared" si="285"/>
        <v>0</v>
      </c>
      <c r="AL74" s="201">
        <f t="shared" si="285"/>
        <v>0</v>
      </c>
      <c r="AM74" s="202">
        <f>SUM(AI74:AL74)</f>
        <v>0</v>
      </c>
      <c r="AN74" s="201">
        <f t="shared" ref="AN74:AQ81" si="286">COUNTIFS($I$7:$I$51,$AN$63,$J$7:$J$51,AN$53,$AG$7:$AG$51,$AT$76,$AX$7:$AX$51,$AG74)</f>
        <v>0</v>
      </c>
      <c r="AO74" s="201">
        <f t="shared" si="286"/>
        <v>0</v>
      </c>
      <c r="AP74" s="201">
        <f t="shared" si="286"/>
        <v>0</v>
      </c>
      <c r="AQ74" s="201">
        <f t="shared" si="286"/>
        <v>0</v>
      </c>
      <c r="AR74" s="202">
        <f>SUM(AN74:AQ74)</f>
        <v>0</v>
      </c>
      <c r="AS74" s="207">
        <f>SUM(AM74,AR74)</f>
        <v>0</v>
      </c>
      <c r="AT74" s="902" t="s">
        <v>60</v>
      </c>
      <c r="AU74" s="902"/>
      <c r="AV74" s="902"/>
      <c r="AW74" s="902"/>
      <c r="AX74" s="902">
        <f>COUNTIFS(AW7:AW51,"&lt;33",AG7:AG51,AT76)</f>
        <v>0</v>
      </c>
      <c r="AY74" s="902"/>
      <c r="AZ74" s="118"/>
      <c r="BA74" s="119"/>
      <c r="BB74" s="497"/>
      <c r="BC74" s="552"/>
      <c r="BD74" s="553"/>
      <c r="BE74" s="552"/>
      <c r="BF74" s="553"/>
      <c r="BG74" s="552"/>
      <c r="BH74" s="552"/>
      <c r="BI74" s="554"/>
      <c r="BJ74" s="554"/>
      <c r="BK74" s="552"/>
      <c r="BL74" s="554"/>
      <c r="BM74" s="555"/>
      <c r="BN74" s="555"/>
      <c r="BO74" s="555"/>
      <c r="BP74" s="555"/>
      <c r="BQ74" s="554"/>
      <c r="BR74" s="555"/>
      <c r="BS74" s="555"/>
      <c r="BT74" s="555"/>
      <c r="BU74" s="555"/>
      <c r="BV74" s="555"/>
      <c r="BW74" s="555"/>
      <c r="BX74" s="556"/>
      <c r="BY74" s="557"/>
      <c r="BZ74" s="556"/>
      <c r="CA74" s="557"/>
      <c r="CB74" s="556"/>
      <c r="CC74" s="556"/>
      <c r="CD74" s="557"/>
      <c r="CE74" s="557"/>
      <c r="CF74" s="556"/>
      <c r="CG74" s="557"/>
      <c r="CH74" s="557"/>
      <c r="CI74" s="557"/>
      <c r="CJ74" s="557"/>
      <c r="CK74" s="557"/>
      <c r="CL74" s="557"/>
      <c r="CM74" s="556"/>
      <c r="CN74" s="556"/>
      <c r="CO74" s="556"/>
      <c r="CP74" s="556"/>
      <c r="CQ74" s="556"/>
      <c r="CR74" s="556"/>
      <c r="CS74" s="555"/>
      <c r="CT74" s="554"/>
      <c r="CU74" s="555"/>
      <c r="CV74" s="554"/>
      <c r="CW74" s="555"/>
      <c r="CX74" s="555"/>
      <c r="CY74" s="554"/>
      <c r="CZ74" s="554"/>
      <c r="DA74" s="555"/>
      <c r="DB74" s="554"/>
      <c r="DC74" s="554"/>
      <c r="DD74" s="554"/>
      <c r="DE74" s="554"/>
      <c r="DF74" s="554"/>
      <c r="DG74" s="554"/>
      <c r="DH74" s="555"/>
      <c r="DI74" s="555"/>
      <c r="DJ74" s="555"/>
      <c r="DK74" s="555"/>
      <c r="DL74" s="555"/>
      <c r="DM74" s="555"/>
      <c r="DN74" s="543"/>
      <c r="DO74" s="118"/>
      <c r="DP74" s="902" t="s">
        <v>60</v>
      </c>
      <c r="DQ74" s="902"/>
      <c r="DR74" s="902"/>
      <c r="DS74" s="902"/>
      <c r="DT74" s="902">
        <f>COUNTIFS(DR7:DR51,"&lt;33",DO7:DO51,DP76)</f>
        <v>1</v>
      </c>
      <c r="DU74" s="902"/>
      <c r="DV74" s="118"/>
      <c r="DW74" s="500"/>
      <c r="DX74" s="534"/>
      <c r="DY74" s="534"/>
      <c r="DZ74" s="534"/>
      <c r="EA74" s="534"/>
      <c r="EB74" s="534"/>
      <c r="EC74" s="534"/>
      <c r="ED74" s="534"/>
      <c r="EE74" s="534"/>
      <c r="EF74" s="534"/>
      <c r="EG74" s="534"/>
      <c r="EH74" s="534"/>
      <c r="EI74" s="534"/>
      <c r="EJ74" s="535"/>
      <c r="EK74" s="535"/>
      <c r="EL74" s="535"/>
      <c r="EM74" s="535"/>
      <c r="EN74" s="535"/>
      <c r="EO74" s="535"/>
      <c r="EP74" s="536"/>
      <c r="EQ74" s="536"/>
      <c r="ER74" s="536"/>
      <c r="ES74" s="536"/>
      <c r="ET74" s="536"/>
      <c r="EU74" s="536"/>
      <c r="EV74" s="537"/>
      <c r="EW74" s="537"/>
      <c r="EX74" s="537"/>
      <c r="EY74" s="537"/>
      <c r="EZ74" s="537"/>
      <c r="FA74" s="537"/>
      <c r="FB74" s="538"/>
      <c r="FC74" s="538"/>
      <c r="FD74" s="538"/>
      <c r="FE74" s="538"/>
      <c r="FF74" s="538"/>
      <c r="FG74" s="538"/>
      <c r="FH74" s="539"/>
      <c r="FI74" s="539"/>
      <c r="FJ74" s="347"/>
      <c r="FK74" s="347"/>
      <c r="FL74" s="347"/>
      <c r="FM74" s="540"/>
      <c r="FN74" s="540"/>
      <c r="FO74" s="540"/>
      <c r="FP74" s="540"/>
      <c r="FQ74" s="540"/>
      <c r="FR74" s="540"/>
      <c r="FS74" s="540"/>
      <c r="FT74" s="540"/>
      <c r="FU74" s="540"/>
      <c r="FV74" s="540"/>
      <c r="FW74" s="540"/>
      <c r="FX74" s="540"/>
      <c r="FY74" s="540"/>
      <c r="FZ74" s="540"/>
      <c r="GA74" s="541"/>
      <c r="GB74" s="399"/>
      <c r="GC74" s="399"/>
      <c r="GD74" s="60"/>
    </row>
    <row r="75" spans="1:186" ht="12.6" customHeight="1" x14ac:dyDescent="0.3">
      <c r="A75" s="60"/>
      <c r="B75" s="577"/>
      <c r="C75" s="577"/>
      <c r="D75" s="577"/>
      <c r="E75" s="578"/>
      <c r="F75" s="578"/>
      <c r="G75" s="578"/>
      <c r="H75" s="578"/>
      <c r="I75" s="578"/>
      <c r="J75" s="578"/>
      <c r="K75" s="578"/>
      <c r="L75" s="555"/>
      <c r="M75" s="554"/>
      <c r="N75" s="555"/>
      <c r="O75" s="554"/>
      <c r="P75" s="555"/>
      <c r="Q75" s="555"/>
      <c r="R75" s="554"/>
      <c r="S75" s="554"/>
      <c r="T75" s="555"/>
      <c r="U75" s="554"/>
      <c r="V75" s="555"/>
      <c r="W75" s="555"/>
      <c r="X75" s="555"/>
      <c r="Y75" s="554"/>
      <c r="Z75" s="554"/>
      <c r="AA75" s="579"/>
      <c r="AB75" s="555"/>
      <c r="AC75" s="555"/>
      <c r="AD75" s="555"/>
      <c r="AE75" s="555"/>
      <c r="AF75" s="555"/>
      <c r="AG75" s="572" t="s">
        <v>24</v>
      </c>
      <c r="AH75" s="206" t="s">
        <v>65</v>
      </c>
      <c r="AI75" s="201">
        <f t="shared" si="285"/>
        <v>0</v>
      </c>
      <c r="AJ75" s="201">
        <f t="shared" si="285"/>
        <v>0</v>
      </c>
      <c r="AK75" s="201">
        <f t="shared" si="285"/>
        <v>0</v>
      </c>
      <c r="AL75" s="201">
        <f t="shared" si="285"/>
        <v>0</v>
      </c>
      <c r="AM75" s="202">
        <f t="shared" ref="AM75:AM81" si="287">SUM(AI75:AL75)</f>
        <v>0</v>
      </c>
      <c r="AN75" s="201">
        <f t="shared" si="286"/>
        <v>0</v>
      </c>
      <c r="AO75" s="201">
        <f t="shared" si="286"/>
        <v>0</v>
      </c>
      <c r="AP75" s="201">
        <f t="shared" si="286"/>
        <v>0</v>
      </c>
      <c r="AQ75" s="201">
        <f t="shared" si="286"/>
        <v>0</v>
      </c>
      <c r="AR75" s="202">
        <f t="shared" ref="AR75:AR81" si="288">SUM(AN75:AQ75)</f>
        <v>0</v>
      </c>
      <c r="AS75" s="207">
        <f t="shared" ref="AS75:AS81" si="289">SUM(AM75,AR75)</f>
        <v>0</v>
      </c>
      <c r="AT75" s="902" t="s">
        <v>61</v>
      </c>
      <c r="AU75" s="902"/>
      <c r="AV75" s="902"/>
      <c r="AW75" s="902"/>
      <c r="AX75" s="902">
        <f>ROUNDUP((AX73/AX72)*100,2)</f>
        <v>100</v>
      </c>
      <c r="AY75" s="902"/>
      <c r="AZ75" s="118"/>
      <c r="BA75" s="119"/>
      <c r="BB75" s="497"/>
      <c r="BC75" s="552"/>
      <c r="BD75" s="553"/>
      <c r="BE75" s="552"/>
      <c r="BF75" s="553"/>
      <c r="BG75" s="552"/>
      <c r="BH75" s="552"/>
      <c r="BI75" s="554"/>
      <c r="BJ75" s="554"/>
      <c r="BK75" s="552"/>
      <c r="BL75" s="554"/>
      <c r="BM75" s="555"/>
      <c r="BN75" s="555"/>
      <c r="BO75" s="555"/>
      <c r="BP75" s="555"/>
      <c r="BQ75" s="554"/>
      <c r="BR75" s="555"/>
      <c r="BS75" s="555"/>
      <c r="BT75" s="555"/>
      <c r="BU75" s="555"/>
      <c r="BV75" s="555"/>
      <c r="BW75" s="555"/>
      <c r="BX75" s="556"/>
      <c r="BY75" s="557"/>
      <c r="BZ75" s="556"/>
      <c r="CA75" s="557"/>
      <c r="CB75" s="556"/>
      <c r="CC75" s="556"/>
      <c r="CD75" s="557"/>
      <c r="CE75" s="557"/>
      <c r="CF75" s="556"/>
      <c r="CG75" s="557"/>
      <c r="CH75" s="557"/>
      <c r="CI75" s="557"/>
      <c r="CJ75" s="557"/>
      <c r="CK75" s="557"/>
      <c r="CL75" s="557"/>
      <c r="CM75" s="556"/>
      <c r="CN75" s="556"/>
      <c r="CO75" s="556"/>
      <c r="CP75" s="556"/>
      <c r="CQ75" s="556"/>
      <c r="CR75" s="556"/>
      <c r="CS75" s="555"/>
      <c r="CT75" s="554"/>
      <c r="CU75" s="555"/>
      <c r="CV75" s="554"/>
      <c r="CW75" s="555"/>
      <c r="CX75" s="555"/>
      <c r="CY75" s="554"/>
      <c r="CZ75" s="554"/>
      <c r="DA75" s="555"/>
      <c r="DB75" s="554"/>
      <c r="DC75" s="554"/>
      <c r="DD75" s="554"/>
      <c r="DE75" s="554"/>
      <c r="DF75" s="554"/>
      <c r="DG75" s="554"/>
      <c r="DH75" s="555"/>
      <c r="DI75" s="555"/>
      <c r="DJ75" s="555"/>
      <c r="DK75" s="555"/>
      <c r="DL75" s="555"/>
      <c r="DM75" s="555"/>
      <c r="DN75" s="543"/>
      <c r="DO75" s="118"/>
      <c r="DP75" s="902" t="s">
        <v>61</v>
      </c>
      <c r="DQ75" s="902"/>
      <c r="DR75" s="902"/>
      <c r="DS75" s="902"/>
      <c r="DT75" s="902">
        <f>IFERROR(ROUNDUP((DT73/DT72)*100,2),"N/A")</f>
        <v>0</v>
      </c>
      <c r="DU75" s="902"/>
      <c r="DV75" s="118"/>
      <c r="DW75" s="500"/>
      <c r="DX75" s="534"/>
      <c r="DY75" s="534"/>
      <c r="DZ75" s="534"/>
      <c r="EA75" s="534"/>
      <c r="EB75" s="534"/>
      <c r="EC75" s="534"/>
      <c r="ED75" s="534"/>
      <c r="EE75" s="534"/>
      <c r="EF75" s="534"/>
      <c r="EG75" s="534"/>
      <c r="EH75" s="534"/>
      <c r="EI75" s="534"/>
      <c r="EJ75" s="535"/>
      <c r="EK75" s="535"/>
      <c r="EL75" s="535"/>
      <c r="EM75" s="535"/>
      <c r="EN75" s="535"/>
      <c r="EO75" s="535"/>
      <c r="EP75" s="536"/>
      <c r="EQ75" s="536"/>
      <c r="ER75" s="536"/>
      <c r="ES75" s="536"/>
      <c r="ET75" s="536"/>
      <c r="EU75" s="536"/>
      <c r="EV75" s="537"/>
      <c r="EW75" s="537"/>
      <c r="EX75" s="537"/>
      <c r="EY75" s="537"/>
      <c r="EZ75" s="537"/>
      <c r="FA75" s="537"/>
      <c r="FB75" s="538"/>
      <c r="FC75" s="538"/>
      <c r="FD75" s="538"/>
      <c r="FE75" s="538"/>
      <c r="FF75" s="538"/>
      <c r="FG75" s="538"/>
      <c r="FH75" s="539"/>
      <c r="FI75" s="539"/>
      <c r="FJ75" s="347"/>
      <c r="FK75" s="347"/>
      <c r="FL75" s="347"/>
      <c r="FM75" s="540"/>
      <c r="FN75" s="540"/>
      <c r="FO75" s="540"/>
      <c r="FP75" s="540"/>
      <c r="FQ75" s="540"/>
      <c r="FR75" s="540"/>
      <c r="FS75" s="540"/>
      <c r="FT75" s="540"/>
      <c r="FU75" s="540"/>
      <c r="FV75" s="540"/>
      <c r="FW75" s="540"/>
      <c r="FX75" s="540"/>
      <c r="FY75" s="540"/>
      <c r="FZ75" s="540"/>
      <c r="GA75" s="541"/>
      <c r="GB75" s="399"/>
      <c r="GC75" s="399"/>
      <c r="GD75" s="60"/>
    </row>
    <row r="76" spans="1:186" ht="12.6" customHeight="1" x14ac:dyDescent="0.25">
      <c r="A76" s="60"/>
      <c r="B76" s="577"/>
      <c r="C76" s="577"/>
      <c r="D76" s="577"/>
      <c r="E76" s="578"/>
      <c r="F76" s="578"/>
      <c r="G76" s="578"/>
      <c r="H76" s="578"/>
      <c r="I76" s="578"/>
      <c r="J76" s="578"/>
      <c r="K76" s="578"/>
      <c r="L76" s="555"/>
      <c r="M76" s="554"/>
      <c r="N76" s="555"/>
      <c r="O76" s="554"/>
      <c r="P76" s="555"/>
      <c r="Q76" s="555"/>
      <c r="R76" s="554"/>
      <c r="S76" s="554"/>
      <c r="T76" s="555"/>
      <c r="U76" s="554"/>
      <c r="V76" s="555"/>
      <c r="W76" s="555"/>
      <c r="X76" s="555"/>
      <c r="Y76" s="554"/>
      <c r="Z76" s="554"/>
      <c r="AA76" s="579"/>
      <c r="AB76" s="555"/>
      <c r="AC76" s="555"/>
      <c r="AD76" s="555"/>
      <c r="AE76" s="555"/>
      <c r="AF76" s="555"/>
      <c r="AG76" s="572" t="s">
        <v>55</v>
      </c>
      <c r="AH76" s="206" t="s">
        <v>192</v>
      </c>
      <c r="AI76" s="201">
        <f t="shared" si="285"/>
        <v>0</v>
      </c>
      <c r="AJ76" s="201">
        <f t="shared" si="285"/>
        <v>0</v>
      </c>
      <c r="AK76" s="201">
        <f t="shared" si="285"/>
        <v>0</v>
      </c>
      <c r="AL76" s="201">
        <f t="shared" si="285"/>
        <v>0</v>
      </c>
      <c r="AM76" s="202">
        <f t="shared" si="287"/>
        <v>0</v>
      </c>
      <c r="AN76" s="201">
        <f t="shared" si="286"/>
        <v>0</v>
      </c>
      <c r="AO76" s="201">
        <f t="shared" si="286"/>
        <v>0</v>
      </c>
      <c r="AP76" s="201">
        <f t="shared" si="286"/>
        <v>0</v>
      </c>
      <c r="AQ76" s="201">
        <f t="shared" si="286"/>
        <v>0</v>
      </c>
      <c r="AR76" s="202">
        <f t="shared" si="288"/>
        <v>0</v>
      </c>
      <c r="AS76" s="207">
        <f t="shared" si="289"/>
        <v>0</v>
      </c>
      <c r="AT76" s="903" t="str">
        <f>IF(DASHBOARD!C14="","",DASHBOARD!C14)</f>
        <v>SANSKRIT</v>
      </c>
      <c r="AU76" s="904"/>
      <c r="AV76" s="904"/>
      <c r="AW76" s="904"/>
      <c r="AX76" s="904"/>
      <c r="AY76" s="904"/>
      <c r="AZ76" s="118"/>
      <c r="BA76" s="119"/>
      <c r="BB76" s="497"/>
      <c r="BC76" s="552"/>
      <c r="BD76" s="553"/>
      <c r="BE76" s="552"/>
      <c r="BF76" s="553"/>
      <c r="BG76" s="552"/>
      <c r="BH76" s="552"/>
      <c r="BI76" s="554"/>
      <c r="BJ76" s="554"/>
      <c r="BK76" s="552"/>
      <c r="BL76" s="554"/>
      <c r="BM76" s="555"/>
      <c r="BN76" s="555"/>
      <c r="BO76" s="555"/>
      <c r="BP76" s="555"/>
      <c r="BQ76" s="554"/>
      <c r="BR76" s="555"/>
      <c r="BS76" s="555"/>
      <c r="BT76" s="555"/>
      <c r="BU76" s="555"/>
      <c r="BV76" s="555"/>
      <c r="BW76" s="555"/>
      <c r="BX76" s="556"/>
      <c r="BY76" s="557"/>
      <c r="BZ76" s="556"/>
      <c r="CA76" s="557"/>
      <c r="CB76" s="556"/>
      <c r="CC76" s="556"/>
      <c r="CD76" s="557"/>
      <c r="CE76" s="557"/>
      <c r="CF76" s="556"/>
      <c r="CG76" s="557"/>
      <c r="CH76" s="557"/>
      <c r="CI76" s="557"/>
      <c r="CJ76" s="557"/>
      <c r="CK76" s="557"/>
      <c r="CL76" s="557"/>
      <c r="CM76" s="556"/>
      <c r="CN76" s="556"/>
      <c r="CO76" s="556"/>
      <c r="CP76" s="556"/>
      <c r="CQ76" s="556"/>
      <c r="CR76" s="556"/>
      <c r="CS76" s="555"/>
      <c r="CT76" s="554"/>
      <c r="CU76" s="555"/>
      <c r="CV76" s="554"/>
      <c r="CW76" s="555"/>
      <c r="CX76" s="555"/>
      <c r="CY76" s="554"/>
      <c r="CZ76" s="554"/>
      <c r="DA76" s="555"/>
      <c r="DB76" s="554"/>
      <c r="DC76" s="554"/>
      <c r="DD76" s="554"/>
      <c r="DE76" s="554"/>
      <c r="DF76" s="554"/>
      <c r="DG76" s="554"/>
      <c r="DH76" s="555"/>
      <c r="DI76" s="555"/>
      <c r="DJ76" s="555"/>
      <c r="DK76" s="555"/>
      <c r="DL76" s="555"/>
      <c r="DM76" s="555"/>
      <c r="DN76" s="543"/>
      <c r="DO76" s="118"/>
      <c r="DP76" s="903" t="str">
        <f>IF(DASHBOARD!B21="","",DASHBOARD!B21)</f>
        <v>IT</v>
      </c>
      <c r="DQ76" s="904"/>
      <c r="DR76" s="904"/>
      <c r="DS76" s="904"/>
      <c r="DT76" s="904"/>
      <c r="DU76" s="904"/>
      <c r="DV76" s="118"/>
      <c r="DW76" s="500"/>
      <c r="DX76" s="534"/>
      <c r="DY76" s="534"/>
      <c r="DZ76" s="534"/>
      <c r="EA76" s="534"/>
      <c r="EB76" s="534"/>
      <c r="EC76" s="534"/>
      <c r="ED76" s="534"/>
      <c r="EE76" s="534"/>
      <c r="EF76" s="534"/>
      <c r="EG76" s="534"/>
      <c r="EH76" s="534"/>
      <c r="EI76" s="534"/>
      <c r="EJ76" s="535"/>
      <c r="EK76" s="535"/>
      <c r="EL76" s="535"/>
      <c r="EM76" s="535"/>
      <c r="EN76" s="535"/>
      <c r="EO76" s="535"/>
      <c r="EP76" s="536"/>
      <c r="EQ76" s="536"/>
      <c r="ER76" s="536"/>
      <c r="ES76" s="536"/>
      <c r="ET76" s="536"/>
      <c r="EU76" s="536"/>
      <c r="EV76" s="537"/>
      <c r="EW76" s="537"/>
      <c r="EX76" s="537"/>
      <c r="EY76" s="537"/>
      <c r="EZ76" s="537"/>
      <c r="FA76" s="537"/>
      <c r="FB76" s="538"/>
      <c r="FC76" s="538"/>
      <c r="FD76" s="538"/>
      <c r="FE76" s="538"/>
      <c r="FF76" s="538"/>
      <c r="FG76" s="538"/>
      <c r="FH76" s="539"/>
      <c r="FI76" s="539"/>
      <c r="FJ76" s="347"/>
      <c r="FK76" s="347"/>
      <c r="FL76" s="347"/>
      <c r="FM76" s="540"/>
      <c r="FN76" s="540"/>
      <c r="FO76" s="540"/>
      <c r="FP76" s="540"/>
      <c r="FQ76" s="540"/>
      <c r="FR76" s="540"/>
      <c r="FS76" s="540"/>
      <c r="FT76" s="540"/>
      <c r="FU76" s="540"/>
      <c r="FV76" s="540"/>
      <c r="FW76" s="540"/>
      <c r="FX76" s="540"/>
      <c r="FY76" s="540"/>
      <c r="FZ76" s="540"/>
      <c r="GA76" s="541"/>
      <c r="GB76" s="399"/>
      <c r="GC76" s="399"/>
      <c r="GD76" s="60"/>
    </row>
    <row r="77" spans="1:186" ht="12.6" customHeight="1" x14ac:dyDescent="0.25">
      <c r="A77" s="60"/>
      <c r="B77" s="577"/>
      <c r="C77" s="577"/>
      <c r="D77" s="577"/>
      <c r="E77" s="578"/>
      <c r="F77" s="578"/>
      <c r="G77" s="578"/>
      <c r="H77" s="578"/>
      <c r="I77" s="578"/>
      <c r="J77" s="578"/>
      <c r="K77" s="578"/>
      <c r="L77" s="555"/>
      <c r="M77" s="554"/>
      <c r="N77" s="555"/>
      <c r="O77" s="554"/>
      <c r="P77" s="555"/>
      <c r="Q77" s="555"/>
      <c r="R77" s="554"/>
      <c r="S77" s="554"/>
      <c r="T77" s="555"/>
      <c r="U77" s="554"/>
      <c r="V77" s="555"/>
      <c r="W77" s="555"/>
      <c r="X77" s="555"/>
      <c r="Y77" s="554"/>
      <c r="Z77" s="554"/>
      <c r="AA77" s="579"/>
      <c r="AB77" s="555"/>
      <c r="AC77" s="555"/>
      <c r="AD77" s="555"/>
      <c r="AE77" s="555"/>
      <c r="AF77" s="555"/>
      <c r="AG77" s="572" t="s">
        <v>53</v>
      </c>
      <c r="AH77" s="206" t="s">
        <v>66</v>
      </c>
      <c r="AI77" s="201">
        <f t="shared" si="285"/>
        <v>0</v>
      </c>
      <c r="AJ77" s="201">
        <f t="shared" si="285"/>
        <v>0</v>
      </c>
      <c r="AK77" s="201">
        <f t="shared" si="285"/>
        <v>0</v>
      </c>
      <c r="AL77" s="201">
        <f t="shared" si="285"/>
        <v>0</v>
      </c>
      <c r="AM77" s="202">
        <f t="shared" si="287"/>
        <v>0</v>
      </c>
      <c r="AN77" s="201">
        <f t="shared" si="286"/>
        <v>0</v>
      </c>
      <c r="AO77" s="201">
        <f t="shared" si="286"/>
        <v>0</v>
      </c>
      <c r="AP77" s="201">
        <f t="shared" si="286"/>
        <v>0</v>
      </c>
      <c r="AQ77" s="201">
        <f t="shared" si="286"/>
        <v>0</v>
      </c>
      <c r="AR77" s="202">
        <f t="shared" si="288"/>
        <v>0</v>
      </c>
      <c r="AS77" s="207">
        <f t="shared" si="289"/>
        <v>0</v>
      </c>
      <c r="AT77" s="905" t="s">
        <v>64</v>
      </c>
      <c r="AU77" s="905"/>
      <c r="AV77" s="905"/>
      <c r="AW77" s="905"/>
      <c r="AX77" s="905">
        <f t="shared" ref="AX77:AX84" si="290">COUNTIFS($AX$7:$AX$51,AG74,$AG$7:$AG$51,$AT$76)</f>
        <v>0</v>
      </c>
      <c r="AY77" s="904"/>
      <c r="AZ77" s="118"/>
      <c r="BA77" s="119"/>
      <c r="BB77" s="497"/>
      <c r="BC77" s="552"/>
      <c r="BD77" s="553"/>
      <c r="BE77" s="552"/>
      <c r="BF77" s="553"/>
      <c r="BG77" s="552"/>
      <c r="BH77" s="552"/>
      <c r="BI77" s="554"/>
      <c r="BJ77" s="554"/>
      <c r="BK77" s="552"/>
      <c r="BL77" s="554"/>
      <c r="BM77" s="555"/>
      <c r="BN77" s="555"/>
      <c r="BO77" s="555"/>
      <c r="BP77" s="555"/>
      <c r="BQ77" s="554"/>
      <c r="BR77" s="555"/>
      <c r="BS77" s="555"/>
      <c r="BT77" s="555"/>
      <c r="BU77" s="555"/>
      <c r="BV77" s="555"/>
      <c r="BW77" s="555"/>
      <c r="BX77" s="556"/>
      <c r="BY77" s="557"/>
      <c r="BZ77" s="556"/>
      <c r="CA77" s="557"/>
      <c r="CB77" s="556"/>
      <c r="CC77" s="556"/>
      <c r="CD77" s="557"/>
      <c r="CE77" s="557"/>
      <c r="CF77" s="556"/>
      <c r="CG77" s="557"/>
      <c r="CH77" s="557"/>
      <c r="CI77" s="557"/>
      <c r="CJ77" s="557"/>
      <c r="CK77" s="557"/>
      <c r="CL77" s="557"/>
      <c r="CM77" s="556"/>
      <c r="CN77" s="556"/>
      <c r="CO77" s="556"/>
      <c r="CP77" s="556"/>
      <c r="CQ77" s="556"/>
      <c r="CR77" s="556"/>
      <c r="CS77" s="555"/>
      <c r="CT77" s="554"/>
      <c r="CU77" s="555"/>
      <c r="CV77" s="554"/>
      <c r="CW77" s="555"/>
      <c r="CX77" s="555"/>
      <c r="CY77" s="554"/>
      <c r="CZ77" s="554"/>
      <c r="DA77" s="555"/>
      <c r="DB77" s="554"/>
      <c r="DC77" s="554"/>
      <c r="DD77" s="554"/>
      <c r="DE77" s="554"/>
      <c r="DF77" s="554"/>
      <c r="DG77" s="554"/>
      <c r="DH77" s="555"/>
      <c r="DI77" s="555"/>
      <c r="DJ77" s="555"/>
      <c r="DK77" s="555"/>
      <c r="DL77" s="555"/>
      <c r="DM77" s="555"/>
      <c r="DN77" s="543"/>
      <c r="DO77" s="501" t="s">
        <v>310</v>
      </c>
      <c r="DP77" s="905" t="s">
        <v>64</v>
      </c>
      <c r="DQ77" s="905"/>
      <c r="DR77" s="905"/>
      <c r="DS77" s="905"/>
      <c r="DT77" s="905">
        <f t="shared" ref="DT77:DT84" si="291">COUNTIFS($DS$7:$DS$51,DO77,$DO$7:$DO$51,$DP$76)</f>
        <v>1</v>
      </c>
      <c r="DU77" s="904"/>
      <c r="DV77" s="118"/>
      <c r="DW77" s="500"/>
      <c r="DX77" s="534"/>
      <c r="DY77" s="534"/>
      <c r="DZ77" s="534"/>
      <c r="EA77" s="534"/>
      <c r="EB77" s="534"/>
      <c r="EC77" s="534"/>
      <c r="ED77" s="534"/>
      <c r="EE77" s="534"/>
      <c r="EF77" s="534"/>
      <c r="EG77" s="534"/>
      <c r="EH77" s="534"/>
      <c r="EI77" s="534"/>
      <c r="EJ77" s="535"/>
      <c r="EK77" s="535"/>
      <c r="EL77" s="535"/>
      <c r="EM77" s="535"/>
      <c r="EN77" s="535"/>
      <c r="EO77" s="535"/>
      <c r="EP77" s="536"/>
      <c r="EQ77" s="536"/>
      <c r="ER77" s="536"/>
      <c r="ES77" s="536"/>
      <c r="ET77" s="536"/>
      <c r="EU77" s="536"/>
      <c r="EV77" s="537"/>
      <c r="EW77" s="537"/>
      <c r="EX77" s="537"/>
      <c r="EY77" s="537"/>
      <c r="EZ77" s="537"/>
      <c r="FA77" s="537"/>
      <c r="FB77" s="538"/>
      <c r="FC77" s="538"/>
      <c r="FD77" s="538"/>
      <c r="FE77" s="538"/>
      <c r="FF77" s="538"/>
      <c r="FG77" s="538"/>
      <c r="FH77" s="539"/>
      <c r="FI77" s="539"/>
      <c r="FJ77" s="347"/>
      <c r="FK77" s="347"/>
      <c r="FL77" s="347"/>
      <c r="FM77" s="540"/>
      <c r="FN77" s="540"/>
      <c r="FO77" s="540"/>
      <c r="FP77" s="540"/>
      <c r="FQ77" s="540"/>
      <c r="FR77" s="540"/>
      <c r="FS77" s="540"/>
      <c r="FT77" s="540"/>
      <c r="FU77" s="540"/>
      <c r="FV77" s="540"/>
      <c r="FW77" s="540"/>
      <c r="FX77" s="540"/>
      <c r="FY77" s="540"/>
      <c r="FZ77" s="540"/>
      <c r="GA77" s="541"/>
      <c r="GB77" s="399"/>
      <c r="GC77" s="399"/>
      <c r="GD77" s="60"/>
    </row>
    <row r="78" spans="1:186" ht="12.6" customHeight="1" x14ac:dyDescent="0.25">
      <c r="A78" s="60"/>
      <c r="B78" s="577"/>
      <c r="C78" s="577"/>
      <c r="D78" s="577"/>
      <c r="E78" s="578"/>
      <c r="F78" s="578"/>
      <c r="G78" s="578"/>
      <c r="H78" s="578"/>
      <c r="I78" s="578"/>
      <c r="J78" s="578"/>
      <c r="K78" s="578"/>
      <c r="L78" s="555"/>
      <c r="M78" s="554"/>
      <c r="N78" s="555"/>
      <c r="O78" s="554"/>
      <c r="P78" s="555"/>
      <c r="Q78" s="555"/>
      <c r="R78" s="554"/>
      <c r="S78" s="554"/>
      <c r="T78" s="555"/>
      <c r="U78" s="554"/>
      <c r="V78" s="555"/>
      <c r="W78" s="555"/>
      <c r="X78" s="555"/>
      <c r="Y78" s="554"/>
      <c r="Z78" s="554"/>
      <c r="AA78" s="579"/>
      <c r="AB78" s="555"/>
      <c r="AC78" s="555"/>
      <c r="AD78" s="555"/>
      <c r="AE78" s="555"/>
      <c r="AF78" s="555"/>
      <c r="AG78" s="572" t="s">
        <v>51</v>
      </c>
      <c r="AH78" s="206" t="s">
        <v>67</v>
      </c>
      <c r="AI78" s="201">
        <f t="shared" si="285"/>
        <v>1</v>
      </c>
      <c r="AJ78" s="201">
        <f t="shared" si="285"/>
        <v>0</v>
      </c>
      <c r="AK78" s="201">
        <f t="shared" si="285"/>
        <v>0</v>
      </c>
      <c r="AL78" s="201">
        <f t="shared" si="285"/>
        <v>0</v>
      </c>
      <c r="AM78" s="202">
        <f t="shared" si="287"/>
        <v>1</v>
      </c>
      <c r="AN78" s="201">
        <f t="shared" si="286"/>
        <v>0</v>
      </c>
      <c r="AO78" s="201">
        <f t="shared" si="286"/>
        <v>0</v>
      </c>
      <c r="AP78" s="201">
        <f t="shared" si="286"/>
        <v>0</v>
      </c>
      <c r="AQ78" s="201">
        <f t="shared" si="286"/>
        <v>0</v>
      </c>
      <c r="AR78" s="202">
        <f t="shared" si="288"/>
        <v>0</v>
      </c>
      <c r="AS78" s="207">
        <f t="shared" si="289"/>
        <v>1</v>
      </c>
      <c r="AT78" s="905" t="s">
        <v>65</v>
      </c>
      <c r="AU78" s="905"/>
      <c r="AV78" s="905"/>
      <c r="AW78" s="905"/>
      <c r="AX78" s="905">
        <f t="shared" si="290"/>
        <v>0</v>
      </c>
      <c r="AY78" s="904"/>
      <c r="AZ78" s="118"/>
      <c r="BA78" s="119"/>
      <c r="BB78" s="497"/>
      <c r="BC78" s="552"/>
      <c r="BD78" s="553"/>
      <c r="BE78" s="552"/>
      <c r="BF78" s="553"/>
      <c r="BG78" s="552"/>
      <c r="BH78" s="552"/>
      <c r="BI78" s="554"/>
      <c r="BJ78" s="554"/>
      <c r="BK78" s="552"/>
      <c r="BL78" s="554"/>
      <c r="BM78" s="555"/>
      <c r="BN78" s="555"/>
      <c r="BO78" s="555"/>
      <c r="BP78" s="555"/>
      <c r="BQ78" s="554"/>
      <c r="BR78" s="555"/>
      <c r="BS78" s="555"/>
      <c r="BT78" s="555"/>
      <c r="BU78" s="555"/>
      <c r="BV78" s="555"/>
      <c r="BW78" s="555"/>
      <c r="BX78" s="556"/>
      <c r="BY78" s="557"/>
      <c r="BZ78" s="556"/>
      <c r="CA78" s="557"/>
      <c r="CB78" s="556"/>
      <c r="CC78" s="556"/>
      <c r="CD78" s="557"/>
      <c r="CE78" s="557"/>
      <c r="CF78" s="556"/>
      <c r="CG78" s="557"/>
      <c r="CH78" s="557"/>
      <c r="CI78" s="557"/>
      <c r="CJ78" s="557"/>
      <c r="CK78" s="557"/>
      <c r="CL78" s="557"/>
      <c r="CM78" s="556"/>
      <c r="CN78" s="556"/>
      <c r="CO78" s="556"/>
      <c r="CP78" s="556"/>
      <c r="CQ78" s="556"/>
      <c r="CR78" s="556"/>
      <c r="CS78" s="555"/>
      <c r="CT78" s="554"/>
      <c r="CU78" s="555"/>
      <c r="CV78" s="554"/>
      <c r="CW78" s="555"/>
      <c r="CX78" s="555"/>
      <c r="CY78" s="554"/>
      <c r="CZ78" s="554"/>
      <c r="DA78" s="555"/>
      <c r="DB78" s="554"/>
      <c r="DC78" s="554"/>
      <c r="DD78" s="554"/>
      <c r="DE78" s="554"/>
      <c r="DF78" s="554"/>
      <c r="DG78" s="554"/>
      <c r="DH78" s="555"/>
      <c r="DI78" s="555"/>
      <c r="DJ78" s="555"/>
      <c r="DK78" s="555"/>
      <c r="DL78" s="555"/>
      <c r="DM78" s="555"/>
      <c r="DN78" s="543"/>
      <c r="DO78" s="501" t="s">
        <v>24</v>
      </c>
      <c r="DP78" s="905" t="s">
        <v>65</v>
      </c>
      <c r="DQ78" s="905"/>
      <c r="DR78" s="905"/>
      <c r="DS78" s="905"/>
      <c r="DT78" s="905">
        <f t="shared" si="291"/>
        <v>0</v>
      </c>
      <c r="DU78" s="904"/>
      <c r="DV78" s="118"/>
      <c r="DW78" s="500"/>
      <c r="DX78" s="534"/>
      <c r="DY78" s="534"/>
      <c r="DZ78" s="534"/>
      <c r="EA78" s="534"/>
      <c r="EB78" s="534"/>
      <c r="EC78" s="534"/>
      <c r="ED78" s="534"/>
      <c r="EE78" s="534"/>
      <c r="EF78" s="534"/>
      <c r="EG78" s="534"/>
      <c r="EH78" s="534"/>
      <c r="EI78" s="534"/>
      <c r="EJ78" s="535"/>
      <c r="EK78" s="535"/>
      <c r="EL78" s="535"/>
      <c r="EM78" s="535"/>
      <c r="EN78" s="535"/>
      <c r="EO78" s="535"/>
      <c r="EP78" s="536"/>
      <c r="EQ78" s="536"/>
      <c r="ER78" s="536"/>
      <c r="ES78" s="536"/>
      <c r="ET78" s="536"/>
      <c r="EU78" s="536"/>
      <c r="EV78" s="537"/>
      <c r="EW78" s="537"/>
      <c r="EX78" s="537"/>
      <c r="EY78" s="537"/>
      <c r="EZ78" s="537"/>
      <c r="FA78" s="537"/>
      <c r="FB78" s="538"/>
      <c r="FC78" s="538"/>
      <c r="FD78" s="538"/>
      <c r="FE78" s="538"/>
      <c r="FF78" s="538"/>
      <c r="FG78" s="538"/>
      <c r="FH78" s="539"/>
      <c r="FI78" s="539"/>
      <c r="FJ78" s="347"/>
      <c r="FK78" s="347"/>
      <c r="FL78" s="347"/>
      <c r="FM78" s="540"/>
      <c r="FN78" s="540"/>
      <c r="FO78" s="540"/>
      <c r="FP78" s="540"/>
      <c r="FQ78" s="540"/>
      <c r="FR78" s="540"/>
      <c r="FS78" s="540"/>
      <c r="FT78" s="540"/>
      <c r="FU78" s="540"/>
      <c r="FV78" s="540"/>
      <c r="FW78" s="540"/>
      <c r="FX78" s="540"/>
      <c r="FY78" s="540"/>
      <c r="FZ78" s="540"/>
      <c r="GA78" s="541"/>
      <c r="GB78" s="399"/>
      <c r="GC78" s="399"/>
      <c r="GD78" s="60"/>
    </row>
    <row r="79" spans="1:186" ht="12.6" customHeight="1" x14ac:dyDescent="0.25">
      <c r="A79" s="60"/>
      <c r="B79" s="577"/>
      <c r="C79" s="577"/>
      <c r="D79" s="577"/>
      <c r="E79" s="578"/>
      <c r="F79" s="578"/>
      <c r="G79" s="578"/>
      <c r="H79" s="578"/>
      <c r="I79" s="578"/>
      <c r="J79" s="578"/>
      <c r="K79" s="578"/>
      <c r="L79" s="555"/>
      <c r="M79" s="554"/>
      <c r="N79" s="555"/>
      <c r="O79" s="554"/>
      <c r="P79" s="555"/>
      <c r="Q79" s="555"/>
      <c r="R79" s="554"/>
      <c r="S79" s="554"/>
      <c r="T79" s="555"/>
      <c r="U79" s="554"/>
      <c r="V79" s="555"/>
      <c r="W79" s="555"/>
      <c r="X79" s="555"/>
      <c r="Y79" s="554"/>
      <c r="Z79" s="554"/>
      <c r="AA79" s="579"/>
      <c r="AB79" s="555"/>
      <c r="AC79" s="555"/>
      <c r="AD79" s="555"/>
      <c r="AE79" s="555"/>
      <c r="AF79" s="555"/>
      <c r="AG79" s="572" t="s">
        <v>49</v>
      </c>
      <c r="AH79" s="206" t="s">
        <v>68</v>
      </c>
      <c r="AI79" s="201">
        <f t="shared" si="285"/>
        <v>0</v>
      </c>
      <c r="AJ79" s="201">
        <f t="shared" si="285"/>
        <v>0</v>
      </c>
      <c r="AK79" s="201">
        <f t="shared" si="285"/>
        <v>0</v>
      </c>
      <c r="AL79" s="201">
        <f t="shared" si="285"/>
        <v>0</v>
      </c>
      <c r="AM79" s="202">
        <f t="shared" si="287"/>
        <v>0</v>
      </c>
      <c r="AN79" s="201">
        <f t="shared" si="286"/>
        <v>0</v>
      </c>
      <c r="AO79" s="201">
        <f t="shared" si="286"/>
        <v>0</v>
      </c>
      <c r="AP79" s="201">
        <f t="shared" si="286"/>
        <v>0</v>
      </c>
      <c r="AQ79" s="201">
        <f t="shared" si="286"/>
        <v>0</v>
      </c>
      <c r="AR79" s="202">
        <f t="shared" si="288"/>
        <v>0</v>
      </c>
      <c r="AS79" s="207">
        <f t="shared" si="289"/>
        <v>0</v>
      </c>
      <c r="AT79" s="905" t="s">
        <v>54</v>
      </c>
      <c r="AU79" s="905"/>
      <c r="AV79" s="905"/>
      <c r="AW79" s="905"/>
      <c r="AX79" s="905">
        <f t="shared" si="290"/>
        <v>0</v>
      </c>
      <c r="AY79" s="904"/>
      <c r="AZ79" s="118"/>
      <c r="BA79" s="119"/>
      <c r="BB79" s="497"/>
      <c r="BC79" s="552"/>
      <c r="BD79" s="553"/>
      <c r="BE79" s="552"/>
      <c r="BF79" s="553"/>
      <c r="BG79" s="552"/>
      <c r="BH79" s="552"/>
      <c r="BI79" s="554"/>
      <c r="BJ79" s="554"/>
      <c r="BK79" s="552"/>
      <c r="BL79" s="554"/>
      <c r="BM79" s="555"/>
      <c r="BN79" s="555"/>
      <c r="BO79" s="555"/>
      <c r="BP79" s="555"/>
      <c r="BQ79" s="554"/>
      <c r="BR79" s="555"/>
      <c r="BS79" s="555"/>
      <c r="BT79" s="555"/>
      <c r="BU79" s="555"/>
      <c r="BV79" s="555"/>
      <c r="BW79" s="555"/>
      <c r="BX79" s="556"/>
      <c r="BY79" s="557"/>
      <c r="BZ79" s="556"/>
      <c r="CA79" s="557"/>
      <c r="CB79" s="556"/>
      <c r="CC79" s="556"/>
      <c r="CD79" s="557"/>
      <c r="CE79" s="557"/>
      <c r="CF79" s="556"/>
      <c r="CG79" s="557"/>
      <c r="CH79" s="557"/>
      <c r="CI79" s="557"/>
      <c r="CJ79" s="557"/>
      <c r="CK79" s="557"/>
      <c r="CL79" s="557"/>
      <c r="CM79" s="556"/>
      <c r="CN79" s="556"/>
      <c r="CO79" s="556"/>
      <c r="CP79" s="556"/>
      <c r="CQ79" s="556"/>
      <c r="CR79" s="556"/>
      <c r="CS79" s="555"/>
      <c r="CT79" s="554"/>
      <c r="CU79" s="555"/>
      <c r="CV79" s="554"/>
      <c r="CW79" s="555"/>
      <c r="CX79" s="555"/>
      <c r="CY79" s="554"/>
      <c r="CZ79" s="554"/>
      <c r="DA79" s="555"/>
      <c r="DB79" s="554"/>
      <c r="DC79" s="554"/>
      <c r="DD79" s="554"/>
      <c r="DE79" s="554"/>
      <c r="DF79" s="554"/>
      <c r="DG79" s="554"/>
      <c r="DH79" s="555"/>
      <c r="DI79" s="555"/>
      <c r="DJ79" s="555"/>
      <c r="DK79" s="555"/>
      <c r="DL79" s="555"/>
      <c r="DM79" s="555"/>
      <c r="DN79" s="543"/>
      <c r="DO79" s="501" t="s">
        <v>55</v>
      </c>
      <c r="DP79" s="905" t="s">
        <v>54</v>
      </c>
      <c r="DQ79" s="905"/>
      <c r="DR79" s="905"/>
      <c r="DS79" s="905"/>
      <c r="DT79" s="905">
        <f t="shared" si="291"/>
        <v>0</v>
      </c>
      <c r="DU79" s="904"/>
      <c r="DV79" s="118"/>
      <c r="DW79" s="500"/>
      <c r="DX79" s="534"/>
      <c r="DY79" s="534"/>
      <c r="DZ79" s="534"/>
      <c r="EA79" s="534"/>
      <c r="EB79" s="534"/>
      <c r="EC79" s="534"/>
      <c r="ED79" s="534"/>
      <c r="EE79" s="534"/>
      <c r="EF79" s="534"/>
      <c r="EG79" s="534"/>
      <c r="EH79" s="534"/>
      <c r="EI79" s="534"/>
      <c r="EJ79" s="535"/>
      <c r="EK79" s="535"/>
      <c r="EL79" s="535"/>
      <c r="EM79" s="535"/>
      <c r="EN79" s="535"/>
      <c r="EO79" s="535"/>
      <c r="EP79" s="536"/>
      <c r="EQ79" s="536"/>
      <c r="ER79" s="536"/>
      <c r="ES79" s="536"/>
      <c r="ET79" s="536"/>
      <c r="EU79" s="536"/>
      <c r="EV79" s="537"/>
      <c r="EW79" s="537"/>
      <c r="EX79" s="537"/>
      <c r="EY79" s="537"/>
      <c r="EZ79" s="537"/>
      <c r="FA79" s="537"/>
      <c r="FB79" s="538"/>
      <c r="FC79" s="538"/>
      <c r="FD79" s="538"/>
      <c r="FE79" s="538"/>
      <c r="FF79" s="538"/>
      <c r="FG79" s="538"/>
      <c r="FH79" s="539"/>
      <c r="FI79" s="539"/>
      <c r="FJ79" s="347"/>
      <c r="FK79" s="347"/>
      <c r="FL79" s="347"/>
      <c r="FM79" s="540"/>
      <c r="FN79" s="540"/>
      <c r="FO79" s="540"/>
      <c r="FP79" s="540"/>
      <c r="FQ79" s="540"/>
      <c r="FR79" s="540"/>
      <c r="FS79" s="540"/>
      <c r="FT79" s="540"/>
      <c r="FU79" s="540"/>
      <c r="FV79" s="540"/>
      <c r="FW79" s="540"/>
      <c r="FX79" s="540"/>
      <c r="FY79" s="540"/>
      <c r="FZ79" s="540"/>
      <c r="GA79" s="541"/>
      <c r="GB79" s="399"/>
      <c r="GC79" s="399"/>
      <c r="GD79" s="60"/>
    </row>
    <row r="80" spans="1:186" ht="12.6" customHeight="1" x14ac:dyDescent="0.25">
      <c r="A80" s="60"/>
      <c r="B80" s="577"/>
      <c r="C80" s="577"/>
      <c r="D80" s="577"/>
      <c r="E80" s="578"/>
      <c r="F80" s="578"/>
      <c r="G80" s="578"/>
      <c r="H80" s="578"/>
      <c r="I80" s="578"/>
      <c r="J80" s="578"/>
      <c r="K80" s="578"/>
      <c r="L80" s="555"/>
      <c r="M80" s="554"/>
      <c r="N80" s="555"/>
      <c r="O80" s="554"/>
      <c r="P80" s="555"/>
      <c r="Q80" s="555"/>
      <c r="R80" s="554"/>
      <c r="S80" s="554"/>
      <c r="T80" s="555"/>
      <c r="U80" s="554"/>
      <c r="V80" s="555"/>
      <c r="W80" s="555"/>
      <c r="X80" s="555"/>
      <c r="Y80" s="554"/>
      <c r="Z80" s="554"/>
      <c r="AA80" s="579"/>
      <c r="AB80" s="555"/>
      <c r="AC80" s="555"/>
      <c r="AD80" s="555"/>
      <c r="AE80" s="555"/>
      <c r="AF80" s="555"/>
      <c r="AG80" s="572" t="s">
        <v>47</v>
      </c>
      <c r="AH80" s="206" t="s">
        <v>193</v>
      </c>
      <c r="AI80" s="201">
        <f t="shared" si="285"/>
        <v>0</v>
      </c>
      <c r="AJ80" s="201">
        <f t="shared" si="285"/>
        <v>0</v>
      </c>
      <c r="AK80" s="201">
        <f t="shared" si="285"/>
        <v>0</v>
      </c>
      <c r="AL80" s="201">
        <f t="shared" si="285"/>
        <v>0</v>
      </c>
      <c r="AM80" s="202">
        <f t="shared" si="287"/>
        <v>0</v>
      </c>
      <c r="AN80" s="201">
        <f t="shared" si="286"/>
        <v>0</v>
      </c>
      <c r="AO80" s="201">
        <f t="shared" si="286"/>
        <v>0</v>
      </c>
      <c r="AP80" s="201">
        <f t="shared" si="286"/>
        <v>0</v>
      </c>
      <c r="AQ80" s="201">
        <f t="shared" si="286"/>
        <v>0</v>
      </c>
      <c r="AR80" s="202">
        <f t="shared" si="288"/>
        <v>0</v>
      </c>
      <c r="AS80" s="207">
        <f t="shared" si="289"/>
        <v>0</v>
      </c>
      <c r="AT80" s="905" t="s">
        <v>66</v>
      </c>
      <c r="AU80" s="905"/>
      <c r="AV80" s="905"/>
      <c r="AW80" s="905"/>
      <c r="AX80" s="905">
        <f t="shared" si="290"/>
        <v>0</v>
      </c>
      <c r="AY80" s="904"/>
      <c r="AZ80" s="118"/>
      <c r="BA80" s="119"/>
      <c r="BB80" s="497"/>
      <c r="BC80" s="552"/>
      <c r="BD80" s="553"/>
      <c r="BE80" s="552"/>
      <c r="BF80" s="553"/>
      <c r="BG80" s="552"/>
      <c r="BH80" s="552"/>
      <c r="BI80" s="554"/>
      <c r="BJ80" s="554"/>
      <c r="BK80" s="552"/>
      <c r="BL80" s="554"/>
      <c r="BM80" s="555"/>
      <c r="BN80" s="555"/>
      <c r="BO80" s="555"/>
      <c r="BP80" s="555"/>
      <c r="BQ80" s="554"/>
      <c r="BR80" s="555"/>
      <c r="BS80" s="555"/>
      <c r="BT80" s="555"/>
      <c r="BU80" s="555"/>
      <c r="BV80" s="555"/>
      <c r="BW80" s="555"/>
      <c r="BX80" s="556"/>
      <c r="BY80" s="557"/>
      <c r="BZ80" s="556"/>
      <c r="CA80" s="557"/>
      <c r="CB80" s="556"/>
      <c r="CC80" s="556"/>
      <c r="CD80" s="557"/>
      <c r="CE80" s="557"/>
      <c r="CF80" s="556"/>
      <c r="CG80" s="557"/>
      <c r="CH80" s="557"/>
      <c r="CI80" s="557"/>
      <c r="CJ80" s="557"/>
      <c r="CK80" s="557"/>
      <c r="CL80" s="557"/>
      <c r="CM80" s="556"/>
      <c r="CN80" s="556"/>
      <c r="CO80" s="556"/>
      <c r="CP80" s="556"/>
      <c r="CQ80" s="556"/>
      <c r="CR80" s="556"/>
      <c r="CS80" s="555"/>
      <c r="CT80" s="554"/>
      <c r="CU80" s="555"/>
      <c r="CV80" s="554"/>
      <c r="CW80" s="555"/>
      <c r="CX80" s="555"/>
      <c r="CY80" s="554"/>
      <c r="CZ80" s="554"/>
      <c r="DA80" s="555"/>
      <c r="DB80" s="554"/>
      <c r="DC80" s="554"/>
      <c r="DD80" s="554"/>
      <c r="DE80" s="554"/>
      <c r="DF80" s="554"/>
      <c r="DG80" s="554"/>
      <c r="DH80" s="555"/>
      <c r="DI80" s="555"/>
      <c r="DJ80" s="555"/>
      <c r="DK80" s="555"/>
      <c r="DL80" s="555"/>
      <c r="DM80" s="555"/>
      <c r="DN80" s="543"/>
      <c r="DO80" s="501" t="s">
        <v>53</v>
      </c>
      <c r="DP80" s="905" t="s">
        <v>66</v>
      </c>
      <c r="DQ80" s="905"/>
      <c r="DR80" s="905"/>
      <c r="DS80" s="905"/>
      <c r="DT80" s="905">
        <f t="shared" si="291"/>
        <v>0</v>
      </c>
      <c r="DU80" s="904"/>
      <c r="DV80" s="118"/>
      <c r="DW80" s="500"/>
      <c r="DX80" s="534"/>
      <c r="DY80" s="534"/>
      <c r="DZ80" s="534"/>
      <c r="EA80" s="534"/>
      <c r="EB80" s="534"/>
      <c r="EC80" s="534"/>
      <c r="ED80" s="534"/>
      <c r="EE80" s="534"/>
      <c r="EF80" s="534"/>
      <c r="EG80" s="534"/>
      <c r="EH80" s="534"/>
      <c r="EI80" s="534"/>
      <c r="EJ80" s="535"/>
      <c r="EK80" s="535"/>
      <c r="EL80" s="535"/>
      <c r="EM80" s="535"/>
      <c r="EN80" s="535"/>
      <c r="EO80" s="535"/>
      <c r="EP80" s="536"/>
      <c r="EQ80" s="536"/>
      <c r="ER80" s="536"/>
      <c r="ES80" s="536"/>
      <c r="ET80" s="536"/>
      <c r="EU80" s="536"/>
      <c r="EV80" s="537"/>
      <c r="EW80" s="537"/>
      <c r="EX80" s="537"/>
      <c r="EY80" s="537"/>
      <c r="EZ80" s="537"/>
      <c r="FA80" s="537"/>
      <c r="FB80" s="538"/>
      <c r="FC80" s="538"/>
      <c r="FD80" s="538"/>
      <c r="FE80" s="538"/>
      <c r="FF80" s="538"/>
      <c r="FG80" s="538"/>
      <c r="FH80" s="539"/>
      <c r="FI80" s="539"/>
      <c r="FJ80" s="347"/>
      <c r="FK80" s="347"/>
      <c r="FL80" s="347"/>
      <c r="FM80" s="540"/>
      <c r="FN80" s="540"/>
      <c r="FO80" s="540"/>
      <c r="FP80" s="540"/>
      <c r="FQ80" s="540"/>
      <c r="FR80" s="540"/>
      <c r="FS80" s="540"/>
      <c r="FT80" s="540"/>
      <c r="FU80" s="540"/>
      <c r="FV80" s="540"/>
      <c r="FW80" s="540"/>
      <c r="FX80" s="540"/>
      <c r="FY80" s="540"/>
      <c r="FZ80" s="540"/>
      <c r="GA80" s="541"/>
      <c r="GB80" s="399"/>
      <c r="GC80" s="399"/>
      <c r="GD80" s="60"/>
    </row>
    <row r="81" spans="1:186" ht="12.6" customHeight="1" x14ac:dyDescent="0.25">
      <c r="A81" s="60"/>
      <c r="B81" s="577"/>
      <c r="C81" s="577"/>
      <c r="D81" s="577"/>
      <c r="E81" s="578"/>
      <c r="F81" s="578"/>
      <c r="G81" s="578"/>
      <c r="H81" s="578"/>
      <c r="I81" s="578"/>
      <c r="J81" s="578"/>
      <c r="K81" s="578"/>
      <c r="L81" s="555"/>
      <c r="M81" s="554"/>
      <c r="N81" s="555"/>
      <c r="O81" s="554"/>
      <c r="P81" s="555"/>
      <c r="Q81" s="555"/>
      <c r="R81" s="554"/>
      <c r="S81" s="554"/>
      <c r="T81" s="555"/>
      <c r="U81" s="554"/>
      <c r="V81" s="555"/>
      <c r="W81" s="555"/>
      <c r="X81" s="555"/>
      <c r="Y81" s="554"/>
      <c r="Z81" s="554"/>
      <c r="AA81" s="579"/>
      <c r="AB81" s="555"/>
      <c r="AC81" s="555"/>
      <c r="AD81" s="555"/>
      <c r="AE81" s="555"/>
      <c r="AF81" s="555"/>
      <c r="AG81" s="572" t="s">
        <v>45</v>
      </c>
      <c r="AH81" s="206" t="s">
        <v>44</v>
      </c>
      <c r="AI81" s="201">
        <f t="shared" si="285"/>
        <v>0</v>
      </c>
      <c r="AJ81" s="201">
        <f t="shared" si="285"/>
        <v>0</v>
      </c>
      <c r="AK81" s="201">
        <f t="shared" si="285"/>
        <v>0</v>
      </c>
      <c r="AL81" s="201">
        <f t="shared" si="285"/>
        <v>0</v>
      </c>
      <c r="AM81" s="202">
        <f t="shared" si="287"/>
        <v>0</v>
      </c>
      <c r="AN81" s="201">
        <f t="shared" si="286"/>
        <v>0</v>
      </c>
      <c r="AO81" s="201">
        <f t="shared" si="286"/>
        <v>0</v>
      </c>
      <c r="AP81" s="201">
        <f t="shared" si="286"/>
        <v>0</v>
      </c>
      <c r="AQ81" s="201">
        <f t="shared" si="286"/>
        <v>0</v>
      </c>
      <c r="AR81" s="202">
        <f t="shared" si="288"/>
        <v>0</v>
      </c>
      <c r="AS81" s="207">
        <f t="shared" si="289"/>
        <v>0</v>
      </c>
      <c r="AT81" s="905" t="s">
        <v>67</v>
      </c>
      <c r="AU81" s="905"/>
      <c r="AV81" s="905"/>
      <c r="AW81" s="905"/>
      <c r="AX81" s="905">
        <f t="shared" si="290"/>
        <v>1</v>
      </c>
      <c r="AY81" s="904"/>
      <c r="AZ81" s="118"/>
      <c r="BA81" s="119"/>
      <c r="BB81" s="497"/>
      <c r="BC81" s="552"/>
      <c r="BD81" s="553"/>
      <c r="BE81" s="552"/>
      <c r="BF81" s="553"/>
      <c r="BG81" s="552"/>
      <c r="BH81" s="552"/>
      <c r="BI81" s="554"/>
      <c r="BJ81" s="554"/>
      <c r="BK81" s="552"/>
      <c r="BL81" s="554"/>
      <c r="BM81" s="555"/>
      <c r="BN81" s="555"/>
      <c r="BO81" s="555"/>
      <c r="BP81" s="555"/>
      <c r="BQ81" s="554"/>
      <c r="BR81" s="555"/>
      <c r="BS81" s="555"/>
      <c r="BT81" s="555"/>
      <c r="BU81" s="555"/>
      <c r="BV81" s="555"/>
      <c r="BW81" s="555"/>
      <c r="BX81" s="556"/>
      <c r="BY81" s="557"/>
      <c r="BZ81" s="556"/>
      <c r="CA81" s="557"/>
      <c r="CB81" s="556"/>
      <c r="CC81" s="556"/>
      <c r="CD81" s="557"/>
      <c r="CE81" s="557"/>
      <c r="CF81" s="556"/>
      <c r="CG81" s="557"/>
      <c r="CH81" s="557"/>
      <c r="CI81" s="557"/>
      <c r="CJ81" s="557"/>
      <c r="CK81" s="557"/>
      <c r="CL81" s="557"/>
      <c r="CM81" s="556"/>
      <c r="CN81" s="556"/>
      <c r="CO81" s="556"/>
      <c r="CP81" s="556"/>
      <c r="CQ81" s="556"/>
      <c r="CR81" s="556"/>
      <c r="CS81" s="555"/>
      <c r="CT81" s="554"/>
      <c r="CU81" s="555"/>
      <c r="CV81" s="554"/>
      <c r="CW81" s="555"/>
      <c r="CX81" s="555"/>
      <c r="CY81" s="554"/>
      <c r="CZ81" s="554"/>
      <c r="DA81" s="555"/>
      <c r="DB81" s="554"/>
      <c r="DC81" s="554"/>
      <c r="DD81" s="554"/>
      <c r="DE81" s="554"/>
      <c r="DF81" s="554"/>
      <c r="DG81" s="554"/>
      <c r="DH81" s="555"/>
      <c r="DI81" s="555"/>
      <c r="DJ81" s="555"/>
      <c r="DK81" s="555"/>
      <c r="DL81" s="555"/>
      <c r="DM81" s="555"/>
      <c r="DN81" s="543"/>
      <c r="DO81" s="501" t="s">
        <v>51</v>
      </c>
      <c r="DP81" s="905" t="s">
        <v>67</v>
      </c>
      <c r="DQ81" s="905"/>
      <c r="DR81" s="905"/>
      <c r="DS81" s="905"/>
      <c r="DT81" s="905">
        <f t="shared" si="291"/>
        <v>0</v>
      </c>
      <c r="DU81" s="904"/>
      <c r="DV81" s="118"/>
      <c r="DW81" s="500"/>
      <c r="DX81" s="534"/>
      <c r="DY81" s="534"/>
      <c r="DZ81" s="534"/>
      <c r="EA81" s="534"/>
      <c r="EB81" s="534"/>
      <c r="EC81" s="534"/>
      <c r="ED81" s="534"/>
      <c r="EE81" s="534"/>
      <c r="EF81" s="534"/>
      <c r="EG81" s="534"/>
      <c r="EH81" s="534"/>
      <c r="EI81" s="534"/>
      <c r="EJ81" s="535"/>
      <c r="EK81" s="535"/>
      <c r="EL81" s="535"/>
      <c r="EM81" s="535"/>
      <c r="EN81" s="535"/>
      <c r="EO81" s="535"/>
      <c r="EP81" s="536"/>
      <c r="EQ81" s="536"/>
      <c r="ER81" s="536"/>
      <c r="ES81" s="536"/>
      <c r="ET81" s="536"/>
      <c r="EU81" s="536"/>
      <c r="EV81" s="537"/>
      <c r="EW81" s="537"/>
      <c r="EX81" s="537"/>
      <c r="EY81" s="537"/>
      <c r="EZ81" s="537"/>
      <c r="FA81" s="537"/>
      <c r="FB81" s="538"/>
      <c r="FC81" s="538"/>
      <c r="FD81" s="538"/>
      <c r="FE81" s="538"/>
      <c r="FF81" s="538"/>
      <c r="FG81" s="538"/>
      <c r="FH81" s="539"/>
      <c r="FI81" s="539"/>
      <c r="FJ81" s="347"/>
      <c r="FK81" s="347"/>
      <c r="FL81" s="347"/>
      <c r="FM81" s="540"/>
      <c r="FN81" s="540"/>
      <c r="FO81" s="540"/>
      <c r="FP81" s="540"/>
      <c r="FQ81" s="540"/>
      <c r="FR81" s="540"/>
      <c r="FS81" s="540"/>
      <c r="FT81" s="540"/>
      <c r="FU81" s="540"/>
      <c r="FV81" s="540"/>
      <c r="FW81" s="540"/>
      <c r="FX81" s="540"/>
      <c r="FY81" s="540"/>
      <c r="FZ81" s="540"/>
      <c r="GA81" s="541"/>
      <c r="GB81" s="399"/>
      <c r="GC81" s="399"/>
      <c r="GD81" s="60"/>
    </row>
    <row r="82" spans="1:186" ht="12.6" customHeight="1" x14ac:dyDescent="0.25">
      <c r="A82" s="60"/>
      <c r="B82" s="577"/>
      <c r="C82" s="577"/>
      <c r="D82" s="577"/>
      <c r="E82" s="578"/>
      <c r="F82" s="578"/>
      <c r="G82" s="578"/>
      <c r="H82" s="578"/>
      <c r="I82" s="578"/>
      <c r="J82" s="578"/>
      <c r="K82" s="578"/>
      <c r="L82" s="555"/>
      <c r="M82" s="554"/>
      <c r="N82" s="555"/>
      <c r="O82" s="554"/>
      <c r="P82" s="555"/>
      <c r="Q82" s="555"/>
      <c r="R82" s="554"/>
      <c r="S82" s="554"/>
      <c r="T82" s="555"/>
      <c r="U82" s="554"/>
      <c r="V82" s="555"/>
      <c r="W82" s="555"/>
      <c r="X82" s="555"/>
      <c r="Y82" s="554"/>
      <c r="Z82" s="554"/>
      <c r="AA82" s="579"/>
      <c r="AB82" s="555"/>
      <c r="AC82" s="555"/>
      <c r="AD82" s="555"/>
      <c r="AE82" s="555"/>
      <c r="AF82" s="555"/>
      <c r="AG82" s="573"/>
      <c r="AH82" s="206" t="s">
        <v>57</v>
      </c>
      <c r="AI82" s="201">
        <f>SUM(AI74:AI81)</f>
        <v>1</v>
      </c>
      <c r="AJ82" s="201">
        <f t="shared" ref="AJ82" si="292">SUM(AJ74:AJ81)</f>
        <v>0</v>
      </c>
      <c r="AK82" s="201">
        <f t="shared" ref="AK82" si="293">SUM(AK74:AK81)</f>
        <v>0</v>
      </c>
      <c r="AL82" s="201">
        <f t="shared" ref="AL82:AM82" si="294">SUM(AL74:AL81)</f>
        <v>0</v>
      </c>
      <c r="AM82" s="202">
        <f t="shared" si="294"/>
        <v>1</v>
      </c>
      <c r="AN82" s="201">
        <f>SUM(AN74:AN81)</f>
        <v>0</v>
      </c>
      <c r="AO82" s="201">
        <f t="shared" ref="AO82" si="295">SUM(AO74:AO81)</f>
        <v>0</v>
      </c>
      <c r="AP82" s="201">
        <f t="shared" ref="AP82" si="296">SUM(AP74:AP81)</f>
        <v>0</v>
      </c>
      <c r="AQ82" s="201">
        <f t="shared" ref="AQ82" si="297">SUM(AQ74:AQ81)</f>
        <v>0</v>
      </c>
      <c r="AR82" s="202">
        <f t="shared" ref="AR82:AS82" si="298">SUM(AR74:AR81)</f>
        <v>0</v>
      </c>
      <c r="AS82" s="207">
        <f t="shared" si="298"/>
        <v>1</v>
      </c>
      <c r="AT82" s="905" t="s">
        <v>68</v>
      </c>
      <c r="AU82" s="905"/>
      <c r="AV82" s="905"/>
      <c r="AW82" s="905"/>
      <c r="AX82" s="905">
        <f t="shared" si="290"/>
        <v>0</v>
      </c>
      <c r="AY82" s="904"/>
      <c r="AZ82" s="118"/>
      <c r="BA82" s="119"/>
      <c r="BB82" s="497"/>
      <c r="BC82" s="552"/>
      <c r="BD82" s="553"/>
      <c r="BE82" s="552"/>
      <c r="BF82" s="553"/>
      <c r="BG82" s="552"/>
      <c r="BH82" s="552"/>
      <c r="BI82" s="554"/>
      <c r="BJ82" s="554"/>
      <c r="BK82" s="552"/>
      <c r="BL82" s="554"/>
      <c r="BM82" s="555"/>
      <c r="BN82" s="555"/>
      <c r="BO82" s="555"/>
      <c r="BP82" s="555"/>
      <c r="BQ82" s="554"/>
      <c r="BR82" s="555"/>
      <c r="BS82" s="555"/>
      <c r="BT82" s="555"/>
      <c r="BU82" s="555"/>
      <c r="BV82" s="555"/>
      <c r="BW82" s="555"/>
      <c r="BX82" s="556"/>
      <c r="BY82" s="557"/>
      <c r="BZ82" s="556"/>
      <c r="CA82" s="557"/>
      <c r="CB82" s="556"/>
      <c r="CC82" s="556"/>
      <c r="CD82" s="557"/>
      <c r="CE82" s="557"/>
      <c r="CF82" s="556"/>
      <c r="CG82" s="557"/>
      <c r="CH82" s="557"/>
      <c r="CI82" s="557"/>
      <c r="CJ82" s="557"/>
      <c r="CK82" s="557"/>
      <c r="CL82" s="557"/>
      <c r="CM82" s="556"/>
      <c r="CN82" s="556"/>
      <c r="CO82" s="556"/>
      <c r="CP82" s="556"/>
      <c r="CQ82" s="556"/>
      <c r="CR82" s="556"/>
      <c r="CS82" s="555"/>
      <c r="CT82" s="554"/>
      <c r="CU82" s="555"/>
      <c r="CV82" s="554"/>
      <c r="CW82" s="555"/>
      <c r="CX82" s="555"/>
      <c r="CY82" s="554"/>
      <c r="CZ82" s="554"/>
      <c r="DA82" s="555"/>
      <c r="DB82" s="554"/>
      <c r="DC82" s="554"/>
      <c r="DD82" s="554"/>
      <c r="DE82" s="554"/>
      <c r="DF82" s="554"/>
      <c r="DG82" s="554"/>
      <c r="DH82" s="555"/>
      <c r="DI82" s="555"/>
      <c r="DJ82" s="555"/>
      <c r="DK82" s="555"/>
      <c r="DL82" s="555"/>
      <c r="DM82" s="555"/>
      <c r="DN82" s="543"/>
      <c r="DO82" s="501" t="s">
        <v>49</v>
      </c>
      <c r="DP82" s="905" t="s">
        <v>68</v>
      </c>
      <c r="DQ82" s="905"/>
      <c r="DR82" s="905"/>
      <c r="DS82" s="905"/>
      <c r="DT82" s="905">
        <f t="shared" si="291"/>
        <v>0</v>
      </c>
      <c r="DU82" s="904"/>
      <c r="DV82" s="118"/>
      <c r="DW82" s="500"/>
      <c r="DX82" s="534"/>
      <c r="DY82" s="534"/>
      <c r="DZ82" s="534"/>
      <c r="EA82" s="534"/>
      <c r="EB82" s="534"/>
      <c r="EC82" s="534"/>
      <c r="ED82" s="534"/>
      <c r="EE82" s="534"/>
      <c r="EF82" s="534"/>
      <c r="EG82" s="534"/>
      <c r="EH82" s="534"/>
      <c r="EI82" s="534"/>
      <c r="EJ82" s="535"/>
      <c r="EK82" s="535"/>
      <c r="EL82" s="535"/>
      <c r="EM82" s="535"/>
      <c r="EN82" s="535"/>
      <c r="EO82" s="535"/>
      <c r="EP82" s="536"/>
      <c r="EQ82" s="536"/>
      <c r="ER82" s="536"/>
      <c r="ES82" s="536"/>
      <c r="ET82" s="536"/>
      <c r="EU82" s="536"/>
      <c r="EV82" s="537"/>
      <c r="EW82" s="537"/>
      <c r="EX82" s="537"/>
      <c r="EY82" s="537"/>
      <c r="EZ82" s="537"/>
      <c r="FA82" s="537"/>
      <c r="FB82" s="538"/>
      <c r="FC82" s="538"/>
      <c r="FD82" s="538"/>
      <c r="FE82" s="538"/>
      <c r="FF82" s="538"/>
      <c r="FG82" s="538"/>
      <c r="FH82" s="539"/>
      <c r="FI82" s="539"/>
      <c r="FJ82" s="347"/>
      <c r="FK82" s="347"/>
      <c r="FL82" s="347"/>
      <c r="FM82" s="540"/>
      <c r="FN82" s="540"/>
      <c r="FO82" s="540"/>
      <c r="FP82" s="540"/>
      <c r="FQ82" s="540"/>
      <c r="FR82" s="540"/>
      <c r="FS82" s="540"/>
      <c r="FT82" s="540"/>
      <c r="FU82" s="540"/>
      <c r="FV82" s="540"/>
      <c r="FW82" s="540"/>
      <c r="FX82" s="540"/>
      <c r="FY82" s="540"/>
      <c r="FZ82" s="540"/>
      <c r="GA82" s="541"/>
      <c r="GB82" s="399"/>
      <c r="GC82" s="399"/>
      <c r="GD82" s="60"/>
    </row>
    <row r="83" spans="1:186" ht="12.6" customHeight="1" x14ac:dyDescent="0.25">
      <c r="A83" s="60"/>
      <c r="B83" s="577"/>
      <c r="C83" s="577"/>
      <c r="D83" s="577"/>
      <c r="E83" s="578"/>
      <c r="F83" s="578"/>
      <c r="G83" s="578"/>
      <c r="H83" s="578"/>
      <c r="I83" s="578"/>
      <c r="J83" s="578"/>
      <c r="K83" s="578"/>
      <c r="L83" s="555"/>
      <c r="M83" s="554"/>
      <c r="N83" s="555"/>
      <c r="O83" s="554"/>
      <c r="P83" s="555"/>
      <c r="Q83" s="555"/>
      <c r="R83" s="554"/>
      <c r="S83" s="554"/>
      <c r="T83" s="555"/>
      <c r="U83" s="554"/>
      <c r="V83" s="555"/>
      <c r="W83" s="555"/>
      <c r="X83" s="555"/>
      <c r="Y83" s="554"/>
      <c r="Z83" s="554"/>
      <c r="AA83" s="579"/>
      <c r="AB83" s="555"/>
      <c r="AC83" s="555"/>
      <c r="AD83" s="555"/>
      <c r="AE83" s="555"/>
      <c r="AF83" s="555"/>
      <c r="AG83" s="571"/>
      <c r="AH83" s="159"/>
      <c r="AI83" s="208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905" t="s">
        <v>193</v>
      </c>
      <c r="AU83" s="905"/>
      <c r="AV83" s="905"/>
      <c r="AW83" s="905"/>
      <c r="AX83" s="905">
        <f t="shared" si="290"/>
        <v>0</v>
      </c>
      <c r="AY83" s="904"/>
      <c r="AZ83" s="118"/>
      <c r="BA83" s="119"/>
      <c r="BB83" s="497"/>
      <c r="BC83" s="552"/>
      <c r="BD83" s="553"/>
      <c r="BE83" s="552"/>
      <c r="BF83" s="553"/>
      <c r="BG83" s="552"/>
      <c r="BH83" s="552"/>
      <c r="BI83" s="554"/>
      <c r="BJ83" s="554"/>
      <c r="BK83" s="552"/>
      <c r="BL83" s="554"/>
      <c r="BM83" s="555"/>
      <c r="BN83" s="555"/>
      <c r="BO83" s="555"/>
      <c r="BP83" s="555"/>
      <c r="BQ83" s="554"/>
      <c r="BR83" s="555"/>
      <c r="BS83" s="555"/>
      <c r="BT83" s="555"/>
      <c r="BU83" s="555"/>
      <c r="BV83" s="555"/>
      <c r="BW83" s="555"/>
      <c r="BX83" s="556"/>
      <c r="BY83" s="557"/>
      <c r="BZ83" s="556"/>
      <c r="CA83" s="557"/>
      <c r="CB83" s="556"/>
      <c r="CC83" s="556"/>
      <c r="CD83" s="557"/>
      <c r="CE83" s="557"/>
      <c r="CF83" s="556"/>
      <c r="CG83" s="557"/>
      <c r="CH83" s="557"/>
      <c r="CI83" s="557"/>
      <c r="CJ83" s="557"/>
      <c r="CK83" s="557"/>
      <c r="CL83" s="557"/>
      <c r="CM83" s="556"/>
      <c r="CN83" s="556"/>
      <c r="CO83" s="556"/>
      <c r="CP83" s="556"/>
      <c r="CQ83" s="556"/>
      <c r="CR83" s="556"/>
      <c r="CS83" s="555"/>
      <c r="CT83" s="554"/>
      <c r="CU83" s="555"/>
      <c r="CV83" s="554"/>
      <c r="CW83" s="555"/>
      <c r="CX83" s="555"/>
      <c r="CY83" s="554"/>
      <c r="CZ83" s="554"/>
      <c r="DA83" s="555"/>
      <c r="DB83" s="554"/>
      <c r="DC83" s="554"/>
      <c r="DD83" s="554"/>
      <c r="DE83" s="554"/>
      <c r="DF83" s="554"/>
      <c r="DG83" s="554"/>
      <c r="DH83" s="555"/>
      <c r="DI83" s="555"/>
      <c r="DJ83" s="555"/>
      <c r="DK83" s="555"/>
      <c r="DL83" s="555"/>
      <c r="DM83" s="555"/>
      <c r="DN83" s="543"/>
      <c r="DO83" s="501" t="s">
        <v>47</v>
      </c>
      <c r="DP83" s="905" t="s">
        <v>193</v>
      </c>
      <c r="DQ83" s="905"/>
      <c r="DR83" s="905"/>
      <c r="DS83" s="905"/>
      <c r="DT83" s="905">
        <f t="shared" si="291"/>
        <v>0</v>
      </c>
      <c r="DU83" s="904"/>
      <c r="DV83" s="118"/>
      <c r="DW83" s="500"/>
      <c r="DX83" s="534"/>
      <c r="DY83" s="534"/>
      <c r="DZ83" s="534"/>
      <c r="EA83" s="534"/>
      <c r="EB83" s="534"/>
      <c r="EC83" s="534"/>
      <c r="ED83" s="534"/>
      <c r="EE83" s="534"/>
      <c r="EF83" s="534"/>
      <c r="EG83" s="534"/>
      <c r="EH83" s="534"/>
      <c r="EI83" s="534"/>
      <c r="EJ83" s="535"/>
      <c r="EK83" s="535"/>
      <c r="EL83" s="535"/>
      <c r="EM83" s="535"/>
      <c r="EN83" s="535"/>
      <c r="EO83" s="535"/>
      <c r="EP83" s="536"/>
      <c r="EQ83" s="536"/>
      <c r="ER83" s="536"/>
      <c r="ES83" s="536"/>
      <c r="ET83" s="536"/>
      <c r="EU83" s="536"/>
      <c r="EV83" s="537"/>
      <c r="EW83" s="537"/>
      <c r="EX83" s="537"/>
      <c r="EY83" s="537"/>
      <c r="EZ83" s="537"/>
      <c r="FA83" s="537"/>
      <c r="FB83" s="538"/>
      <c r="FC83" s="538"/>
      <c r="FD83" s="538"/>
      <c r="FE83" s="538"/>
      <c r="FF83" s="538"/>
      <c r="FG83" s="538"/>
      <c r="FH83" s="539"/>
      <c r="FI83" s="539"/>
      <c r="FJ83" s="347"/>
      <c r="FK83" s="347"/>
      <c r="FL83" s="347"/>
      <c r="FM83" s="540"/>
      <c r="FN83" s="540"/>
      <c r="FO83" s="540"/>
      <c r="FP83" s="540"/>
      <c r="FQ83" s="540"/>
      <c r="FR83" s="540"/>
      <c r="FS83" s="540"/>
      <c r="FT83" s="540"/>
      <c r="FU83" s="540"/>
      <c r="FV83" s="540"/>
      <c r="FW83" s="540"/>
      <c r="FX83" s="540"/>
      <c r="FY83" s="540"/>
      <c r="FZ83" s="540"/>
      <c r="GA83" s="541"/>
      <c r="GB83" s="399"/>
      <c r="GC83" s="399"/>
      <c r="GD83" s="60"/>
    </row>
    <row r="84" spans="1:186" ht="12.6" customHeight="1" x14ac:dyDescent="0.25">
      <c r="A84" s="60"/>
      <c r="B84" s="577"/>
      <c r="C84" s="577"/>
      <c r="D84" s="577"/>
      <c r="E84" s="578"/>
      <c r="F84" s="578"/>
      <c r="G84" s="578"/>
      <c r="H84" s="578"/>
      <c r="I84" s="578"/>
      <c r="J84" s="578"/>
      <c r="K84" s="578"/>
      <c r="L84" s="555"/>
      <c r="M84" s="554"/>
      <c r="N84" s="555"/>
      <c r="O84" s="554"/>
      <c r="P84" s="555"/>
      <c r="Q84" s="555"/>
      <c r="R84" s="554"/>
      <c r="S84" s="554"/>
      <c r="T84" s="555"/>
      <c r="U84" s="554"/>
      <c r="V84" s="555"/>
      <c r="W84" s="555"/>
      <c r="X84" s="555"/>
      <c r="Y84" s="554"/>
      <c r="Z84" s="554"/>
      <c r="AA84" s="579"/>
      <c r="AB84" s="555"/>
      <c r="AC84" s="555"/>
      <c r="AD84" s="555"/>
      <c r="AE84" s="555"/>
      <c r="AF84" s="555"/>
      <c r="AG84" s="571"/>
      <c r="AH84" s="159" t="s">
        <v>194</v>
      </c>
      <c r="AI84" s="201">
        <f>COUNTIFS($I$7:$I$51,$AI$63,$J$7:$J$51,AI$53,$AG$7:$AG$51,$AT$76,$AW$7:$AW$51,"&gt;=60")</f>
        <v>1</v>
      </c>
      <c r="AJ84" s="201">
        <f>COUNTIFS($I$7:$I$51,$AI$63,$J$7:$J$51,AJ$53,$AG$7:$AG$51,$AT$76,$AW$7:$AW$51,"&gt;=60")</f>
        <v>0</v>
      </c>
      <c r="AK84" s="201">
        <f>COUNTIFS($I$7:$I$51,$AI$63,$J$7:$J$51,AK$53,$AG$7:$AG$51,$AT$76,$AW$7:$AW$51,"&gt;=60")</f>
        <v>0</v>
      </c>
      <c r="AL84" s="201">
        <f>COUNTIFS($I$7:$I$51,$AI$63,$J$7:$J$51,AL$53,$AG$7:$AG$51,$AT$76,$AW$7:$AW$51,"&gt;=60")</f>
        <v>0</v>
      </c>
      <c r="AM84" s="202">
        <f>SUM(AI84:AL84)</f>
        <v>1</v>
      </c>
      <c r="AN84" s="201">
        <f>COUNTIFS($I$7:$I$51,$AN$63,$J$7:$J$51,AN$53,$AG$7:$AG$51,$AT$76,$AW$7:$AW$51,"&gt;=60")</f>
        <v>0</v>
      </c>
      <c r="AO84" s="201">
        <f>COUNTIFS($I$7:$I$51,$AN$63,$J$7:$J$51,AO$53,$AG$7:$AG$51,$AT$76,$AW$7:$AW$51,"&gt;=60")</f>
        <v>0</v>
      </c>
      <c r="AP84" s="201">
        <f>COUNTIFS($I$7:$I$51,$AN$63,$J$7:$J$51,AP$53,$AG$7:$AG$51,$AT$76,$AW$7:$AW$51,"&gt;=60")</f>
        <v>0</v>
      </c>
      <c r="AQ84" s="201">
        <f>COUNTIFS($I$7:$I$51,$AN$63,$J$7:$J$51,AQ$53,$AG$7:$AG$51,$AT$76,$AW$7:$AW$51,"&gt;=60")</f>
        <v>0</v>
      </c>
      <c r="AR84" s="202">
        <f>SUM(AN84:AQ84)</f>
        <v>0</v>
      </c>
      <c r="AS84" s="207">
        <f>SUM(AM84,AR84)</f>
        <v>1</v>
      </c>
      <c r="AT84" s="905" t="s">
        <v>44</v>
      </c>
      <c r="AU84" s="905"/>
      <c r="AV84" s="905"/>
      <c r="AW84" s="905"/>
      <c r="AX84" s="905">
        <f t="shared" si="290"/>
        <v>0</v>
      </c>
      <c r="AY84" s="904"/>
      <c r="AZ84" s="118"/>
      <c r="BA84" s="119"/>
      <c r="BB84" s="497"/>
      <c r="BC84" s="552"/>
      <c r="BD84" s="553"/>
      <c r="BE84" s="552"/>
      <c r="BF84" s="553"/>
      <c r="BG84" s="552"/>
      <c r="BH84" s="552"/>
      <c r="BI84" s="554"/>
      <c r="BJ84" s="554"/>
      <c r="BK84" s="552"/>
      <c r="BL84" s="554"/>
      <c r="BM84" s="555"/>
      <c r="BN84" s="555"/>
      <c r="BO84" s="555"/>
      <c r="BP84" s="555"/>
      <c r="BQ84" s="554"/>
      <c r="BR84" s="555"/>
      <c r="BS84" s="555"/>
      <c r="BT84" s="555"/>
      <c r="BU84" s="555"/>
      <c r="BV84" s="555"/>
      <c r="BW84" s="555"/>
      <c r="BX84" s="556"/>
      <c r="BY84" s="557"/>
      <c r="BZ84" s="556"/>
      <c r="CA84" s="557"/>
      <c r="CB84" s="556"/>
      <c r="CC84" s="556"/>
      <c r="CD84" s="557"/>
      <c r="CE84" s="557"/>
      <c r="CF84" s="556"/>
      <c r="CG84" s="557"/>
      <c r="CH84" s="557"/>
      <c r="CI84" s="557"/>
      <c r="CJ84" s="557"/>
      <c r="CK84" s="557"/>
      <c r="CL84" s="557"/>
      <c r="CM84" s="556"/>
      <c r="CN84" s="556"/>
      <c r="CO84" s="556"/>
      <c r="CP84" s="556"/>
      <c r="CQ84" s="556"/>
      <c r="CR84" s="556"/>
      <c r="CS84" s="555"/>
      <c r="CT84" s="554"/>
      <c r="CU84" s="555"/>
      <c r="CV84" s="554"/>
      <c r="CW84" s="555"/>
      <c r="CX84" s="555"/>
      <c r="CY84" s="554"/>
      <c r="CZ84" s="554"/>
      <c r="DA84" s="555"/>
      <c r="DB84" s="554"/>
      <c r="DC84" s="554"/>
      <c r="DD84" s="554"/>
      <c r="DE84" s="554"/>
      <c r="DF84" s="554"/>
      <c r="DG84" s="554"/>
      <c r="DH84" s="555"/>
      <c r="DI84" s="555"/>
      <c r="DJ84" s="555"/>
      <c r="DK84" s="555"/>
      <c r="DL84" s="555"/>
      <c r="DM84" s="555"/>
      <c r="DN84" s="543"/>
      <c r="DO84" s="501" t="s">
        <v>45</v>
      </c>
      <c r="DP84" s="905" t="s">
        <v>44</v>
      </c>
      <c r="DQ84" s="905"/>
      <c r="DR84" s="905"/>
      <c r="DS84" s="905"/>
      <c r="DT84" s="905">
        <f t="shared" si="291"/>
        <v>0</v>
      </c>
      <c r="DU84" s="904"/>
      <c r="DV84" s="118"/>
      <c r="DW84" s="500"/>
      <c r="DX84" s="534"/>
      <c r="DY84" s="534"/>
      <c r="DZ84" s="534"/>
      <c r="EA84" s="534"/>
      <c r="EB84" s="534"/>
      <c r="EC84" s="534"/>
      <c r="ED84" s="534"/>
      <c r="EE84" s="534"/>
      <c r="EF84" s="534"/>
      <c r="EG84" s="534"/>
      <c r="EH84" s="534"/>
      <c r="EI84" s="534"/>
      <c r="EJ84" s="535"/>
      <c r="EK84" s="535"/>
      <c r="EL84" s="535"/>
      <c r="EM84" s="535"/>
      <c r="EN84" s="535"/>
      <c r="EO84" s="535"/>
      <c r="EP84" s="536"/>
      <c r="EQ84" s="536"/>
      <c r="ER84" s="536"/>
      <c r="ES84" s="536"/>
      <c r="ET84" s="536"/>
      <c r="EU84" s="536"/>
      <c r="EV84" s="537"/>
      <c r="EW84" s="537"/>
      <c r="EX84" s="537"/>
      <c r="EY84" s="537"/>
      <c r="EZ84" s="537"/>
      <c r="FA84" s="537"/>
      <c r="FB84" s="538"/>
      <c r="FC84" s="538"/>
      <c r="FD84" s="538"/>
      <c r="FE84" s="538"/>
      <c r="FF84" s="538"/>
      <c r="FG84" s="538"/>
      <c r="FH84" s="539"/>
      <c r="FI84" s="539"/>
      <c r="FJ84" s="347"/>
      <c r="FK84" s="347"/>
      <c r="FL84" s="347"/>
      <c r="FM84" s="540"/>
      <c r="FN84" s="540"/>
      <c r="FO84" s="540"/>
      <c r="FP84" s="540"/>
      <c r="FQ84" s="540"/>
      <c r="FR84" s="540"/>
      <c r="FS84" s="540"/>
      <c r="FT84" s="540"/>
      <c r="FU84" s="540"/>
      <c r="FV84" s="540"/>
      <c r="FW84" s="540"/>
      <c r="FX84" s="540"/>
      <c r="FY84" s="540"/>
      <c r="FZ84" s="540"/>
      <c r="GA84" s="541"/>
      <c r="GB84" s="399"/>
      <c r="GC84" s="399"/>
      <c r="GD84" s="60"/>
    </row>
    <row r="85" spans="1:186" ht="12.6" customHeight="1" x14ac:dyDescent="0.3">
      <c r="A85" s="60"/>
      <c r="B85" s="577"/>
      <c r="C85" s="577"/>
      <c r="D85" s="577"/>
      <c r="E85" s="578"/>
      <c r="F85" s="578"/>
      <c r="G85" s="578"/>
      <c r="H85" s="578"/>
      <c r="I85" s="578"/>
      <c r="J85" s="578"/>
      <c r="K85" s="578"/>
      <c r="L85" s="555"/>
      <c r="M85" s="554"/>
      <c r="N85" s="555"/>
      <c r="O85" s="554"/>
      <c r="P85" s="555"/>
      <c r="Q85" s="555"/>
      <c r="R85" s="554"/>
      <c r="S85" s="554"/>
      <c r="T85" s="555"/>
      <c r="U85" s="554"/>
      <c r="V85" s="555"/>
      <c r="W85" s="555"/>
      <c r="X85" s="555"/>
      <c r="Y85" s="554"/>
      <c r="Z85" s="554"/>
      <c r="AA85" s="579"/>
      <c r="AB85" s="555"/>
      <c r="AC85" s="555"/>
      <c r="AD85" s="555"/>
      <c r="AE85" s="555"/>
      <c r="AF85" s="555"/>
      <c r="AG85" s="571"/>
      <c r="AH85" s="159" t="s">
        <v>195</v>
      </c>
      <c r="AI85" s="201">
        <f>COUNTIFS($I$7:$I$51,$AI$63,$J$7:$J$51,AI$53,$AG$7:$AG$51,$AT$76,$AW$7:$AW$51,"&gt;=48",$AW$7:$AW$51,"&lt;60")</f>
        <v>0</v>
      </c>
      <c r="AJ85" s="201">
        <f>COUNTIFS($I$7:$I$51,$AI$63,$J$7:$J$51,AJ$53,$AG$7:$AG$51,$AT$76,$AW$7:$AW$51,"&gt;=48",$AW$7:$AW$51,"&lt;60")</f>
        <v>0</v>
      </c>
      <c r="AK85" s="201">
        <f>COUNTIFS($I$7:$I$51,$AI$63,$J$7:$J$51,AK$53,$AG$7:$AG$51,$AT$76,$AW$7:$AW$51,"&gt;=48",$AW$7:$AW$51,"&lt;60")</f>
        <v>0</v>
      </c>
      <c r="AL85" s="201">
        <f>COUNTIFS($I$7:$I$51,$AI$63,$J$7:$J$51,AL$53,$AG$7:$AG$51,$AT$76,$AW$7:$AW$51,"&gt;=48",$AW$7:$AW$51,"&lt;60")</f>
        <v>0</v>
      </c>
      <c r="AM85" s="202">
        <f t="shared" ref="AM85:AM88" si="299">SUM(AI85:AL85)</f>
        <v>0</v>
      </c>
      <c r="AN85" s="201">
        <f>COUNTIFS($I$7:$I$51,$AN$63,$J$7:$J$51,AN$53,$AG$7:$AG$51,$AT$76,$AW$7:$AW$51,"&gt;=48",$AW$7:$AW$51,"&lt;60")</f>
        <v>0</v>
      </c>
      <c r="AO85" s="201">
        <f>COUNTIFS($I$7:$I$51,$AN$63,$J$7:$J$51,AO$53,$AG$7:$AG$51,$AT$76,$AW$7:$AW$51,"&gt;=48",$AW$7:$AW$51,"&lt;60")</f>
        <v>0</v>
      </c>
      <c r="AP85" s="201">
        <f>COUNTIFS($I$7:$I$51,$AN$63,$J$7:$J$51,AP$53,$AG$7:$AG$51,$AT$76,$AW$7:$AW$51,"&gt;=48",$AW$7:$AW$51,"&lt;60")</f>
        <v>0</v>
      </c>
      <c r="AQ85" s="201">
        <f>COUNTIFS($I$7:$I$51,$AN$63,$J$7:$J$51,AQ$53,$AG$7:$AG$51,$AT$76,$AW$7:$AW$51,"&gt;=48",$AW$7:$AW$51,"&lt;60")</f>
        <v>0</v>
      </c>
      <c r="AR85" s="202">
        <f t="shared" ref="AR85:AR88" si="300">SUM(AN85:AQ85)</f>
        <v>0</v>
      </c>
      <c r="AS85" s="207">
        <f t="shared" ref="AS85:AS89" si="301">SUM(AM85,AR85)</f>
        <v>0</v>
      </c>
      <c r="AT85" s="906" t="s">
        <v>57</v>
      </c>
      <c r="AU85" s="906"/>
      <c r="AV85" s="906"/>
      <c r="AW85" s="906"/>
      <c r="AX85" s="906">
        <f>SUM(AX77:AX84)</f>
        <v>1</v>
      </c>
      <c r="AY85" s="904"/>
      <c r="AZ85" s="118"/>
      <c r="BA85" s="119"/>
      <c r="BB85" s="497"/>
      <c r="BC85" s="552"/>
      <c r="BD85" s="553"/>
      <c r="BE85" s="552"/>
      <c r="BF85" s="553"/>
      <c r="BG85" s="552"/>
      <c r="BH85" s="552"/>
      <c r="BI85" s="554"/>
      <c r="BJ85" s="554"/>
      <c r="BK85" s="552"/>
      <c r="BL85" s="554"/>
      <c r="BM85" s="555"/>
      <c r="BN85" s="555"/>
      <c r="BO85" s="555"/>
      <c r="BP85" s="555"/>
      <c r="BQ85" s="554"/>
      <c r="BR85" s="555"/>
      <c r="BS85" s="555"/>
      <c r="BT85" s="555"/>
      <c r="BU85" s="555"/>
      <c r="BV85" s="555"/>
      <c r="BW85" s="555"/>
      <c r="BX85" s="556"/>
      <c r="BY85" s="557"/>
      <c r="BZ85" s="556"/>
      <c r="CA85" s="557"/>
      <c r="CB85" s="556"/>
      <c r="CC85" s="556"/>
      <c r="CD85" s="557"/>
      <c r="CE85" s="557"/>
      <c r="CF85" s="556"/>
      <c r="CG85" s="557"/>
      <c r="CH85" s="557"/>
      <c r="CI85" s="557"/>
      <c r="CJ85" s="557"/>
      <c r="CK85" s="557"/>
      <c r="CL85" s="557"/>
      <c r="CM85" s="556"/>
      <c r="CN85" s="556"/>
      <c r="CO85" s="556"/>
      <c r="CP85" s="556"/>
      <c r="CQ85" s="556"/>
      <c r="CR85" s="556"/>
      <c r="CS85" s="555"/>
      <c r="CT85" s="554"/>
      <c r="CU85" s="555"/>
      <c r="CV85" s="554"/>
      <c r="CW85" s="555"/>
      <c r="CX85" s="555"/>
      <c r="CY85" s="554"/>
      <c r="CZ85" s="554"/>
      <c r="DA85" s="555"/>
      <c r="DB85" s="554"/>
      <c r="DC85" s="554"/>
      <c r="DD85" s="554"/>
      <c r="DE85" s="554"/>
      <c r="DF85" s="554"/>
      <c r="DG85" s="554"/>
      <c r="DH85" s="555"/>
      <c r="DI85" s="555"/>
      <c r="DJ85" s="555"/>
      <c r="DK85" s="555"/>
      <c r="DL85" s="555"/>
      <c r="DM85" s="555"/>
      <c r="DN85" s="543"/>
      <c r="DO85" s="118"/>
      <c r="DP85" s="906" t="s">
        <v>57</v>
      </c>
      <c r="DQ85" s="906"/>
      <c r="DR85" s="906"/>
      <c r="DS85" s="906"/>
      <c r="DT85" s="906">
        <f>SUM(DT77:DT84)</f>
        <v>1</v>
      </c>
      <c r="DU85" s="904"/>
      <c r="DV85" s="118"/>
      <c r="DW85" s="500"/>
      <c r="DX85" s="534"/>
      <c r="DY85" s="534"/>
      <c r="DZ85" s="534"/>
      <c r="EA85" s="534"/>
      <c r="EB85" s="534"/>
      <c r="EC85" s="534"/>
      <c r="ED85" s="534"/>
      <c r="EE85" s="534"/>
      <c r="EF85" s="534"/>
      <c r="EG85" s="534"/>
      <c r="EH85" s="534"/>
      <c r="EI85" s="534"/>
      <c r="EJ85" s="535"/>
      <c r="EK85" s="535"/>
      <c r="EL85" s="535"/>
      <c r="EM85" s="535"/>
      <c r="EN85" s="535"/>
      <c r="EO85" s="535"/>
      <c r="EP85" s="536"/>
      <c r="EQ85" s="536"/>
      <c r="ER85" s="536"/>
      <c r="ES85" s="536"/>
      <c r="ET85" s="536"/>
      <c r="EU85" s="536"/>
      <c r="EV85" s="537"/>
      <c r="EW85" s="537"/>
      <c r="EX85" s="537"/>
      <c r="EY85" s="537"/>
      <c r="EZ85" s="537"/>
      <c r="FA85" s="537"/>
      <c r="FB85" s="538"/>
      <c r="FC85" s="538"/>
      <c r="FD85" s="538"/>
      <c r="FE85" s="538"/>
      <c r="FF85" s="538"/>
      <c r="FG85" s="538"/>
      <c r="FH85" s="539"/>
      <c r="FI85" s="539"/>
      <c r="FJ85" s="347"/>
      <c r="FK85" s="347"/>
      <c r="FL85" s="347"/>
      <c r="FM85" s="540"/>
      <c r="FN85" s="540"/>
      <c r="FO85" s="540"/>
      <c r="FP85" s="540"/>
      <c r="FQ85" s="540"/>
      <c r="FR85" s="540"/>
      <c r="FS85" s="540"/>
      <c r="FT85" s="540"/>
      <c r="FU85" s="540"/>
      <c r="FV85" s="540"/>
      <c r="FW85" s="540"/>
      <c r="FX85" s="540"/>
      <c r="FY85" s="540"/>
      <c r="FZ85" s="540"/>
      <c r="GA85" s="541"/>
      <c r="GB85" s="399"/>
      <c r="GC85" s="399"/>
      <c r="GD85" s="60"/>
    </row>
    <row r="86" spans="1:186" ht="12.6" customHeight="1" x14ac:dyDescent="0.25">
      <c r="A86" s="60"/>
      <c r="B86" s="577"/>
      <c r="C86" s="577"/>
      <c r="D86" s="577"/>
      <c r="E86" s="578"/>
      <c r="F86" s="578"/>
      <c r="G86" s="578"/>
      <c r="H86" s="578"/>
      <c r="I86" s="578"/>
      <c r="J86" s="578"/>
      <c r="K86" s="578"/>
      <c r="L86" s="555"/>
      <c r="M86" s="554"/>
      <c r="N86" s="555"/>
      <c r="O86" s="554"/>
      <c r="P86" s="555"/>
      <c r="Q86" s="555"/>
      <c r="R86" s="554"/>
      <c r="S86" s="554"/>
      <c r="T86" s="555"/>
      <c r="U86" s="554"/>
      <c r="V86" s="555"/>
      <c r="W86" s="555"/>
      <c r="X86" s="555"/>
      <c r="Y86" s="554"/>
      <c r="Z86" s="554"/>
      <c r="AA86" s="579"/>
      <c r="AB86" s="555"/>
      <c r="AC86" s="555"/>
      <c r="AD86" s="555"/>
      <c r="AE86" s="555"/>
      <c r="AF86" s="555"/>
      <c r="AG86" s="571"/>
      <c r="AH86" s="159" t="s">
        <v>196</v>
      </c>
      <c r="AI86" s="201">
        <f>COUNTIFS($I$7:$I$51,$AI$63,$J$7:$J$51,AI$53,$AG$7:$AG$51,$AT$76,$AW$7:$AW$51,"&gt;=33",$AW$7:$AW$51,"&lt;48")</f>
        <v>0</v>
      </c>
      <c r="AJ86" s="201">
        <f>COUNTIFS($I$7:$I$51,$AI$63,$J$7:$J$51,AJ$53,$AG$7:$AG$51,$AT$76,$AW$7:$AW$51,"&gt;=33",$AW$7:$AW$51,"&lt;48")</f>
        <v>0</v>
      </c>
      <c r="AK86" s="201">
        <f>COUNTIFS($I$7:$I$51,$AI$63,$J$7:$J$51,AK$53,$AG$7:$AG$51,$AT$76,$AW$7:$AW$51,"&gt;=33",$AW$7:$AW$51,"&lt;48")</f>
        <v>0</v>
      </c>
      <c r="AL86" s="201">
        <f>COUNTIFS($I$7:$I$51,$AI$63,$J$7:$J$51,AL$53,$AG$7:$AG$51,$AT$76,$AW$7:$AW$51,"&gt;=33",$AW$7:$AW$51,"&lt;48")</f>
        <v>0</v>
      </c>
      <c r="AM86" s="202">
        <f t="shared" si="299"/>
        <v>0</v>
      </c>
      <c r="AN86" s="201">
        <f>COUNTIFS($I$7:$I$51,$AN$63,$J$7:$J$51,AN$53,$AG$7:$AG$51,$AT$76,$AW$7:$AW$51,"&gt;=33",$AW$7:$AW$51,"&lt;48")</f>
        <v>0</v>
      </c>
      <c r="AO86" s="201">
        <f>COUNTIFS($I$7:$I$51,$AN$63,$J$7:$J$51,AO$53,$AG$7:$AG$51,$AT$76,$AW$7:$AW$51,"&gt;=33",$AW$7:$AW$51,"&lt;48")</f>
        <v>0</v>
      </c>
      <c r="AP86" s="201">
        <f>COUNTIFS($I$7:$I$51,$AN$63,$J$7:$J$51,AP$53,$AG$7:$AG$51,$AT$76,$AW$7:$AW$51,"&gt;=33",$AW$7:$AW$51,"&lt;48")</f>
        <v>0</v>
      </c>
      <c r="AQ86" s="201">
        <f>COUNTIFS($I$7:$I$51,$AN$63,$J$7:$J$51,AQ$53,$AG$7:$AG$51,$AT$76,$AW$7:$AW$51,"&gt;=33",$AW$7:$AW$51,"&lt;48")</f>
        <v>0</v>
      </c>
      <c r="AR86" s="202">
        <f t="shared" si="300"/>
        <v>0</v>
      </c>
      <c r="AS86" s="207">
        <f t="shared" si="301"/>
        <v>0</v>
      </c>
      <c r="AT86" s="905" t="s">
        <v>70</v>
      </c>
      <c r="AU86" s="905"/>
      <c r="AV86" s="905"/>
      <c r="AW86" s="905"/>
      <c r="AX86" s="905">
        <f>COUNTIFS(AW7:AW51,"&gt;=60",$AG$7:$AG$51,$AT$76)</f>
        <v>1</v>
      </c>
      <c r="AY86" s="904"/>
      <c r="AZ86" s="118"/>
      <c r="BA86" s="119"/>
      <c r="BB86" s="497"/>
      <c r="BC86" s="552"/>
      <c r="BD86" s="553"/>
      <c r="BE86" s="552"/>
      <c r="BF86" s="553"/>
      <c r="BG86" s="552"/>
      <c r="BH86" s="552"/>
      <c r="BI86" s="554"/>
      <c r="BJ86" s="554"/>
      <c r="BK86" s="552"/>
      <c r="BL86" s="554"/>
      <c r="BM86" s="555"/>
      <c r="BN86" s="555"/>
      <c r="BO86" s="555"/>
      <c r="BP86" s="555"/>
      <c r="BQ86" s="554"/>
      <c r="BR86" s="555"/>
      <c r="BS86" s="555"/>
      <c r="BT86" s="555"/>
      <c r="BU86" s="555"/>
      <c r="BV86" s="555"/>
      <c r="BW86" s="555"/>
      <c r="BX86" s="556"/>
      <c r="BY86" s="557"/>
      <c r="BZ86" s="556"/>
      <c r="CA86" s="557"/>
      <c r="CB86" s="556"/>
      <c r="CC86" s="556"/>
      <c r="CD86" s="557"/>
      <c r="CE86" s="557"/>
      <c r="CF86" s="556"/>
      <c r="CG86" s="557"/>
      <c r="CH86" s="557"/>
      <c r="CI86" s="557"/>
      <c r="CJ86" s="557"/>
      <c r="CK86" s="557"/>
      <c r="CL86" s="557"/>
      <c r="CM86" s="556"/>
      <c r="CN86" s="556"/>
      <c r="CO86" s="556"/>
      <c r="CP86" s="556"/>
      <c r="CQ86" s="556"/>
      <c r="CR86" s="556"/>
      <c r="CS86" s="555"/>
      <c r="CT86" s="554"/>
      <c r="CU86" s="555"/>
      <c r="CV86" s="554"/>
      <c r="CW86" s="555"/>
      <c r="CX86" s="555"/>
      <c r="CY86" s="554"/>
      <c r="CZ86" s="554"/>
      <c r="DA86" s="555"/>
      <c r="DB86" s="554"/>
      <c r="DC86" s="554"/>
      <c r="DD86" s="554"/>
      <c r="DE86" s="554"/>
      <c r="DF86" s="554"/>
      <c r="DG86" s="554"/>
      <c r="DH86" s="555"/>
      <c r="DI86" s="555"/>
      <c r="DJ86" s="555"/>
      <c r="DK86" s="555"/>
      <c r="DL86" s="555"/>
      <c r="DM86" s="555"/>
      <c r="DN86" s="543"/>
      <c r="DO86" s="118"/>
      <c r="DP86" s="905" t="s">
        <v>70</v>
      </c>
      <c r="DQ86" s="905"/>
      <c r="DR86" s="905"/>
      <c r="DS86" s="905"/>
      <c r="DT86" s="905">
        <f>COUNTIFS(DR7:DR51,"&gt;=60",$DO$7:$DO$51,$DP$76)</f>
        <v>0</v>
      </c>
      <c r="DU86" s="904"/>
      <c r="DV86" s="118"/>
      <c r="DW86" s="500"/>
      <c r="DX86" s="534"/>
      <c r="DY86" s="534"/>
      <c r="DZ86" s="534"/>
      <c r="EA86" s="534"/>
      <c r="EB86" s="534"/>
      <c r="EC86" s="534"/>
      <c r="ED86" s="534"/>
      <c r="EE86" s="534"/>
      <c r="EF86" s="534"/>
      <c r="EG86" s="534"/>
      <c r="EH86" s="534"/>
      <c r="EI86" s="534"/>
      <c r="EJ86" s="535"/>
      <c r="EK86" s="535"/>
      <c r="EL86" s="535"/>
      <c r="EM86" s="535"/>
      <c r="EN86" s="535"/>
      <c r="EO86" s="535"/>
      <c r="EP86" s="536"/>
      <c r="EQ86" s="536"/>
      <c r="ER86" s="536"/>
      <c r="ES86" s="536"/>
      <c r="ET86" s="536"/>
      <c r="EU86" s="536"/>
      <c r="EV86" s="537"/>
      <c r="EW86" s="537"/>
      <c r="EX86" s="537"/>
      <c r="EY86" s="537"/>
      <c r="EZ86" s="537"/>
      <c r="FA86" s="537"/>
      <c r="FB86" s="538"/>
      <c r="FC86" s="538"/>
      <c r="FD86" s="538"/>
      <c r="FE86" s="538"/>
      <c r="FF86" s="538"/>
      <c r="FG86" s="538"/>
      <c r="FH86" s="539"/>
      <c r="FI86" s="539"/>
      <c r="FJ86" s="347"/>
      <c r="FK86" s="347"/>
      <c r="FL86" s="347"/>
      <c r="FM86" s="540"/>
      <c r="FN86" s="540"/>
      <c r="FO86" s="540"/>
      <c r="FP86" s="540"/>
      <c r="FQ86" s="540"/>
      <c r="FR86" s="540"/>
      <c r="FS86" s="540"/>
      <c r="FT86" s="540"/>
      <c r="FU86" s="540"/>
      <c r="FV86" s="540"/>
      <c r="FW86" s="540"/>
      <c r="FX86" s="540"/>
      <c r="FY86" s="540"/>
      <c r="FZ86" s="540"/>
      <c r="GA86" s="541"/>
      <c r="GB86" s="399"/>
      <c r="GC86" s="399"/>
      <c r="GD86" s="60"/>
    </row>
    <row r="87" spans="1:186" ht="12.6" customHeight="1" x14ac:dyDescent="0.25">
      <c r="A87" s="60"/>
      <c r="B87" s="577"/>
      <c r="C87" s="577"/>
      <c r="D87" s="577"/>
      <c r="E87" s="578"/>
      <c r="F87" s="578"/>
      <c r="G87" s="578"/>
      <c r="H87" s="578"/>
      <c r="I87" s="578"/>
      <c r="J87" s="578"/>
      <c r="K87" s="578"/>
      <c r="L87" s="555"/>
      <c r="M87" s="554"/>
      <c r="N87" s="555"/>
      <c r="O87" s="554"/>
      <c r="P87" s="555"/>
      <c r="Q87" s="555"/>
      <c r="R87" s="554"/>
      <c r="S87" s="554"/>
      <c r="T87" s="555"/>
      <c r="U87" s="554"/>
      <c r="V87" s="555"/>
      <c r="W87" s="555"/>
      <c r="X87" s="555"/>
      <c r="Y87" s="554"/>
      <c r="Z87" s="554"/>
      <c r="AA87" s="579"/>
      <c r="AB87" s="555"/>
      <c r="AC87" s="555"/>
      <c r="AD87" s="555"/>
      <c r="AE87" s="555"/>
      <c r="AF87" s="555"/>
      <c r="AG87" s="571"/>
      <c r="AH87" s="159" t="s">
        <v>73</v>
      </c>
      <c r="AI87" s="201">
        <f>COUNTIFS($I$7:$I$51,$AI$63,$J$7:$J$51,AI$53,$AG$7:$AG$51,$AT$76,$AW$7:$AW$51,"&lt;33")</f>
        <v>0</v>
      </c>
      <c r="AJ87" s="201">
        <f>COUNTIFS($I$7:$I$51,$AI$63,$J$7:$J$51,AJ$53,$AG$7:$AG$51,$AT$76,$AW$7:$AW$51,"&lt;33")</f>
        <v>0</v>
      </c>
      <c r="AK87" s="201">
        <f>COUNTIFS($I$7:$I$51,$AI$63,$J$7:$J$51,AK$53,$AG$7:$AG$51,$AT$76,$AW$7:$AW$51,"&lt;33")</f>
        <v>0</v>
      </c>
      <c r="AL87" s="201">
        <f>COUNTIFS($I$7:$I$51,$AI$63,$J$7:$J$51,AL$53,$AG$7:$AG$51,$AT$76,$AW$7:$AW$51,"&lt;33")</f>
        <v>0</v>
      </c>
      <c r="AM87" s="202">
        <f t="shared" si="299"/>
        <v>0</v>
      </c>
      <c r="AN87" s="201">
        <f>COUNTIFS($I$7:$I$51,$AN$63,$J$7:$J$51,AN$53,$AG$7:$AG$51,$AT$76,$AW$7:$AW$51,"&lt;33")</f>
        <v>0</v>
      </c>
      <c r="AO87" s="201">
        <f>COUNTIFS($I$7:$I$51,$AN$63,$J$7:$J$51,AO$53,$AG$7:$AG$51,$AT$76,$AW$7:$AW$51,"&lt;33")</f>
        <v>0</v>
      </c>
      <c r="AP87" s="201">
        <f>COUNTIFS($I$7:$I$51,$AN$63,$J$7:$J$51,AP$53,$AG$7:$AG$51,$AT$76,$AW$7:$AW$51,"&lt;33")</f>
        <v>0</v>
      </c>
      <c r="AQ87" s="201">
        <f>COUNTIFS($I$7:$I$51,$AN$63,$J$7:$J$51,AQ$53,$AG$7:$AG$51,$AT$76,$AW$7:$AW$51,"&lt;33")</f>
        <v>0</v>
      </c>
      <c r="AR87" s="202">
        <f t="shared" si="300"/>
        <v>0</v>
      </c>
      <c r="AS87" s="207">
        <f t="shared" si="301"/>
        <v>0</v>
      </c>
      <c r="AT87" s="905" t="s">
        <v>71</v>
      </c>
      <c r="AU87" s="905"/>
      <c r="AV87" s="905"/>
      <c r="AW87" s="905"/>
      <c r="AX87" s="905">
        <f>COUNTIFS(AW7:AW51,"&gt;=48",AW7:AW51,"&lt;60",$AG$7:$AG$51,$AT$76)</f>
        <v>0</v>
      </c>
      <c r="AY87" s="904"/>
      <c r="AZ87" s="118"/>
      <c r="BA87" s="119"/>
      <c r="BB87" s="497"/>
      <c r="BC87" s="552"/>
      <c r="BD87" s="553"/>
      <c r="BE87" s="552"/>
      <c r="BF87" s="553"/>
      <c r="BG87" s="552"/>
      <c r="BH87" s="552"/>
      <c r="BI87" s="554"/>
      <c r="BJ87" s="554"/>
      <c r="BK87" s="552"/>
      <c r="BL87" s="554"/>
      <c r="BM87" s="555"/>
      <c r="BN87" s="555"/>
      <c r="BO87" s="555"/>
      <c r="BP87" s="555"/>
      <c r="BQ87" s="554"/>
      <c r="BR87" s="555"/>
      <c r="BS87" s="555"/>
      <c r="BT87" s="555"/>
      <c r="BU87" s="555"/>
      <c r="BV87" s="555"/>
      <c r="BW87" s="555"/>
      <c r="BX87" s="556"/>
      <c r="BY87" s="557"/>
      <c r="BZ87" s="556"/>
      <c r="CA87" s="557"/>
      <c r="CB87" s="556"/>
      <c r="CC87" s="556"/>
      <c r="CD87" s="557"/>
      <c r="CE87" s="557"/>
      <c r="CF87" s="556"/>
      <c r="CG87" s="557"/>
      <c r="CH87" s="557"/>
      <c r="CI87" s="557"/>
      <c r="CJ87" s="557"/>
      <c r="CK87" s="557"/>
      <c r="CL87" s="557"/>
      <c r="CM87" s="556"/>
      <c r="CN87" s="556"/>
      <c r="CO87" s="556"/>
      <c r="CP87" s="556"/>
      <c r="CQ87" s="556"/>
      <c r="CR87" s="556"/>
      <c r="CS87" s="555"/>
      <c r="CT87" s="554"/>
      <c r="CU87" s="555"/>
      <c r="CV87" s="554"/>
      <c r="CW87" s="555"/>
      <c r="CX87" s="555"/>
      <c r="CY87" s="554"/>
      <c r="CZ87" s="554"/>
      <c r="DA87" s="555"/>
      <c r="DB87" s="554"/>
      <c r="DC87" s="554"/>
      <c r="DD87" s="554"/>
      <c r="DE87" s="554"/>
      <c r="DF87" s="554"/>
      <c r="DG87" s="554"/>
      <c r="DH87" s="555"/>
      <c r="DI87" s="555"/>
      <c r="DJ87" s="555"/>
      <c r="DK87" s="555"/>
      <c r="DL87" s="555"/>
      <c r="DM87" s="555"/>
      <c r="DN87" s="543"/>
      <c r="DO87" s="118"/>
      <c r="DP87" s="905" t="s">
        <v>71</v>
      </c>
      <c r="DQ87" s="905"/>
      <c r="DR87" s="905"/>
      <c r="DS87" s="905"/>
      <c r="DT87" s="905">
        <f>COUNTIFS(DR7:DR51,"&gt;=48",DR7:DR51,"&lt;60",$DO$7:$DO$51,$DP$76)</f>
        <v>0</v>
      </c>
      <c r="DU87" s="904"/>
      <c r="DV87" s="118"/>
      <c r="DW87" s="500"/>
      <c r="DX87" s="534"/>
      <c r="DY87" s="534"/>
      <c r="DZ87" s="534"/>
      <c r="EA87" s="534"/>
      <c r="EB87" s="534"/>
      <c r="EC87" s="534"/>
      <c r="ED87" s="534"/>
      <c r="EE87" s="534"/>
      <c r="EF87" s="534"/>
      <c r="EG87" s="534"/>
      <c r="EH87" s="534"/>
      <c r="EI87" s="534"/>
      <c r="EJ87" s="535"/>
      <c r="EK87" s="535"/>
      <c r="EL87" s="535"/>
      <c r="EM87" s="535"/>
      <c r="EN87" s="535"/>
      <c r="EO87" s="535"/>
      <c r="EP87" s="536"/>
      <c r="EQ87" s="536"/>
      <c r="ER87" s="536"/>
      <c r="ES87" s="536"/>
      <c r="ET87" s="536"/>
      <c r="EU87" s="536"/>
      <c r="EV87" s="537"/>
      <c r="EW87" s="537"/>
      <c r="EX87" s="537"/>
      <c r="EY87" s="537"/>
      <c r="EZ87" s="537"/>
      <c r="FA87" s="537"/>
      <c r="FB87" s="538"/>
      <c r="FC87" s="538"/>
      <c r="FD87" s="538"/>
      <c r="FE87" s="538"/>
      <c r="FF87" s="538"/>
      <c r="FG87" s="538"/>
      <c r="FH87" s="539"/>
      <c r="FI87" s="539"/>
      <c r="FJ87" s="347"/>
      <c r="FK87" s="347"/>
      <c r="FL87" s="347"/>
      <c r="FM87" s="540"/>
      <c r="FN87" s="540"/>
      <c r="FO87" s="540"/>
      <c r="FP87" s="540"/>
      <c r="FQ87" s="540"/>
      <c r="FR87" s="540"/>
      <c r="FS87" s="540"/>
      <c r="FT87" s="540"/>
      <c r="FU87" s="540"/>
      <c r="FV87" s="540"/>
      <c r="FW87" s="540"/>
      <c r="FX87" s="540"/>
      <c r="FY87" s="540"/>
      <c r="FZ87" s="540"/>
      <c r="GA87" s="541"/>
      <c r="GB87" s="399"/>
      <c r="GC87" s="399"/>
      <c r="GD87" s="60"/>
    </row>
    <row r="88" spans="1:186" ht="12.6" customHeight="1" x14ac:dyDescent="0.25">
      <c r="A88" s="60"/>
      <c r="B88" s="577"/>
      <c r="C88" s="577"/>
      <c r="D88" s="577"/>
      <c r="E88" s="578"/>
      <c r="F88" s="578"/>
      <c r="G88" s="578"/>
      <c r="H88" s="578"/>
      <c r="I88" s="578"/>
      <c r="J88" s="578"/>
      <c r="K88" s="578"/>
      <c r="L88" s="555"/>
      <c r="M88" s="554"/>
      <c r="N88" s="555"/>
      <c r="O88" s="554"/>
      <c r="P88" s="555"/>
      <c r="Q88" s="555"/>
      <c r="R88" s="554"/>
      <c r="S88" s="554"/>
      <c r="T88" s="555"/>
      <c r="U88" s="554"/>
      <c r="V88" s="555"/>
      <c r="W88" s="555"/>
      <c r="X88" s="555"/>
      <c r="Y88" s="554"/>
      <c r="Z88" s="554"/>
      <c r="AA88" s="579"/>
      <c r="AB88" s="555"/>
      <c r="AC88" s="555"/>
      <c r="AD88" s="555"/>
      <c r="AE88" s="555"/>
      <c r="AF88" s="555"/>
      <c r="AG88" s="571"/>
      <c r="AH88" s="159" t="s">
        <v>187</v>
      </c>
      <c r="AI88" s="211">
        <f>AI89-AI87</f>
        <v>1</v>
      </c>
      <c r="AJ88" s="211">
        <f t="shared" ref="AJ88:AL88" si="302">AJ89-AJ87</f>
        <v>0</v>
      </c>
      <c r="AK88" s="211">
        <f t="shared" si="302"/>
        <v>0</v>
      </c>
      <c r="AL88" s="211">
        <f t="shared" si="302"/>
        <v>0</v>
      </c>
      <c r="AM88" s="202">
        <f t="shared" si="299"/>
        <v>1</v>
      </c>
      <c r="AN88" s="211">
        <f>AN89-AN87</f>
        <v>0</v>
      </c>
      <c r="AO88" s="211">
        <f t="shared" ref="AO88" si="303">AO89-AO87</f>
        <v>0</v>
      </c>
      <c r="AP88" s="211">
        <f t="shared" ref="AP88" si="304">AP89-AP87</f>
        <v>0</v>
      </c>
      <c r="AQ88" s="211">
        <f t="shared" ref="AQ88" si="305">AQ89-AQ87</f>
        <v>0</v>
      </c>
      <c r="AR88" s="202">
        <f t="shared" si="300"/>
        <v>0</v>
      </c>
      <c r="AS88" s="207">
        <f t="shared" si="301"/>
        <v>1</v>
      </c>
      <c r="AT88" s="905" t="s">
        <v>72</v>
      </c>
      <c r="AU88" s="905"/>
      <c r="AV88" s="905"/>
      <c r="AW88" s="905"/>
      <c r="AX88" s="905">
        <f>COUNTIFS(AW7:AW51,"&gt;=33",AW7:AW51,"&lt;48",$AG$7:$AG$51,$AT$76)</f>
        <v>0</v>
      </c>
      <c r="AY88" s="904"/>
      <c r="AZ88" s="118"/>
      <c r="BA88" s="119"/>
      <c r="BB88" s="497"/>
      <c r="BC88" s="552"/>
      <c r="BD88" s="553"/>
      <c r="BE88" s="552"/>
      <c r="BF88" s="553"/>
      <c r="BG88" s="552"/>
      <c r="BH88" s="552"/>
      <c r="BI88" s="554"/>
      <c r="BJ88" s="554"/>
      <c r="BK88" s="552"/>
      <c r="BL88" s="554"/>
      <c r="BM88" s="555"/>
      <c r="BN88" s="555"/>
      <c r="BO88" s="555"/>
      <c r="BP88" s="555"/>
      <c r="BQ88" s="554"/>
      <c r="BR88" s="555"/>
      <c r="BS88" s="555"/>
      <c r="BT88" s="555"/>
      <c r="BU88" s="555"/>
      <c r="BV88" s="555"/>
      <c r="BW88" s="555"/>
      <c r="BX88" s="556"/>
      <c r="BY88" s="557"/>
      <c r="BZ88" s="556"/>
      <c r="CA88" s="557"/>
      <c r="CB88" s="556"/>
      <c r="CC88" s="556"/>
      <c r="CD88" s="557"/>
      <c r="CE88" s="557"/>
      <c r="CF88" s="556"/>
      <c r="CG88" s="557"/>
      <c r="CH88" s="557"/>
      <c r="CI88" s="557"/>
      <c r="CJ88" s="557"/>
      <c r="CK88" s="557"/>
      <c r="CL88" s="557"/>
      <c r="CM88" s="556"/>
      <c r="CN88" s="556"/>
      <c r="CO88" s="556"/>
      <c r="CP88" s="556"/>
      <c r="CQ88" s="556"/>
      <c r="CR88" s="556"/>
      <c r="CS88" s="555"/>
      <c r="CT88" s="554"/>
      <c r="CU88" s="555"/>
      <c r="CV88" s="554"/>
      <c r="CW88" s="555"/>
      <c r="CX88" s="555"/>
      <c r="CY88" s="554"/>
      <c r="CZ88" s="554"/>
      <c r="DA88" s="555"/>
      <c r="DB88" s="554"/>
      <c r="DC88" s="554"/>
      <c r="DD88" s="554"/>
      <c r="DE88" s="554"/>
      <c r="DF88" s="554"/>
      <c r="DG88" s="554"/>
      <c r="DH88" s="555"/>
      <c r="DI88" s="555"/>
      <c r="DJ88" s="555"/>
      <c r="DK88" s="555"/>
      <c r="DL88" s="555"/>
      <c r="DM88" s="555"/>
      <c r="DN88" s="543"/>
      <c r="DO88" s="118"/>
      <c r="DP88" s="905" t="s">
        <v>72</v>
      </c>
      <c r="DQ88" s="905"/>
      <c r="DR88" s="905"/>
      <c r="DS88" s="905"/>
      <c r="DT88" s="905">
        <f>COUNTIFS(DR7:DR51,"&gt;=33",DR7:DR51,"&lt;48",$DO$7:$DO$51,$DP$76)</f>
        <v>0</v>
      </c>
      <c r="DU88" s="904"/>
      <c r="DV88" s="118"/>
      <c r="DW88" s="500"/>
      <c r="DX88" s="534"/>
      <c r="DY88" s="534"/>
      <c r="DZ88" s="534"/>
      <c r="EA88" s="534"/>
      <c r="EB88" s="534"/>
      <c r="EC88" s="534"/>
      <c r="ED88" s="534"/>
      <c r="EE88" s="534"/>
      <c r="EF88" s="534"/>
      <c r="EG88" s="534"/>
      <c r="EH88" s="534"/>
      <c r="EI88" s="534"/>
      <c r="EJ88" s="535"/>
      <c r="EK88" s="535"/>
      <c r="EL88" s="535"/>
      <c r="EM88" s="535"/>
      <c r="EN88" s="535"/>
      <c r="EO88" s="535"/>
      <c r="EP88" s="536"/>
      <c r="EQ88" s="536"/>
      <c r="ER88" s="536"/>
      <c r="ES88" s="536"/>
      <c r="ET88" s="536"/>
      <c r="EU88" s="536"/>
      <c r="EV88" s="537"/>
      <c r="EW88" s="537"/>
      <c r="EX88" s="537"/>
      <c r="EY88" s="537"/>
      <c r="EZ88" s="537"/>
      <c r="FA88" s="537"/>
      <c r="FB88" s="538"/>
      <c r="FC88" s="538"/>
      <c r="FD88" s="538"/>
      <c r="FE88" s="538"/>
      <c r="FF88" s="538"/>
      <c r="FG88" s="538"/>
      <c r="FH88" s="539"/>
      <c r="FI88" s="539"/>
      <c r="FJ88" s="347"/>
      <c r="FK88" s="347"/>
      <c r="FL88" s="347"/>
      <c r="FM88" s="540"/>
      <c r="FN88" s="540"/>
      <c r="FO88" s="540"/>
      <c r="FP88" s="540"/>
      <c r="FQ88" s="540"/>
      <c r="FR88" s="540"/>
      <c r="FS88" s="540"/>
      <c r="FT88" s="540"/>
      <c r="FU88" s="540"/>
      <c r="FV88" s="540"/>
      <c r="FW88" s="540"/>
      <c r="FX88" s="540"/>
      <c r="FY88" s="540"/>
      <c r="FZ88" s="540"/>
      <c r="GA88" s="541"/>
      <c r="GB88" s="399"/>
      <c r="GC88" s="399"/>
      <c r="GD88" s="60"/>
    </row>
    <row r="89" spans="1:186" ht="12.6" customHeight="1" x14ac:dyDescent="0.25">
      <c r="A89" s="60"/>
      <c r="B89" s="577"/>
      <c r="C89" s="577"/>
      <c r="D89" s="577"/>
      <c r="E89" s="578"/>
      <c r="F89" s="578"/>
      <c r="G89" s="578"/>
      <c r="H89" s="578"/>
      <c r="I89" s="578"/>
      <c r="J89" s="578"/>
      <c r="K89" s="578"/>
      <c r="L89" s="555"/>
      <c r="M89" s="554"/>
      <c r="N89" s="555"/>
      <c r="O89" s="554"/>
      <c r="P89" s="555"/>
      <c r="Q89" s="555"/>
      <c r="R89" s="554"/>
      <c r="S89" s="554"/>
      <c r="T89" s="555"/>
      <c r="U89" s="554"/>
      <c r="V89" s="555"/>
      <c r="W89" s="555"/>
      <c r="X89" s="555"/>
      <c r="Y89" s="554"/>
      <c r="Z89" s="554"/>
      <c r="AA89" s="579"/>
      <c r="AB89" s="555"/>
      <c r="AC89" s="555"/>
      <c r="AD89" s="555"/>
      <c r="AE89" s="555"/>
      <c r="AF89" s="555"/>
      <c r="AG89" s="571"/>
      <c r="AH89" s="159" t="s">
        <v>57</v>
      </c>
      <c r="AI89" s="212">
        <f>SUM(AI84:AI87)</f>
        <v>1</v>
      </c>
      <c r="AJ89" s="212">
        <f t="shared" ref="AJ89:AM89" si="306">SUM(AJ84:AJ87)</f>
        <v>0</v>
      </c>
      <c r="AK89" s="212">
        <f t="shared" si="306"/>
        <v>0</v>
      </c>
      <c r="AL89" s="212">
        <f t="shared" si="306"/>
        <v>0</v>
      </c>
      <c r="AM89" s="212">
        <f t="shared" si="306"/>
        <v>1</v>
      </c>
      <c r="AN89" s="212">
        <f>SUM(AN84:AN87)</f>
        <v>0</v>
      </c>
      <c r="AO89" s="212">
        <f t="shared" ref="AO89:AQ89" si="307">SUM(AO84:AO87)</f>
        <v>0</v>
      </c>
      <c r="AP89" s="212">
        <f t="shared" si="307"/>
        <v>0</v>
      </c>
      <c r="AQ89" s="212">
        <f t="shared" si="307"/>
        <v>0</v>
      </c>
      <c r="AR89" s="212">
        <f t="shared" ref="AR89" si="308">SUM(AR84:AR87)</f>
        <v>0</v>
      </c>
      <c r="AS89" s="207">
        <f t="shared" si="301"/>
        <v>1</v>
      </c>
      <c r="AT89" s="905" t="s">
        <v>73</v>
      </c>
      <c r="AU89" s="905"/>
      <c r="AV89" s="905"/>
      <c r="AW89" s="905"/>
      <c r="AX89" s="905">
        <f>COUNTIFS(AW7:AW51,"&lt;33",$AG$7:$AG$51,$AT$76)</f>
        <v>0</v>
      </c>
      <c r="AY89" s="904"/>
      <c r="AZ89" s="118"/>
      <c r="BA89" s="119"/>
      <c r="BB89" s="497"/>
      <c r="BC89" s="552"/>
      <c r="BD89" s="553"/>
      <c r="BE89" s="552"/>
      <c r="BF89" s="553"/>
      <c r="BG89" s="552"/>
      <c r="BH89" s="552"/>
      <c r="BI89" s="554"/>
      <c r="BJ89" s="554"/>
      <c r="BK89" s="552"/>
      <c r="BL89" s="554"/>
      <c r="BM89" s="555"/>
      <c r="BN89" s="555"/>
      <c r="BO89" s="555"/>
      <c r="BP89" s="555"/>
      <c r="BQ89" s="554"/>
      <c r="BR89" s="555"/>
      <c r="BS89" s="555"/>
      <c r="BT89" s="555"/>
      <c r="BU89" s="555"/>
      <c r="BV89" s="555"/>
      <c r="BW89" s="555"/>
      <c r="BX89" s="556"/>
      <c r="BY89" s="557"/>
      <c r="BZ89" s="556"/>
      <c r="CA89" s="557"/>
      <c r="CB89" s="556"/>
      <c r="CC89" s="556"/>
      <c r="CD89" s="557"/>
      <c r="CE89" s="557"/>
      <c r="CF89" s="556"/>
      <c r="CG89" s="557"/>
      <c r="CH89" s="557"/>
      <c r="CI89" s="557"/>
      <c r="CJ89" s="557"/>
      <c r="CK89" s="557"/>
      <c r="CL89" s="557"/>
      <c r="CM89" s="556"/>
      <c r="CN89" s="556"/>
      <c r="CO89" s="556"/>
      <c r="CP89" s="556"/>
      <c r="CQ89" s="556"/>
      <c r="CR89" s="556"/>
      <c r="CS89" s="555"/>
      <c r="CT89" s="554"/>
      <c r="CU89" s="555"/>
      <c r="CV89" s="554"/>
      <c r="CW89" s="555"/>
      <c r="CX89" s="555"/>
      <c r="CY89" s="554"/>
      <c r="CZ89" s="554"/>
      <c r="DA89" s="555"/>
      <c r="DB89" s="554"/>
      <c r="DC89" s="554"/>
      <c r="DD89" s="554"/>
      <c r="DE89" s="554"/>
      <c r="DF89" s="554"/>
      <c r="DG89" s="554"/>
      <c r="DH89" s="555"/>
      <c r="DI89" s="555"/>
      <c r="DJ89" s="555"/>
      <c r="DK89" s="555"/>
      <c r="DL89" s="555"/>
      <c r="DM89" s="555"/>
      <c r="DN89" s="543"/>
      <c r="DO89" s="118"/>
      <c r="DP89" s="905" t="s">
        <v>73</v>
      </c>
      <c r="DQ89" s="905"/>
      <c r="DR89" s="905"/>
      <c r="DS89" s="905"/>
      <c r="DT89" s="905">
        <f>COUNTIFS(DR7:DR51,"&lt;33",$DO$7:$DO$51,$DP$76)</f>
        <v>1</v>
      </c>
      <c r="DU89" s="904"/>
      <c r="DV89" s="118"/>
      <c r="DW89" s="500"/>
      <c r="DX89" s="534"/>
      <c r="DY89" s="534"/>
      <c r="DZ89" s="534"/>
      <c r="EA89" s="534"/>
      <c r="EB89" s="534"/>
      <c r="EC89" s="534"/>
      <c r="ED89" s="534"/>
      <c r="EE89" s="534"/>
      <c r="EF89" s="534"/>
      <c r="EG89" s="534"/>
      <c r="EH89" s="534"/>
      <c r="EI89" s="534"/>
      <c r="EJ89" s="535"/>
      <c r="EK89" s="535"/>
      <c r="EL89" s="535"/>
      <c r="EM89" s="535"/>
      <c r="EN89" s="535"/>
      <c r="EO89" s="535"/>
      <c r="EP89" s="536"/>
      <c r="EQ89" s="536"/>
      <c r="ER89" s="536"/>
      <c r="ES89" s="536"/>
      <c r="ET89" s="536"/>
      <c r="EU89" s="536"/>
      <c r="EV89" s="537"/>
      <c r="EW89" s="537"/>
      <c r="EX89" s="537"/>
      <c r="EY89" s="537"/>
      <c r="EZ89" s="537"/>
      <c r="FA89" s="537"/>
      <c r="FB89" s="538"/>
      <c r="FC89" s="538"/>
      <c r="FD89" s="538"/>
      <c r="FE89" s="538"/>
      <c r="FF89" s="538"/>
      <c r="FG89" s="538"/>
      <c r="FH89" s="539"/>
      <c r="FI89" s="539"/>
      <c r="FJ89" s="347"/>
      <c r="FK89" s="347"/>
      <c r="FL89" s="347"/>
      <c r="FM89" s="540"/>
      <c r="FN89" s="540"/>
      <c r="FO89" s="540"/>
      <c r="FP89" s="540"/>
      <c r="FQ89" s="540"/>
      <c r="FR89" s="540"/>
      <c r="FS89" s="540"/>
      <c r="FT89" s="540"/>
      <c r="FU89" s="540"/>
      <c r="FV89" s="540"/>
      <c r="FW89" s="540"/>
      <c r="FX89" s="540"/>
      <c r="FY89" s="540"/>
      <c r="FZ89" s="540"/>
      <c r="GA89" s="541"/>
      <c r="GB89" s="399"/>
      <c r="GC89" s="399"/>
      <c r="GD89" s="60"/>
    </row>
    <row r="90" spans="1:186" ht="12.6" customHeight="1" x14ac:dyDescent="0.25">
      <c r="A90" s="60"/>
      <c r="B90" s="577"/>
      <c r="C90" s="577"/>
      <c r="D90" s="577"/>
      <c r="E90" s="578"/>
      <c r="F90" s="578"/>
      <c r="G90" s="578"/>
      <c r="H90" s="578"/>
      <c r="I90" s="578"/>
      <c r="J90" s="578"/>
      <c r="K90" s="578"/>
      <c r="L90" s="555"/>
      <c r="M90" s="554"/>
      <c r="N90" s="555"/>
      <c r="O90" s="554"/>
      <c r="P90" s="555"/>
      <c r="Q90" s="555"/>
      <c r="R90" s="554"/>
      <c r="S90" s="554"/>
      <c r="T90" s="555"/>
      <c r="U90" s="554"/>
      <c r="V90" s="555"/>
      <c r="W90" s="555"/>
      <c r="X90" s="555"/>
      <c r="Y90" s="554"/>
      <c r="Z90" s="554"/>
      <c r="AA90" s="579"/>
      <c r="AB90" s="555"/>
      <c r="AC90" s="555"/>
      <c r="AD90" s="555"/>
      <c r="AE90" s="555"/>
      <c r="AF90" s="555"/>
      <c r="AG90" s="571"/>
      <c r="AH90" s="920" t="str">
        <f>IF(AH24="","","SIGN. OF SUBJECT TEACHER ("&amp;AH24&amp;")")</f>
        <v/>
      </c>
      <c r="AI90" s="921"/>
      <c r="AJ90" s="921"/>
      <c r="AK90" s="921"/>
      <c r="AL90" s="921"/>
      <c r="AM90" s="921"/>
      <c r="AN90" s="921"/>
      <c r="AO90" s="921"/>
      <c r="AP90" s="921"/>
      <c r="AQ90" s="921"/>
      <c r="AR90" s="921"/>
      <c r="AS90" s="922"/>
      <c r="AT90" s="898" t="s">
        <v>57</v>
      </c>
      <c r="AU90" s="898"/>
      <c r="AV90" s="898"/>
      <c r="AW90" s="898"/>
      <c r="AX90" s="899">
        <f>SUM(AX86:AX89)</f>
        <v>1</v>
      </c>
      <c r="AY90" s="900"/>
      <c r="AZ90" s="197"/>
      <c r="BA90" s="198"/>
      <c r="BB90" s="498"/>
      <c r="BC90" s="552"/>
      <c r="BD90" s="553"/>
      <c r="BE90" s="552"/>
      <c r="BF90" s="553"/>
      <c r="BG90" s="552"/>
      <c r="BH90" s="552"/>
      <c r="BI90" s="554"/>
      <c r="BJ90" s="554"/>
      <c r="BK90" s="552"/>
      <c r="BL90" s="554"/>
      <c r="BM90" s="555"/>
      <c r="BN90" s="555"/>
      <c r="BO90" s="555"/>
      <c r="BP90" s="555"/>
      <c r="BQ90" s="554"/>
      <c r="BR90" s="555"/>
      <c r="BS90" s="555"/>
      <c r="BT90" s="555"/>
      <c r="BU90" s="555"/>
      <c r="BV90" s="555"/>
      <c r="BW90" s="555"/>
      <c r="BX90" s="556"/>
      <c r="BY90" s="557"/>
      <c r="BZ90" s="556"/>
      <c r="CA90" s="557"/>
      <c r="CB90" s="556"/>
      <c r="CC90" s="556"/>
      <c r="CD90" s="557"/>
      <c r="CE90" s="557"/>
      <c r="CF90" s="556"/>
      <c r="CG90" s="557"/>
      <c r="CH90" s="557"/>
      <c r="CI90" s="557"/>
      <c r="CJ90" s="557"/>
      <c r="CK90" s="557"/>
      <c r="CL90" s="557"/>
      <c r="CM90" s="556"/>
      <c r="CN90" s="556"/>
      <c r="CO90" s="556"/>
      <c r="CP90" s="556"/>
      <c r="CQ90" s="556"/>
      <c r="CR90" s="556"/>
      <c r="CS90" s="555"/>
      <c r="CT90" s="554"/>
      <c r="CU90" s="555"/>
      <c r="CV90" s="554"/>
      <c r="CW90" s="555"/>
      <c r="CX90" s="555"/>
      <c r="CY90" s="554"/>
      <c r="CZ90" s="554"/>
      <c r="DA90" s="555"/>
      <c r="DB90" s="554"/>
      <c r="DC90" s="554"/>
      <c r="DD90" s="554"/>
      <c r="DE90" s="554"/>
      <c r="DF90" s="554"/>
      <c r="DG90" s="554"/>
      <c r="DH90" s="555"/>
      <c r="DI90" s="555"/>
      <c r="DJ90" s="555"/>
      <c r="DK90" s="555"/>
      <c r="DL90" s="555"/>
      <c r="DM90" s="555"/>
      <c r="DN90" s="543"/>
      <c r="DO90" s="197"/>
      <c r="DP90" s="898" t="s">
        <v>57</v>
      </c>
      <c r="DQ90" s="898"/>
      <c r="DR90" s="898"/>
      <c r="DS90" s="898"/>
      <c r="DT90" s="899">
        <f>SUM(DT86:DT89)</f>
        <v>1</v>
      </c>
      <c r="DU90" s="900"/>
      <c r="DV90" s="197"/>
      <c r="DW90" s="500"/>
      <c r="DX90" s="534"/>
      <c r="DY90" s="534"/>
      <c r="DZ90" s="534"/>
      <c r="EA90" s="534"/>
      <c r="EB90" s="534"/>
      <c r="EC90" s="534"/>
      <c r="ED90" s="534"/>
      <c r="EE90" s="534"/>
      <c r="EF90" s="534"/>
      <c r="EG90" s="534"/>
      <c r="EH90" s="534"/>
      <c r="EI90" s="534"/>
      <c r="EJ90" s="535"/>
      <c r="EK90" s="535"/>
      <c r="EL90" s="535"/>
      <c r="EM90" s="535"/>
      <c r="EN90" s="535"/>
      <c r="EO90" s="535"/>
      <c r="EP90" s="536"/>
      <c r="EQ90" s="536"/>
      <c r="ER90" s="536"/>
      <c r="ES90" s="536"/>
      <c r="ET90" s="536"/>
      <c r="EU90" s="536"/>
      <c r="EV90" s="537"/>
      <c r="EW90" s="537"/>
      <c r="EX90" s="537"/>
      <c r="EY90" s="537"/>
      <c r="EZ90" s="537"/>
      <c r="FA90" s="537"/>
      <c r="FB90" s="538"/>
      <c r="FC90" s="538"/>
      <c r="FD90" s="538"/>
      <c r="FE90" s="538"/>
      <c r="FF90" s="538"/>
      <c r="FG90" s="538"/>
      <c r="FH90" s="539"/>
      <c r="FI90" s="539"/>
      <c r="FJ90" s="347"/>
      <c r="FK90" s="347"/>
      <c r="FL90" s="347"/>
      <c r="FM90" s="540"/>
      <c r="FN90" s="540"/>
      <c r="FO90" s="540"/>
      <c r="FP90" s="540"/>
      <c r="FQ90" s="540"/>
      <c r="FR90" s="540"/>
      <c r="FS90" s="540"/>
      <c r="FT90" s="540"/>
      <c r="FU90" s="540"/>
      <c r="FV90" s="540"/>
      <c r="FW90" s="540"/>
      <c r="FX90" s="540"/>
      <c r="FY90" s="540"/>
      <c r="FZ90" s="540"/>
      <c r="GA90" s="541"/>
      <c r="GB90" s="399"/>
      <c r="GC90" s="399"/>
      <c r="GD90" s="60"/>
    </row>
    <row r="91" spans="1:186" ht="6.6" customHeight="1" x14ac:dyDescent="0.25">
      <c r="A91" s="60"/>
      <c r="B91" s="577"/>
      <c r="C91" s="577"/>
      <c r="D91" s="577"/>
      <c r="E91" s="578"/>
      <c r="F91" s="578"/>
      <c r="G91" s="578"/>
      <c r="H91" s="578"/>
      <c r="I91" s="578"/>
      <c r="J91" s="578"/>
      <c r="K91" s="578"/>
      <c r="L91" s="555"/>
      <c r="M91" s="554"/>
      <c r="N91" s="555"/>
      <c r="O91" s="554"/>
      <c r="P91" s="555"/>
      <c r="Q91" s="555"/>
      <c r="R91" s="554"/>
      <c r="S91" s="554"/>
      <c r="T91" s="555"/>
      <c r="U91" s="554"/>
      <c r="V91" s="555"/>
      <c r="W91" s="555"/>
      <c r="X91" s="555"/>
      <c r="Y91" s="554"/>
      <c r="Z91" s="554"/>
      <c r="AA91" s="579"/>
      <c r="AB91" s="555"/>
      <c r="AC91" s="555"/>
      <c r="AD91" s="555"/>
      <c r="AE91" s="555"/>
      <c r="AF91" s="555"/>
      <c r="AG91" s="574"/>
      <c r="AH91" s="558"/>
      <c r="AI91" s="559"/>
      <c r="AJ91" s="558"/>
      <c r="AK91" s="559"/>
      <c r="AL91" s="558"/>
      <c r="AM91" s="558"/>
      <c r="AN91" s="546"/>
      <c r="AO91" s="546"/>
      <c r="AP91" s="558"/>
      <c r="AQ91" s="559"/>
      <c r="AR91" s="558"/>
      <c r="AS91" s="560"/>
      <c r="AT91" s="545"/>
      <c r="AU91" s="559"/>
      <c r="AV91" s="561"/>
      <c r="AW91" s="545"/>
      <c r="AX91" s="558"/>
      <c r="AY91" s="545"/>
      <c r="AZ91" s="545"/>
      <c r="BA91" s="545"/>
      <c r="BB91" s="562"/>
      <c r="BC91" s="552"/>
      <c r="BD91" s="553"/>
      <c r="BE91" s="552"/>
      <c r="BF91" s="553"/>
      <c r="BG91" s="552"/>
      <c r="BH91" s="552"/>
      <c r="BI91" s="554"/>
      <c r="BJ91" s="554"/>
      <c r="BK91" s="552"/>
      <c r="BL91" s="554"/>
      <c r="BM91" s="555"/>
      <c r="BN91" s="555"/>
      <c r="BO91" s="555"/>
      <c r="BP91" s="555"/>
      <c r="BQ91" s="554"/>
      <c r="BR91" s="555"/>
      <c r="BS91" s="555"/>
      <c r="BT91" s="555"/>
      <c r="BU91" s="555"/>
      <c r="BV91" s="555"/>
      <c r="BW91" s="555"/>
      <c r="BX91" s="556"/>
      <c r="BY91" s="557"/>
      <c r="BZ91" s="556"/>
      <c r="CA91" s="557"/>
      <c r="CB91" s="556"/>
      <c r="CC91" s="556"/>
      <c r="CD91" s="557"/>
      <c r="CE91" s="557"/>
      <c r="CF91" s="556"/>
      <c r="CG91" s="557"/>
      <c r="CH91" s="557"/>
      <c r="CI91" s="557"/>
      <c r="CJ91" s="557"/>
      <c r="CK91" s="557"/>
      <c r="CL91" s="557"/>
      <c r="CM91" s="556"/>
      <c r="CN91" s="556"/>
      <c r="CO91" s="556"/>
      <c r="CP91" s="556"/>
      <c r="CQ91" s="556"/>
      <c r="CR91" s="556"/>
      <c r="CS91" s="555"/>
      <c r="CT91" s="554"/>
      <c r="CU91" s="555"/>
      <c r="CV91" s="554"/>
      <c r="CW91" s="555"/>
      <c r="CX91" s="555"/>
      <c r="CY91" s="554"/>
      <c r="CZ91" s="554"/>
      <c r="DA91" s="555"/>
      <c r="DB91" s="554"/>
      <c r="DC91" s="554"/>
      <c r="DD91" s="554"/>
      <c r="DE91" s="554"/>
      <c r="DF91" s="554"/>
      <c r="DG91" s="554"/>
      <c r="DH91" s="555"/>
      <c r="DI91" s="555"/>
      <c r="DJ91" s="555"/>
      <c r="DK91" s="555"/>
      <c r="DL91" s="555"/>
      <c r="DM91" s="555"/>
      <c r="DN91" s="543"/>
      <c r="DO91" s="102"/>
      <c r="DP91" s="102"/>
      <c r="DQ91" s="102"/>
      <c r="DR91" s="102"/>
      <c r="DS91" s="102"/>
      <c r="DT91" s="102"/>
      <c r="DU91" s="102"/>
      <c r="DV91" s="102"/>
      <c r="DW91" s="500"/>
      <c r="DX91" s="534"/>
      <c r="DY91" s="534"/>
      <c r="DZ91" s="534"/>
      <c r="EA91" s="534"/>
      <c r="EB91" s="534"/>
      <c r="EC91" s="534"/>
      <c r="ED91" s="534"/>
      <c r="EE91" s="534"/>
      <c r="EF91" s="534"/>
      <c r="EG91" s="534"/>
      <c r="EH91" s="534"/>
      <c r="EI91" s="534"/>
      <c r="EJ91" s="535"/>
      <c r="EK91" s="535"/>
      <c r="EL91" s="535"/>
      <c r="EM91" s="535"/>
      <c r="EN91" s="535"/>
      <c r="EO91" s="535"/>
      <c r="EP91" s="536"/>
      <c r="EQ91" s="536"/>
      <c r="ER91" s="536"/>
      <c r="ES91" s="536"/>
      <c r="ET91" s="536"/>
      <c r="EU91" s="536"/>
      <c r="EV91" s="537"/>
      <c r="EW91" s="537"/>
      <c r="EX91" s="537"/>
      <c r="EY91" s="537"/>
      <c r="EZ91" s="537"/>
      <c r="FA91" s="537"/>
      <c r="FB91" s="538"/>
      <c r="FC91" s="538"/>
      <c r="FD91" s="538"/>
      <c r="FE91" s="538"/>
      <c r="FF91" s="538"/>
      <c r="FG91" s="538"/>
      <c r="FH91" s="539"/>
      <c r="FI91" s="539"/>
      <c r="FJ91" s="347"/>
      <c r="FK91" s="347"/>
      <c r="FL91" s="347"/>
      <c r="FM91" s="540"/>
      <c r="FN91" s="540"/>
      <c r="FO91" s="540"/>
      <c r="FP91" s="540"/>
      <c r="FQ91" s="540"/>
      <c r="FR91" s="540"/>
      <c r="FS91" s="540"/>
      <c r="FT91" s="540"/>
      <c r="FU91" s="540"/>
      <c r="FV91" s="540"/>
      <c r="FW91" s="540"/>
      <c r="FX91" s="540"/>
      <c r="FY91" s="540"/>
      <c r="FZ91" s="540"/>
      <c r="GA91" s="541"/>
      <c r="GB91" s="399"/>
      <c r="GC91" s="399"/>
      <c r="GD91" s="60"/>
    </row>
    <row r="92" spans="1:186" ht="12.6" customHeight="1" x14ac:dyDescent="0.25">
      <c r="A92" s="60"/>
      <c r="B92" s="577"/>
      <c r="C92" s="577"/>
      <c r="D92" s="577"/>
      <c r="E92" s="578"/>
      <c r="F92" s="578"/>
      <c r="G92" s="578"/>
      <c r="H92" s="578"/>
      <c r="I92" s="578"/>
      <c r="J92" s="578"/>
      <c r="K92" s="578"/>
      <c r="L92" s="555"/>
      <c r="M92" s="554"/>
      <c r="N92" s="555"/>
      <c r="O92" s="554"/>
      <c r="P92" s="555"/>
      <c r="Q92" s="555"/>
      <c r="R92" s="554"/>
      <c r="S92" s="554"/>
      <c r="T92" s="555"/>
      <c r="U92" s="554"/>
      <c r="V92" s="555"/>
      <c r="W92" s="555"/>
      <c r="X92" s="555"/>
      <c r="Y92" s="554"/>
      <c r="Z92" s="554"/>
      <c r="AA92" s="579"/>
      <c r="AB92" s="555"/>
      <c r="AC92" s="555"/>
      <c r="AD92" s="555"/>
      <c r="AE92" s="555"/>
      <c r="AF92" s="555"/>
      <c r="AG92" s="567"/>
      <c r="AH92" s="567"/>
      <c r="AI92" s="568"/>
      <c r="AJ92" s="567"/>
      <c r="AK92" s="568"/>
      <c r="AL92" s="567"/>
      <c r="AM92" s="567"/>
      <c r="AN92" s="557"/>
      <c r="AO92" s="557"/>
      <c r="AP92" s="567"/>
      <c r="AQ92" s="568"/>
      <c r="AR92" s="567"/>
      <c r="AS92" s="569"/>
      <c r="AT92" s="556"/>
      <c r="AU92" s="568"/>
      <c r="AV92" s="570"/>
      <c r="AW92" s="556"/>
      <c r="AX92" s="567"/>
      <c r="AY92" s="556"/>
      <c r="AZ92" s="556"/>
      <c r="BA92" s="556"/>
      <c r="BB92" s="556"/>
      <c r="BC92" s="552"/>
      <c r="BD92" s="553"/>
      <c r="BE92" s="552"/>
      <c r="BF92" s="553"/>
      <c r="BG92" s="552"/>
      <c r="BH92" s="552"/>
      <c r="BI92" s="554"/>
      <c r="BJ92" s="554"/>
      <c r="BK92" s="552"/>
      <c r="BL92" s="554"/>
      <c r="BM92" s="555"/>
      <c r="BN92" s="555"/>
      <c r="BO92" s="555"/>
      <c r="BP92" s="555"/>
      <c r="BQ92" s="554"/>
      <c r="BR92" s="555"/>
      <c r="BS92" s="555"/>
      <c r="BT92" s="555"/>
      <c r="BU92" s="555"/>
      <c r="BV92" s="555"/>
      <c r="BW92" s="555"/>
      <c r="BX92" s="556"/>
      <c r="BY92" s="557"/>
      <c r="BZ92" s="556"/>
      <c r="CA92" s="557"/>
      <c r="CB92" s="556"/>
      <c r="CC92" s="556"/>
      <c r="CD92" s="557"/>
      <c r="CE92" s="557"/>
      <c r="CF92" s="556"/>
      <c r="CG92" s="557"/>
      <c r="CH92" s="557"/>
      <c r="CI92" s="557"/>
      <c r="CJ92" s="557"/>
      <c r="CK92" s="557"/>
      <c r="CL92" s="557"/>
      <c r="CM92" s="556"/>
      <c r="CN92" s="556"/>
      <c r="CO92" s="556"/>
      <c r="CP92" s="556"/>
      <c r="CQ92" s="556"/>
      <c r="CR92" s="556"/>
      <c r="CS92" s="555"/>
      <c r="CT92" s="554"/>
      <c r="CU92" s="555"/>
      <c r="CV92" s="554"/>
      <c r="CW92" s="555"/>
      <c r="CX92" s="555"/>
      <c r="CY92" s="554"/>
      <c r="CZ92" s="554"/>
      <c r="DA92" s="555"/>
      <c r="DB92" s="554"/>
      <c r="DC92" s="554"/>
      <c r="DD92" s="554"/>
      <c r="DE92" s="554"/>
      <c r="DF92" s="554"/>
      <c r="DG92" s="554"/>
      <c r="DH92" s="555"/>
      <c r="DI92" s="555"/>
      <c r="DJ92" s="555"/>
      <c r="DK92" s="555"/>
      <c r="DL92" s="555"/>
      <c r="DM92" s="555"/>
      <c r="DN92" s="543"/>
      <c r="DO92" s="125"/>
      <c r="DP92" s="901" t="s">
        <v>58</v>
      </c>
      <c r="DQ92" s="901"/>
      <c r="DR92" s="901"/>
      <c r="DS92" s="901"/>
      <c r="DT92" s="901">
        <f>COUNTIFS(D7:D51,"&lt;&gt;",DO7:DO51,DP96)
 -COUNTIFS(C7:C51,"TC",DO7:DO51,DP96)</f>
        <v>0</v>
      </c>
      <c r="DU92" s="901"/>
      <c r="DV92" s="125"/>
      <c r="DW92" s="500"/>
      <c r="DX92" s="534"/>
      <c r="DY92" s="534"/>
      <c r="DZ92" s="534"/>
      <c r="EA92" s="534"/>
      <c r="EB92" s="534"/>
      <c r="EC92" s="534"/>
      <c r="ED92" s="534"/>
      <c r="EE92" s="534"/>
      <c r="EF92" s="534"/>
      <c r="EG92" s="534"/>
      <c r="EH92" s="534"/>
      <c r="EI92" s="534"/>
      <c r="EJ92" s="535"/>
      <c r="EK92" s="535"/>
      <c r="EL92" s="535"/>
      <c r="EM92" s="535"/>
      <c r="EN92" s="535"/>
      <c r="EO92" s="535"/>
      <c r="EP92" s="536"/>
      <c r="EQ92" s="536"/>
      <c r="ER92" s="536"/>
      <c r="ES92" s="536"/>
      <c r="ET92" s="536"/>
      <c r="EU92" s="536"/>
      <c r="EV92" s="537"/>
      <c r="EW92" s="537"/>
      <c r="EX92" s="537"/>
      <c r="EY92" s="537"/>
      <c r="EZ92" s="537"/>
      <c r="FA92" s="537"/>
      <c r="FB92" s="538"/>
      <c r="FC92" s="538"/>
      <c r="FD92" s="538"/>
      <c r="FE92" s="538"/>
      <c r="FF92" s="538"/>
      <c r="FG92" s="538"/>
      <c r="FH92" s="539"/>
      <c r="FI92" s="539"/>
      <c r="FJ92" s="347"/>
      <c r="FK92" s="347"/>
      <c r="FL92" s="347"/>
      <c r="FM92" s="540"/>
      <c r="FN92" s="540"/>
      <c r="FO92" s="540"/>
      <c r="FP92" s="540"/>
      <c r="FQ92" s="540"/>
      <c r="FR92" s="540"/>
      <c r="FS92" s="540"/>
      <c r="FT92" s="540"/>
      <c r="FU92" s="540"/>
      <c r="FV92" s="540"/>
      <c r="FW92" s="540"/>
      <c r="FX92" s="540"/>
      <c r="FY92" s="540"/>
      <c r="FZ92" s="540"/>
      <c r="GA92" s="541"/>
      <c r="GB92" s="399"/>
      <c r="GC92" s="399"/>
      <c r="GD92" s="60"/>
    </row>
    <row r="93" spans="1:186" ht="12.6" customHeight="1" x14ac:dyDescent="0.3">
      <c r="A93" s="60"/>
      <c r="B93" s="577"/>
      <c r="C93" s="577"/>
      <c r="D93" s="577"/>
      <c r="E93" s="578"/>
      <c r="F93" s="578"/>
      <c r="G93" s="578"/>
      <c r="H93" s="578"/>
      <c r="I93" s="578"/>
      <c r="J93" s="578"/>
      <c r="K93" s="578"/>
      <c r="L93" s="555"/>
      <c r="M93" s="554"/>
      <c r="N93" s="555"/>
      <c r="O93" s="554"/>
      <c r="P93" s="555"/>
      <c r="Q93" s="555"/>
      <c r="R93" s="554"/>
      <c r="S93" s="554"/>
      <c r="T93" s="555"/>
      <c r="U93" s="554"/>
      <c r="V93" s="555"/>
      <c r="W93" s="555"/>
      <c r="X93" s="555"/>
      <c r="Y93" s="554"/>
      <c r="Z93" s="554"/>
      <c r="AA93" s="579"/>
      <c r="AB93" s="555"/>
      <c r="AC93" s="555"/>
      <c r="AD93" s="555"/>
      <c r="AE93" s="555"/>
      <c r="AF93" s="555"/>
      <c r="AG93" s="567"/>
      <c r="AH93" s="567"/>
      <c r="AI93" s="568"/>
      <c r="AJ93" s="567"/>
      <c r="AK93" s="568"/>
      <c r="AL93" s="567"/>
      <c r="AM93" s="567"/>
      <c r="AN93" s="557"/>
      <c r="AO93" s="557"/>
      <c r="AP93" s="567"/>
      <c r="AQ93" s="568"/>
      <c r="AR93" s="567"/>
      <c r="AS93" s="569"/>
      <c r="AT93" s="556"/>
      <c r="AU93" s="568"/>
      <c r="AV93" s="570"/>
      <c r="AW93" s="556"/>
      <c r="AX93" s="567"/>
      <c r="AY93" s="556"/>
      <c r="AZ93" s="556"/>
      <c r="BA93" s="556"/>
      <c r="BB93" s="556"/>
      <c r="BC93" s="552"/>
      <c r="BD93" s="553"/>
      <c r="BE93" s="552"/>
      <c r="BF93" s="553"/>
      <c r="BG93" s="552"/>
      <c r="BH93" s="552"/>
      <c r="BI93" s="554"/>
      <c r="BJ93" s="554"/>
      <c r="BK93" s="552"/>
      <c r="BL93" s="554"/>
      <c r="BM93" s="555"/>
      <c r="BN93" s="555"/>
      <c r="BO93" s="555"/>
      <c r="BP93" s="555"/>
      <c r="BQ93" s="554"/>
      <c r="BR93" s="555"/>
      <c r="BS93" s="555"/>
      <c r="BT93" s="555"/>
      <c r="BU93" s="555"/>
      <c r="BV93" s="555"/>
      <c r="BW93" s="555"/>
      <c r="BX93" s="556"/>
      <c r="BY93" s="557"/>
      <c r="BZ93" s="556"/>
      <c r="CA93" s="557"/>
      <c r="CB93" s="556"/>
      <c r="CC93" s="556"/>
      <c r="CD93" s="557"/>
      <c r="CE93" s="557"/>
      <c r="CF93" s="556"/>
      <c r="CG93" s="557"/>
      <c r="CH93" s="557"/>
      <c r="CI93" s="557"/>
      <c r="CJ93" s="557"/>
      <c r="CK93" s="557"/>
      <c r="CL93" s="557"/>
      <c r="CM93" s="556"/>
      <c r="CN93" s="556"/>
      <c r="CO93" s="556"/>
      <c r="CP93" s="556"/>
      <c r="CQ93" s="556"/>
      <c r="CR93" s="556"/>
      <c r="CS93" s="555"/>
      <c r="CT93" s="554"/>
      <c r="CU93" s="555"/>
      <c r="CV93" s="554"/>
      <c r="CW93" s="555"/>
      <c r="CX93" s="555"/>
      <c r="CY93" s="554"/>
      <c r="CZ93" s="554"/>
      <c r="DA93" s="555"/>
      <c r="DB93" s="554"/>
      <c r="DC93" s="554"/>
      <c r="DD93" s="554"/>
      <c r="DE93" s="554"/>
      <c r="DF93" s="554"/>
      <c r="DG93" s="554"/>
      <c r="DH93" s="555"/>
      <c r="DI93" s="555"/>
      <c r="DJ93" s="555"/>
      <c r="DK93" s="555"/>
      <c r="DL93" s="555"/>
      <c r="DM93" s="555"/>
      <c r="DN93" s="543"/>
      <c r="DO93" s="118"/>
      <c r="DP93" s="902" t="s">
        <v>59</v>
      </c>
      <c r="DQ93" s="902"/>
      <c r="DR93" s="902"/>
      <c r="DS93" s="902"/>
      <c r="DT93" s="902">
        <f>COUNTIFS(DR7:DR51,"&gt;=33",DO7:DO51,DP96)</f>
        <v>0</v>
      </c>
      <c r="DU93" s="902"/>
      <c r="DV93" s="118"/>
      <c r="DW93" s="500"/>
      <c r="DX93" s="534"/>
      <c r="DY93" s="534"/>
      <c r="DZ93" s="534"/>
      <c r="EA93" s="534"/>
      <c r="EB93" s="534"/>
      <c r="EC93" s="534"/>
      <c r="ED93" s="534"/>
      <c r="EE93" s="534"/>
      <c r="EF93" s="534"/>
      <c r="EG93" s="534"/>
      <c r="EH93" s="534"/>
      <c r="EI93" s="534"/>
      <c r="EJ93" s="535"/>
      <c r="EK93" s="535"/>
      <c r="EL93" s="535"/>
      <c r="EM93" s="535"/>
      <c r="EN93" s="535"/>
      <c r="EO93" s="535"/>
      <c r="EP93" s="536"/>
      <c r="EQ93" s="536"/>
      <c r="ER93" s="536"/>
      <c r="ES93" s="536"/>
      <c r="ET93" s="536"/>
      <c r="EU93" s="536"/>
      <c r="EV93" s="537"/>
      <c r="EW93" s="537"/>
      <c r="EX93" s="537"/>
      <c r="EY93" s="537"/>
      <c r="EZ93" s="537"/>
      <c r="FA93" s="537"/>
      <c r="FB93" s="538"/>
      <c r="FC93" s="538"/>
      <c r="FD93" s="538"/>
      <c r="FE93" s="538"/>
      <c r="FF93" s="538"/>
      <c r="FG93" s="538"/>
      <c r="FH93" s="539"/>
      <c r="FI93" s="539"/>
      <c r="FJ93" s="347"/>
      <c r="FK93" s="347"/>
      <c r="FL93" s="347"/>
      <c r="FM93" s="540"/>
      <c r="FN93" s="540"/>
      <c r="FO93" s="540"/>
      <c r="FP93" s="540"/>
      <c r="FQ93" s="540"/>
      <c r="FR93" s="540"/>
      <c r="FS93" s="540"/>
      <c r="FT93" s="540"/>
      <c r="FU93" s="540"/>
      <c r="FV93" s="540"/>
      <c r="FW93" s="540"/>
      <c r="FX93" s="540"/>
      <c r="FY93" s="540"/>
      <c r="FZ93" s="540"/>
      <c r="GA93" s="541"/>
      <c r="GB93" s="399"/>
      <c r="GC93" s="399"/>
      <c r="GD93" s="60"/>
    </row>
    <row r="94" spans="1:186" ht="12.6" customHeight="1" x14ac:dyDescent="0.3">
      <c r="A94" s="60"/>
      <c r="B94" s="577"/>
      <c r="C94" s="577"/>
      <c r="D94" s="577"/>
      <c r="E94" s="578"/>
      <c r="F94" s="578"/>
      <c r="G94" s="578"/>
      <c r="H94" s="578"/>
      <c r="I94" s="578"/>
      <c r="J94" s="578"/>
      <c r="K94" s="578"/>
      <c r="L94" s="555"/>
      <c r="M94" s="554"/>
      <c r="N94" s="555"/>
      <c r="O94" s="554"/>
      <c r="P94" s="555"/>
      <c r="Q94" s="555"/>
      <c r="R94" s="554"/>
      <c r="S94" s="554"/>
      <c r="T94" s="555"/>
      <c r="U94" s="554"/>
      <c r="V94" s="555"/>
      <c r="W94" s="555"/>
      <c r="X94" s="555"/>
      <c r="Y94" s="554"/>
      <c r="Z94" s="554"/>
      <c r="AA94" s="579"/>
      <c r="AB94" s="555"/>
      <c r="AC94" s="555"/>
      <c r="AD94" s="555"/>
      <c r="AE94" s="555"/>
      <c r="AF94" s="555"/>
      <c r="AG94" s="567"/>
      <c r="AH94" s="567"/>
      <c r="AI94" s="568"/>
      <c r="AJ94" s="567"/>
      <c r="AK94" s="568"/>
      <c r="AL94" s="567"/>
      <c r="AM94" s="567"/>
      <c r="AN94" s="557"/>
      <c r="AO94" s="557"/>
      <c r="AP94" s="567"/>
      <c r="AQ94" s="568"/>
      <c r="AR94" s="567"/>
      <c r="AS94" s="569"/>
      <c r="AT94" s="556"/>
      <c r="AU94" s="568"/>
      <c r="AV94" s="570"/>
      <c r="AW94" s="556"/>
      <c r="AX94" s="567"/>
      <c r="AY94" s="556"/>
      <c r="AZ94" s="556"/>
      <c r="BA94" s="556"/>
      <c r="BB94" s="556"/>
      <c r="BC94" s="552"/>
      <c r="BD94" s="553"/>
      <c r="BE94" s="552"/>
      <c r="BF94" s="553"/>
      <c r="BG94" s="552"/>
      <c r="BH94" s="552"/>
      <c r="BI94" s="554"/>
      <c r="BJ94" s="554"/>
      <c r="BK94" s="552"/>
      <c r="BL94" s="554"/>
      <c r="BM94" s="555"/>
      <c r="BN94" s="555"/>
      <c r="BO94" s="555"/>
      <c r="BP94" s="555"/>
      <c r="BQ94" s="554"/>
      <c r="BR94" s="555"/>
      <c r="BS94" s="555"/>
      <c r="BT94" s="555"/>
      <c r="BU94" s="555"/>
      <c r="BV94" s="555"/>
      <c r="BW94" s="555"/>
      <c r="BX94" s="556"/>
      <c r="BY94" s="557"/>
      <c r="BZ94" s="556"/>
      <c r="CA94" s="557"/>
      <c r="CB94" s="556"/>
      <c r="CC94" s="556"/>
      <c r="CD94" s="557"/>
      <c r="CE94" s="557"/>
      <c r="CF94" s="556"/>
      <c r="CG94" s="557"/>
      <c r="CH94" s="557"/>
      <c r="CI94" s="557"/>
      <c r="CJ94" s="557"/>
      <c r="CK94" s="557"/>
      <c r="CL94" s="557"/>
      <c r="CM94" s="556"/>
      <c r="CN94" s="556"/>
      <c r="CO94" s="556"/>
      <c r="CP94" s="556"/>
      <c r="CQ94" s="556"/>
      <c r="CR94" s="556"/>
      <c r="CS94" s="555"/>
      <c r="CT94" s="554"/>
      <c r="CU94" s="555"/>
      <c r="CV94" s="554"/>
      <c r="CW94" s="555"/>
      <c r="CX94" s="555"/>
      <c r="CY94" s="554"/>
      <c r="CZ94" s="554"/>
      <c r="DA94" s="555"/>
      <c r="DB94" s="554"/>
      <c r="DC94" s="554"/>
      <c r="DD94" s="554"/>
      <c r="DE94" s="554"/>
      <c r="DF94" s="554"/>
      <c r="DG94" s="554"/>
      <c r="DH94" s="555"/>
      <c r="DI94" s="555"/>
      <c r="DJ94" s="555"/>
      <c r="DK94" s="555"/>
      <c r="DL94" s="555"/>
      <c r="DM94" s="555"/>
      <c r="DN94" s="543"/>
      <c r="DO94" s="118"/>
      <c r="DP94" s="902" t="s">
        <v>60</v>
      </c>
      <c r="DQ94" s="902"/>
      <c r="DR94" s="902"/>
      <c r="DS94" s="902"/>
      <c r="DT94" s="902">
        <f>COUNTIFS(DR7:DR51,"&lt;33",DO7:DO51,DP96)</f>
        <v>0</v>
      </c>
      <c r="DU94" s="902"/>
      <c r="DV94" s="118"/>
      <c r="DW94" s="500"/>
      <c r="DX94" s="534"/>
      <c r="DY94" s="534"/>
      <c r="DZ94" s="534"/>
      <c r="EA94" s="534"/>
      <c r="EB94" s="534"/>
      <c r="EC94" s="534"/>
      <c r="ED94" s="534"/>
      <c r="EE94" s="534"/>
      <c r="EF94" s="534"/>
      <c r="EG94" s="534"/>
      <c r="EH94" s="534"/>
      <c r="EI94" s="534"/>
      <c r="EJ94" s="535"/>
      <c r="EK94" s="535"/>
      <c r="EL94" s="535"/>
      <c r="EM94" s="535"/>
      <c r="EN94" s="535"/>
      <c r="EO94" s="535"/>
      <c r="EP94" s="536"/>
      <c r="EQ94" s="536"/>
      <c r="ER94" s="536"/>
      <c r="ES94" s="536"/>
      <c r="ET94" s="536"/>
      <c r="EU94" s="536"/>
      <c r="EV94" s="537"/>
      <c r="EW94" s="537"/>
      <c r="EX94" s="537"/>
      <c r="EY94" s="537"/>
      <c r="EZ94" s="537"/>
      <c r="FA94" s="537"/>
      <c r="FB94" s="538"/>
      <c r="FC94" s="538"/>
      <c r="FD94" s="538"/>
      <c r="FE94" s="538"/>
      <c r="FF94" s="538"/>
      <c r="FG94" s="538"/>
      <c r="FH94" s="539"/>
      <c r="FI94" s="539"/>
      <c r="FJ94" s="347"/>
      <c r="FK94" s="347"/>
      <c r="FL94" s="347"/>
      <c r="FM94" s="540"/>
      <c r="FN94" s="540"/>
      <c r="FO94" s="540"/>
      <c r="FP94" s="540"/>
      <c r="FQ94" s="540"/>
      <c r="FR94" s="540"/>
      <c r="FS94" s="540"/>
      <c r="FT94" s="540"/>
      <c r="FU94" s="540"/>
      <c r="FV94" s="540"/>
      <c r="FW94" s="540"/>
      <c r="FX94" s="540"/>
      <c r="FY94" s="540"/>
      <c r="FZ94" s="540"/>
      <c r="GA94" s="541"/>
      <c r="GB94" s="399"/>
      <c r="GC94" s="399"/>
      <c r="GD94" s="60"/>
    </row>
    <row r="95" spans="1:186" ht="12.6" customHeight="1" x14ac:dyDescent="0.3">
      <c r="A95" s="60"/>
      <c r="B95" s="577"/>
      <c r="C95" s="577"/>
      <c r="D95" s="577"/>
      <c r="E95" s="578"/>
      <c r="F95" s="578"/>
      <c r="G95" s="578"/>
      <c r="H95" s="578"/>
      <c r="I95" s="578"/>
      <c r="J95" s="578"/>
      <c r="K95" s="578"/>
      <c r="L95" s="555"/>
      <c r="M95" s="554"/>
      <c r="N95" s="555"/>
      <c r="O95" s="554"/>
      <c r="P95" s="555"/>
      <c r="Q95" s="555"/>
      <c r="R95" s="554"/>
      <c r="S95" s="554"/>
      <c r="T95" s="555"/>
      <c r="U95" s="554"/>
      <c r="V95" s="555"/>
      <c r="W95" s="555"/>
      <c r="X95" s="555"/>
      <c r="Y95" s="554"/>
      <c r="Z95" s="554"/>
      <c r="AA95" s="579"/>
      <c r="AB95" s="555"/>
      <c r="AC95" s="555"/>
      <c r="AD95" s="555"/>
      <c r="AE95" s="555"/>
      <c r="AF95" s="555"/>
      <c r="AG95" s="567"/>
      <c r="AH95" s="567"/>
      <c r="AI95" s="568"/>
      <c r="AJ95" s="567"/>
      <c r="AK95" s="568"/>
      <c r="AL95" s="567"/>
      <c r="AM95" s="567"/>
      <c r="AN95" s="557"/>
      <c r="AO95" s="557"/>
      <c r="AP95" s="567"/>
      <c r="AQ95" s="568"/>
      <c r="AR95" s="567"/>
      <c r="AS95" s="569"/>
      <c r="AT95" s="556"/>
      <c r="AU95" s="568"/>
      <c r="AV95" s="570"/>
      <c r="AW95" s="556"/>
      <c r="AX95" s="567"/>
      <c r="AY95" s="556"/>
      <c r="AZ95" s="556"/>
      <c r="BA95" s="556"/>
      <c r="BB95" s="556"/>
      <c r="BC95" s="552"/>
      <c r="BD95" s="553"/>
      <c r="BE95" s="552"/>
      <c r="BF95" s="553"/>
      <c r="BG95" s="552"/>
      <c r="BH95" s="552"/>
      <c r="BI95" s="554"/>
      <c r="BJ95" s="554"/>
      <c r="BK95" s="552"/>
      <c r="BL95" s="554"/>
      <c r="BM95" s="555"/>
      <c r="BN95" s="555"/>
      <c r="BO95" s="555"/>
      <c r="BP95" s="555"/>
      <c r="BQ95" s="554"/>
      <c r="BR95" s="555"/>
      <c r="BS95" s="555"/>
      <c r="BT95" s="555"/>
      <c r="BU95" s="555"/>
      <c r="BV95" s="555"/>
      <c r="BW95" s="555"/>
      <c r="BX95" s="556"/>
      <c r="BY95" s="557"/>
      <c r="BZ95" s="556"/>
      <c r="CA95" s="557"/>
      <c r="CB95" s="556"/>
      <c r="CC95" s="556"/>
      <c r="CD95" s="557"/>
      <c r="CE95" s="557"/>
      <c r="CF95" s="556"/>
      <c r="CG95" s="557"/>
      <c r="CH95" s="557"/>
      <c r="CI95" s="557"/>
      <c r="CJ95" s="557"/>
      <c r="CK95" s="557"/>
      <c r="CL95" s="557"/>
      <c r="CM95" s="556"/>
      <c r="CN95" s="556"/>
      <c r="CO95" s="556"/>
      <c r="CP95" s="556"/>
      <c r="CQ95" s="556"/>
      <c r="CR95" s="556"/>
      <c r="CS95" s="555"/>
      <c r="CT95" s="554"/>
      <c r="CU95" s="555"/>
      <c r="CV95" s="554"/>
      <c r="CW95" s="555"/>
      <c r="CX95" s="555"/>
      <c r="CY95" s="554"/>
      <c r="CZ95" s="554"/>
      <c r="DA95" s="555"/>
      <c r="DB95" s="554"/>
      <c r="DC95" s="554"/>
      <c r="DD95" s="554"/>
      <c r="DE95" s="554"/>
      <c r="DF95" s="554"/>
      <c r="DG95" s="554"/>
      <c r="DH95" s="555"/>
      <c r="DI95" s="555"/>
      <c r="DJ95" s="555"/>
      <c r="DK95" s="555"/>
      <c r="DL95" s="555"/>
      <c r="DM95" s="555"/>
      <c r="DN95" s="543"/>
      <c r="DO95" s="118"/>
      <c r="DP95" s="902" t="s">
        <v>61</v>
      </c>
      <c r="DQ95" s="902"/>
      <c r="DR95" s="902"/>
      <c r="DS95" s="902"/>
      <c r="DT95" s="902" t="str">
        <f>IFERROR(ROUNDUP((DT93/DT92)*100,2),"N/A")</f>
        <v>N/A</v>
      </c>
      <c r="DU95" s="902"/>
      <c r="DV95" s="118"/>
      <c r="DW95" s="500"/>
      <c r="DX95" s="534"/>
      <c r="DY95" s="534"/>
      <c r="DZ95" s="534"/>
      <c r="EA95" s="534"/>
      <c r="EB95" s="534"/>
      <c r="EC95" s="534"/>
      <c r="ED95" s="534"/>
      <c r="EE95" s="534"/>
      <c r="EF95" s="534"/>
      <c r="EG95" s="534"/>
      <c r="EH95" s="534"/>
      <c r="EI95" s="534"/>
      <c r="EJ95" s="535"/>
      <c r="EK95" s="535"/>
      <c r="EL95" s="535"/>
      <c r="EM95" s="535"/>
      <c r="EN95" s="535"/>
      <c r="EO95" s="535"/>
      <c r="EP95" s="536"/>
      <c r="EQ95" s="536"/>
      <c r="ER95" s="536"/>
      <c r="ES95" s="536"/>
      <c r="ET95" s="536"/>
      <c r="EU95" s="536"/>
      <c r="EV95" s="537"/>
      <c r="EW95" s="537"/>
      <c r="EX95" s="537"/>
      <c r="EY95" s="537"/>
      <c r="EZ95" s="537"/>
      <c r="FA95" s="537"/>
      <c r="FB95" s="538"/>
      <c r="FC95" s="538"/>
      <c r="FD95" s="538"/>
      <c r="FE95" s="538"/>
      <c r="FF95" s="538"/>
      <c r="FG95" s="538"/>
      <c r="FH95" s="539"/>
      <c r="FI95" s="539"/>
      <c r="FJ95" s="347"/>
      <c r="FK95" s="347"/>
      <c r="FL95" s="347"/>
      <c r="FM95" s="540"/>
      <c r="FN95" s="540"/>
      <c r="FO95" s="540"/>
      <c r="FP95" s="540"/>
      <c r="FQ95" s="540"/>
      <c r="FR95" s="540"/>
      <c r="FS95" s="540"/>
      <c r="FT95" s="540"/>
      <c r="FU95" s="540"/>
      <c r="FV95" s="540"/>
      <c r="FW95" s="540"/>
      <c r="FX95" s="540"/>
      <c r="FY95" s="540"/>
      <c r="FZ95" s="540"/>
      <c r="GA95" s="541"/>
      <c r="GB95" s="399"/>
      <c r="GC95" s="399"/>
      <c r="GD95" s="60"/>
    </row>
    <row r="96" spans="1:186" ht="12.6" customHeight="1" x14ac:dyDescent="0.25">
      <c r="A96" s="60"/>
      <c r="B96" s="577"/>
      <c r="C96" s="577"/>
      <c r="D96" s="577"/>
      <c r="E96" s="578"/>
      <c r="F96" s="578"/>
      <c r="G96" s="578"/>
      <c r="H96" s="578"/>
      <c r="I96" s="578"/>
      <c r="J96" s="578"/>
      <c r="K96" s="578"/>
      <c r="L96" s="555"/>
      <c r="M96" s="554"/>
      <c r="N96" s="555"/>
      <c r="O96" s="554"/>
      <c r="P96" s="555"/>
      <c r="Q96" s="555"/>
      <c r="R96" s="554"/>
      <c r="S96" s="554"/>
      <c r="T96" s="555"/>
      <c r="U96" s="554"/>
      <c r="V96" s="555"/>
      <c r="W96" s="555"/>
      <c r="X96" s="555"/>
      <c r="Y96" s="554"/>
      <c r="Z96" s="554"/>
      <c r="AA96" s="579"/>
      <c r="AB96" s="555"/>
      <c r="AC96" s="555"/>
      <c r="AD96" s="555"/>
      <c r="AE96" s="555"/>
      <c r="AF96" s="555"/>
      <c r="AG96" s="567"/>
      <c r="AH96" s="567"/>
      <c r="AI96" s="568"/>
      <c r="AJ96" s="567"/>
      <c r="AK96" s="568"/>
      <c r="AL96" s="567"/>
      <c r="AM96" s="567"/>
      <c r="AN96" s="557"/>
      <c r="AO96" s="557"/>
      <c r="AP96" s="567"/>
      <c r="AQ96" s="568"/>
      <c r="AR96" s="567"/>
      <c r="AS96" s="569"/>
      <c r="AT96" s="556"/>
      <c r="AU96" s="568"/>
      <c r="AV96" s="570"/>
      <c r="AW96" s="556"/>
      <c r="AX96" s="567"/>
      <c r="AY96" s="556"/>
      <c r="AZ96" s="556"/>
      <c r="BA96" s="556"/>
      <c r="BB96" s="556"/>
      <c r="BC96" s="552"/>
      <c r="BD96" s="553"/>
      <c r="BE96" s="552"/>
      <c r="BF96" s="553"/>
      <c r="BG96" s="552"/>
      <c r="BH96" s="552"/>
      <c r="BI96" s="554"/>
      <c r="BJ96" s="554"/>
      <c r="BK96" s="552"/>
      <c r="BL96" s="554"/>
      <c r="BM96" s="555"/>
      <c r="BN96" s="555"/>
      <c r="BO96" s="555"/>
      <c r="BP96" s="555"/>
      <c r="BQ96" s="554"/>
      <c r="BR96" s="555"/>
      <c r="BS96" s="555"/>
      <c r="BT96" s="555"/>
      <c r="BU96" s="555"/>
      <c r="BV96" s="555"/>
      <c r="BW96" s="555"/>
      <c r="BX96" s="556"/>
      <c r="BY96" s="557"/>
      <c r="BZ96" s="556"/>
      <c r="CA96" s="557"/>
      <c r="CB96" s="556"/>
      <c r="CC96" s="556"/>
      <c r="CD96" s="557"/>
      <c r="CE96" s="557"/>
      <c r="CF96" s="556"/>
      <c r="CG96" s="557"/>
      <c r="CH96" s="557"/>
      <c r="CI96" s="557"/>
      <c r="CJ96" s="557"/>
      <c r="CK96" s="557"/>
      <c r="CL96" s="557"/>
      <c r="CM96" s="556"/>
      <c r="CN96" s="556"/>
      <c r="CO96" s="556"/>
      <c r="CP96" s="556"/>
      <c r="CQ96" s="556"/>
      <c r="CR96" s="556"/>
      <c r="CS96" s="555"/>
      <c r="CT96" s="554"/>
      <c r="CU96" s="555"/>
      <c r="CV96" s="554"/>
      <c r="CW96" s="555"/>
      <c r="CX96" s="555"/>
      <c r="CY96" s="554"/>
      <c r="CZ96" s="554"/>
      <c r="DA96" s="555"/>
      <c r="DB96" s="554"/>
      <c r="DC96" s="554"/>
      <c r="DD96" s="554"/>
      <c r="DE96" s="554"/>
      <c r="DF96" s="554"/>
      <c r="DG96" s="554"/>
      <c r="DH96" s="555"/>
      <c r="DI96" s="555"/>
      <c r="DJ96" s="555"/>
      <c r="DK96" s="555"/>
      <c r="DL96" s="555"/>
      <c r="DM96" s="555"/>
      <c r="DN96" s="543"/>
      <c r="DO96" s="118"/>
      <c r="DP96" s="903" t="str">
        <f>IF(DASHBOARD!B22="","",DASHBOARD!B22)</f>
        <v>APPAREL MADE-UPS HOME FURNISHING</v>
      </c>
      <c r="DQ96" s="904"/>
      <c r="DR96" s="904"/>
      <c r="DS96" s="904"/>
      <c r="DT96" s="904"/>
      <c r="DU96" s="904"/>
      <c r="DV96" s="118"/>
      <c r="DW96" s="500"/>
      <c r="DX96" s="534"/>
      <c r="DY96" s="534"/>
      <c r="DZ96" s="534"/>
      <c r="EA96" s="534"/>
      <c r="EB96" s="534"/>
      <c r="EC96" s="534"/>
      <c r="ED96" s="534"/>
      <c r="EE96" s="534"/>
      <c r="EF96" s="534"/>
      <c r="EG96" s="534"/>
      <c r="EH96" s="534"/>
      <c r="EI96" s="534"/>
      <c r="EJ96" s="535"/>
      <c r="EK96" s="535"/>
      <c r="EL96" s="535"/>
      <c r="EM96" s="535"/>
      <c r="EN96" s="535"/>
      <c r="EO96" s="535"/>
      <c r="EP96" s="536"/>
      <c r="EQ96" s="536"/>
      <c r="ER96" s="536"/>
      <c r="ES96" s="536"/>
      <c r="ET96" s="536"/>
      <c r="EU96" s="536"/>
      <c r="EV96" s="537"/>
      <c r="EW96" s="537"/>
      <c r="EX96" s="537"/>
      <c r="EY96" s="537"/>
      <c r="EZ96" s="537"/>
      <c r="FA96" s="537"/>
      <c r="FB96" s="538"/>
      <c r="FC96" s="538"/>
      <c r="FD96" s="538"/>
      <c r="FE96" s="538"/>
      <c r="FF96" s="538"/>
      <c r="FG96" s="538"/>
      <c r="FH96" s="539"/>
      <c r="FI96" s="539"/>
      <c r="FJ96" s="347"/>
      <c r="FK96" s="347"/>
      <c r="FL96" s="347"/>
      <c r="FM96" s="540"/>
      <c r="FN96" s="540"/>
      <c r="FO96" s="540"/>
      <c r="FP96" s="540"/>
      <c r="FQ96" s="540"/>
      <c r="FR96" s="540"/>
      <c r="FS96" s="540"/>
      <c r="FT96" s="540"/>
      <c r="FU96" s="540"/>
      <c r="FV96" s="540"/>
      <c r="FW96" s="540"/>
      <c r="FX96" s="540"/>
      <c r="FY96" s="540"/>
      <c r="FZ96" s="540"/>
      <c r="GA96" s="541"/>
      <c r="GB96" s="399"/>
      <c r="GC96" s="399"/>
      <c r="GD96" s="60"/>
    </row>
    <row r="97" spans="1:186" ht="12.6" customHeight="1" x14ac:dyDescent="0.25">
      <c r="A97" s="60"/>
      <c r="B97" s="577"/>
      <c r="C97" s="577"/>
      <c r="D97" s="577"/>
      <c r="E97" s="578"/>
      <c r="F97" s="578"/>
      <c r="G97" s="578"/>
      <c r="H97" s="578"/>
      <c r="I97" s="578"/>
      <c r="J97" s="578"/>
      <c r="K97" s="578"/>
      <c r="L97" s="555"/>
      <c r="M97" s="554"/>
      <c r="N97" s="555"/>
      <c r="O97" s="554"/>
      <c r="P97" s="555"/>
      <c r="Q97" s="555"/>
      <c r="R97" s="554"/>
      <c r="S97" s="554"/>
      <c r="T97" s="555"/>
      <c r="U97" s="554"/>
      <c r="V97" s="555"/>
      <c r="W97" s="555"/>
      <c r="X97" s="555"/>
      <c r="Y97" s="554"/>
      <c r="Z97" s="554"/>
      <c r="AA97" s="579"/>
      <c r="AB97" s="555"/>
      <c r="AC97" s="555"/>
      <c r="AD97" s="555"/>
      <c r="AE97" s="555"/>
      <c r="AF97" s="555"/>
      <c r="AG97" s="567"/>
      <c r="AH97" s="567"/>
      <c r="AI97" s="568"/>
      <c r="AJ97" s="567"/>
      <c r="AK97" s="568"/>
      <c r="AL97" s="567"/>
      <c r="AM97" s="567"/>
      <c r="AN97" s="557"/>
      <c r="AO97" s="557"/>
      <c r="AP97" s="567"/>
      <c r="AQ97" s="568"/>
      <c r="AR97" s="567"/>
      <c r="AS97" s="569"/>
      <c r="AT97" s="556"/>
      <c r="AU97" s="568"/>
      <c r="AV97" s="570"/>
      <c r="AW97" s="556"/>
      <c r="AX97" s="567"/>
      <c r="AY97" s="556"/>
      <c r="AZ97" s="556"/>
      <c r="BA97" s="556"/>
      <c r="BB97" s="556"/>
      <c r="BC97" s="552"/>
      <c r="BD97" s="553"/>
      <c r="BE97" s="552"/>
      <c r="BF97" s="553"/>
      <c r="BG97" s="552"/>
      <c r="BH97" s="552"/>
      <c r="BI97" s="554"/>
      <c r="BJ97" s="554"/>
      <c r="BK97" s="552"/>
      <c r="BL97" s="554"/>
      <c r="BM97" s="555"/>
      <c r="BN97" s="555"/>
      <c r="BO97" s="555"/>
      <c r="BP97" s="555"/>
      <c r="BQ97" s="554"/>
      <c r="BR97" s="555"/>
      <c r="BS97" s="555"/>
      <c r="BT97" s="555"/>
      <c r="BU97" s="555"/>
      <c r="BV97" s="555"/>
      <c r="BW97" s="555"/>
      <c r="BX97" s="556"/>
      <c r="BY97" s="557"/>
      <c r="BZ97" s="556"/>
      <c r="CA97" s="557"/>
      <c r="CB97" s="556"/>
      <c r="CC97" s="556"/>
      <c r="CD97" s="557"/>
      <c r="CE97" s="557"/>
      <c r="CF97" s="556"/>
      <c r="CG97" s="557"/>
      <c r="CH97" s="557"/>
      <c r="CI97" s="557"/>
      <c r="CJ97" s="557"/>
      <c r="CK97" s="557"/>
      <c r="CL97" s="557"/>
      <c r="CM97" s="556"/>
      <c r="CN97" s="556"/>
      <c r="CO97" s="556"/>
      <c r="CP97" s="556"/>
      <c r="CQ97" s="556"/>
      <c r="CR97" s="556"/>
      <c r="CS97" s="555"/>
      <c r="CT97" s="554"/>
      <c r="CU97" s="555"/>
      <c r="CV97" s="554"/>
      <c r="CW97" s="555"/>
      <c r="CX97" s="555"/>
      <c r="CY97" s="554"/>
      <c r="CZ97" s="554"/>
      <c r="DA97" s="555"/>
      <c r="DB97" s="554"/>
      <c r="DC97" s="554"/>
      <c r="DD97" s="554"/>
      <c r="DE97" s="554"/>
      <c r="DF97" s="554"/>
      <c r="DG97" s="554"/>
      <c r="DH97" s="555"/>
      <c r="DI97" s="555"/>
      <c r="DJ97" s="555"/>
      <c r="DK97" s="555"/>
      <c r="DL97" s="555"/>
      <c r="DM97" s="555"/>
      <c r="DN97" s="543"/>
      <c r="DO97" s="501" t="s">
        <v>310</v>
      </c>
      <c r="DP97" s="905" t="s">
        <v>64</v>
      </c>
      <c r="DQ97" s="905"/>
      <c r="DR97" s="905"/>
      <c r="DS97" s="905"/>
      <c r="DT97" s="905">
        <f t="shared" ref="DT97:DT104" si="309">COUNTIFS($DS$7:$DS$51,DO77,$DO$7:$DO$51,$DP$96)</f>
        <v>0</v>
      </c>
      <c r="DU97" s="904"/>
      <c r="DV97" s="118"/>
      <c r="DW97" s="500"/>
      <c r="DX97" s="534"/>
      <c r="DY97" s="534"/>
      <c r="DZ97" s="534"/>
      <c r="EA97" s="534"/>
      <c r="EB97" s="534"/>
      <c r="EC97" s="534"/>
      <c r="ED97" s="534"/>
      <c r="EE97" s="534"/>
      <c r="EF97" s="534"/>
      <c r="EG97" s="534"/>
      <c r="EH97" s="534"/>
      <c r="EI97" s="534"/>
      <c r="EJ97" s="535"/>
      <c r="EK97" s="535"/>
      <c r="EL97" s="535"/>
      <c r="EM97" s="535"/>
      <c r="EN97" s="535"/>
      <c r="EO97" s="535"/>
      <c r="EP97" s="536"/>
      <c r="EQ97" s="536"/>
      <c r="ER97" s="536"/>
      <c r="ES97" s="536"/>
      <c r="ET97" s="536"/>
      <c r="EU97" s="536"/>
      <c r="EV97" s="537"/>
      <c r="EW97" s="537"/>
      <c r="EX97" s="537"/>
      <c r="EY97" s="537"/>
      <c r="EZ97" s="537"/>
      <c r="FA97" s="537"/>
      <c r="FB97" s="538"/>
      <c r="FC97" s="538"/>
      <c r="FD97" s="538"/>
      <c r="FE97" s="538"/>
      <c r="FF97" s="538"/>
      <c r="FG97" s="538"/>
      <c r="FH97" s="539"/>
      <c r="FI97" s="539"/>
      <c r="FJ97" s="347"/>
      <c r="FK97" s="347"/>
      <c r="FL97" s="347"/>
      <c r="FM97" s="540"/>
      <c r="FN97" s="540"/>
      <c r="FO97" s="540"/>
      <c r="FP97" s="540"/>
      <c r="FQ97" s="540"/>
      <c r="FR97" s="540"/>
      <c r="FS97" s="540"/>
      <c r="FT97" s="540"/>
      <c r="FU97" s="540"/>
      <c r="FV97" s="540"/>
      <c r="FW97" s="540"/>
      <c r="FX97" s="540"/>
      <c r="FY97" s="540"/>
      <c r="FZ97" s="540"/>
      <c r="GA97" s="541"/>
      <c r="GB97" s="399"/>
      <c r="GC97" s="399"/>
      <c r="GD97" s="60"/>
    </row>
    <row r="98" spans="1:186" ht="12.6" customHeight="1" x14ac:dyDescent="0.25">
      <c r="A98" s="60"/>
      <c r="B98" s="577"/>
      <c r="C98" s="577"/>
      <c r="D98" s="577"/>
      <c r="E98" s="578"/>
      <c r="F98" s="578"/>
      <c r="G98" s="578"/>
      <c r="H98" s="578"/>
      <c r="I98" s="578"/>
      <c r="J98" s="578"/>
      <c r="K98" s="578"/>
      <c r="L98" s="555"/>
      <c r="M98" s="554"/>
      <c r="N98" s="555"/>
      <c r="O98" s="554"/>
      <c r="P98" s="555"/>
      <c r="Q98" s="555"/>
      <c r="R98" s="554"/>
      <c r="S98" s="554"/>
      <c r="T98" s="555"/>
      <c r="U98" s="554"/>
      <c r="V98" s="555"/>
      <c r="W98" s="555"/>
      <c r="X98" s="555"/>
      <c r="Y98" s="554"/>
      <c r="Z98" s="554"/>
      <c r="AA98" s="579"/>
      <c r="AB98" s="555"/>
      <c r="AC98" s="555"/>
      <c r="AD98" s="555"/>
      <c r="AE98" s="555"/>
      <c r="AF98" s="555"/>
      <c r="AG98" s="567"/>
      <c r="AH98" s="567"/>
      <c r="AI98" s="568"/>
      <c r="AJ98" s="567"/>
      <c r="AK98" s="568"/>
      <c r="AL98" s="567"/>
      <c r="AM98" s="567"/>
      <c r="AN98" s="557"/>
      <c r="AO98" s="557"/>
      <c r="AP98" s="567"/>
      <c r="AQ98" s="568"/>
      <c r="AR98" s="567"/>
      <c r="AS98" s="569"/>
      <c r="AT98" s="556"/>
      <c r="AU98" s="568"/>
      <c r="AV98" s="570"/>
      <c r="AW98" s="556"/>
      <c r="AX98" s="567"/>
      <c r="AY98" s="556"/>
      <c r="AZ98" s="556"/>
      <c r="BA98" s="556"/>
      <c r="BB98" s="556"/>
      <c r="BC98" s="552"/>
      <c r="BD98" s="553"/>
      <c r="BE98" s="552"/>
      <c r="BF98" s="553"/>
      <c r="BG98" s="552"/>
      <c r="BH98" s="552"/>
      <c r="BI98" s="554"/>
      <c r="BJ98" s="554"/>
      <c r="BK98" s="552"/>
      <c r="BL98" s="554"/>
      <c r="BM98" s="555"/>
      <c r="BN98" s="555"/>
      <c r="BO98" s="555"/>
      <c r="BP98" s="555"/>
      <c r="BQ98" s="554"/>
      <c r="BR98" s="555"/>
      <c r="BS98" s="555"/>
      <c r="BT98" s="555"/>
      <c r="BU98" s="555"/>
      <c r="BV98" s="555"/>
      <c r="BW98" s="555"/>
      <c r="BX98" s="556"/>
      <c r="BY98" s="557"/>
      <c r="BZ98" s="556"/>
      <c r="CA98" s="557"/>
      <c r="CB98" s="556"/>
      <c r="CC98" s="556"/>
      <c r="CD98" s="557"/>
      <c r="CE98" s="557"/>
      <c r="CF98" s="556"/>
      <c r="CG98" s="557"/>
      <c r="CH98" s="557"/>
      <c r="CI98" s="557"/>
      <c r="CJ98" s="557"/>
      <c r="CK98" s="557"/>
      <c r="CL98" s="557"/>
      <c r="CM98" s="556"/>
      <c r="CN98" s="556"/>
      <c r="CO98" s="556"/>
      <c r="CP98" s="556"/>
      <c r="CQ98" s="556"/>
      <c r="CR98" s="556"/>
      <c r="CS98" s="555"/>
      <c r="CT98" s="554"/>
      <c r="CU98" s="555"/>
      <c r="CV98" s="554"/>
      <c r="CW98" s="555"/>
      <c r="CX98" s="555"/>
      <c r="CY98" s="554"/>
      <c r="CZ98" s="554"/>
      <c r="DA98" s="555"/>
      <c r="DB98" s="554"/>
      <c r="DC98" s="554"/>
      <c r="DD98" s="554"/>
      <c r="DE98" s="554"/>
      <c r="DF98" s="554"/>
      <c r="DG98" s="554"/>
      <c r="DH98" s="555"/>
      <c r="DI98" s="555"/>
      <c r="DJ98" s="555"/>
      <c r="DK98" s="555"/>
      <c r="DL98" s="555"/>
      <c r="DM98" s="555"/>
      <c r="DN98" s="543"/>
      <c r="DO98" s="501" t="s">
        <v>24</v>
      </c>
      <c r="DP98" s="905" t="s">
        <v>65</v>
      </c>
      <c r="DQ98" s="905"/>
      <c r="DR98" s="905"/>
      <c r="DS98" s="905"/>
      <c r="DT98" s="905">
        <f t="shared" si="309"/>
        <v>0</v>
      </c>
      <c r="DU98" s="904"/>
      <c r="DV98" s="118"/>
      <c r="DW98" s="500"/>
      <c r="DX98" s="534"/>
      <c r="DY98" s="534"/>
      <c r="DZ98" s="534"/>
      <c r="EA98" s="534"/>
      <c r="EB98" s="534"/>
      <c r="EC98" s="534"/>
      <c r="ED98" s="534"/>
      <c r="EE98" s="534"/>
      <c r="EF98" s="534"/>
      <c r="EG98" s="534"/>
      <c r="EH98" s="534"/>
      <c r="EI98" s="534"/>
      <c r="EJ98" s="535"/>
      <c r="EK98" s="535"/>
      <c r="EL98" s="535"/>
      <c r="EM98" s="535"/>
      <c r="EN98" s="535"/>
      <c r="EO98" s="535"/>
      <c r="EP98" s="536"/>
      <c r="EQ98" s="536"/>
      <c r="ER98" s="536"/>
      <c r="ES98" s="536"/>
      <c r="ET98" s="536"/>
      <c r="EU98" s="536"/>
      <c r="EV98" s="537"/>
      <c r="EW98" s="537"/>
      <c r="EX98" s="537"/>
      <c r="EY98" s="537"/>
      <c r="EZ98" s="537"/>
      <c r="FA98" s="537"/>
      <c r="FB98" s="538"/>
      <c r="FC98" s="538"/>
      <c r="FD98" s="538"/>
      <c r="FE98" s="538"/>
      <c r="FF98" s="538"/>
      <c r="FG98" s="538"/>
      <c r="FH98" s="539"/>
      <c r="FI98" s="539"/>
      <c r="FJ98" s="347"/>
      <c r="FK98" s="347"/>
      <c r="FL98" s="347"/>
      <c r="FM98" s="540"/>
      <c r="FN98" s="540"/>
      <c r="FO98" s="540"/>
      <c r="FP98" s="540"/>
      <c r="FQ98" s="540"/>
      <c r="FR98" s="540"/>
      <c r="FS98" s="540"/>
      <c r="FT98" s="540"/>
      <c r="FU98" s="540"/>
      <c r="FV98" s="540"/>
      <c r="FW98" s="540"/>
      <c r="FX98" s="540"/>
      <c r="FY98" s="540"/>
      <c r="FZ98" s="540"/>
      <c r="GA98" s="541"/>
      <c r="GB98" s="399"/>
      <c r="GC98" s="399"/>
      <c r="GD98" s="60"/>
    </row>
    <row r="99" spans="1:186" ht="12.6" customHeight="1" x14ac:dyDescent="0.25">
      <c r="A99" s="60"/>
      <c r="B99" s="577"/>
      <c r="C99" s="577"/>
      <c r="D99" s="577"/>
      <c r="E99" s="578"/>
      <c r="F99" s="578"/>
      <c r="G99" s="578"/>
      <c r="H99" s="578"/>
      <c r="I99" s="578"/>
      <c r="J99" s="578"/>
      <c r="K99" s="578"/>
      <c r="L99" s="555"/>
      <c r="M99" s="554"/>
      <c r="N99" s="555"/>
      <c r="O99" s="554"/>
      <c r="P99" s="555"/>
      <c r="Q99" s="555"/>
      <c r="R99" s="554"/>
      <c r="S99" s="554"/>
      <c r="T99" s="555"/>
      <c r="U99" s="554"/>
      <c r="V99" s="555"/>
      <c r="W99" s="555"/>
      <c r="X99" s="555"/>
      <c r="Y99" s="554"/>
      <c r="Z99" s="554"/>
      <c r="AA99" s="579"/>
      <c r="AB99" s="555"/>
      <c r="AC99" s="555"/>
      <c r="AD99" s="555"/>
      <c r="AE99" s="555"/>
      <c r="AF99" s="555"/>
      <c r="AG99" s="567"/>
      <c r="AH99" s="567"/>
      <c r="AI99" s="568"/>
      <c r="AJ99" s="567"/>
      <c r="AK99" s="568"/>
      <c r="AL99" s="567"/>
      <c r="AM99" s="567"/>
      <c r="AN99" s="557"/>
      <c r="AO99" s="557"/>
      <c r="AP99" s="567"/>
      <c r="AQ99" s="568"/>
      <c r="AR99" s="567"/>
      <c r="AS99" s="569"/>
      <c r="AT99" s="556"/>
      <c r="AU99" s="568"/>
      <c r="AV99" s="570"/>
      <c r="AW99" s="556"/>
      <c r="AX99" s="567"/>
      <c r="AY99" s="556"/>
      <c r="AZ99" s="556"/>
      <c r="BA99" s="556"/>
      <c r="BB99" s="556"/>
      <c r="BC99" s="552"/>
      <c r="BD99" s="553"/>
      <c r="BE99" s="552"/>
      <c r="BF99" s="553"/>
      <c r="BG99" s="552"/>
      <c r="BH99" s="552"/>
      <c r="BI99" s="554"/>
      <c r="BJ99" s="554"/>
      <c r="BK99" s="552"/>
      <c r="BL99" s="554"/>
      <c r="BM99" s="555"/>
      <c r="BN99" s="555"/>
      <c r="BO99" s="555"/>
      <c r="BP99" s="555"/>
      <c r="BQ99" s="554"/>
      <c r="BR99" s="555"/>
      <c r="BS99" s="555"/>
      <c r="BT99" s="555"/>
      <c r="BU99" s="555"/>
      <c r="BV99" s="555"/>
      <c r="BW99" s="555"/>
      <c r="BX99" s="556"/>
      <c r="BY99" s="557"/>
      <c r="BZ99" s="556"/>
      <c r="CA99" s="557"/>
      <c r="CB99" s="556"/>
      <c r="CC99" s="556"/>
      <c r="CD99" s="557"/>
      <c r="CE99" s="557"/>
      <c r="CF99" s="556"/>
      <c r="CG99" s="557"/>
      <c r="CH99" s="557"/>
      <c r="CI99" s="557"/>
      <c r="CJ99" s="557"/>
      <c r="CK99" s="557"/>
      <c r="CL99" s="557"/>
      <c r="CM99" s="556"/>
      <c r="CN99" s="556"/>
      <c r="CO99" s="556"/>
      <c r="CP99" s="556"/>
      <c r="CQ99" s="556"/>
      <c r="CR99" s="556"/>
      <c r="CS99" s="555"/>
      <c r="CT99" s="554"/>
      <c r="CU99" s="555"/>
      <c r="CV99" s="554"/>
      <c r="CW99" s="555"/>
      <c r="CX99" s="555"/>
      <c r="CY99" s="554"/>
      <c r="CZ99" s="554"/>
      <c r="DA99" s="555"/>
      <c r="DB99" s="554"/>
      <c r="DC99" s="554"/>
      <c r="DD99" s="554"/>
      <c r="DE99" s="554"/>
      <c r="DF99" s="554"/>
      <c r="DG99" s="554"/>
      <c r="DH99" s="555"/>
      <c r="DI99" s="555"/>
      <c r="DJ99" s="555"/>
      <c r="DK99" s="555"/>
      <c r="DL99" s="555"/>
      <c r="DM99" s="555"/>
      <c r="DN99" s="543"/>
      <c r="DO99" s="501" t="s">
        <v>55</v>
      </c>
      <c r="DP99" s="905" t="s">
        <v>54</v>
      </c>
      <c r="DQ99" s="905"/>
      <c r="DR99" s="905"/>
      <c r="DS99" s="905"/>
      <c r="DT99" s="905">
        <f t="shared" si="309"/>
        <v>0</v>
      </c>
      <c r="DU99" s="904"/>
      <c r="DV99" s="118"/>
      <c r="DW99" s="500"/>
      <c r="DX99" s="534"/>
      <c r="DY99" s="534"/>
      <c r="DZ99" s="534"/>
      <c r="EA99" s="534"/>
      <c r="EB99" s="534"/>
      <c r="EC99" s="534"/>
      <c r="ED99" s="534"/>
      <c r="EE99" s="534"/>
      <c r="EF99" s="534"/>
      <c r="EG99" s="534"/>
      <c r="EH99" s="534"/>
      <c r="EI99" s="534"/>
      <c r="EJ99" s="535"/>
      <c r="EK99" s="535"/>
      <c r="EL99" s="535"/>
      <c r="EM99" s="535"/>
      <c r="EN99" s="535"/>
      <c r="EO99" s="535"/>
      <c r="EP99" s="536"/>
      <c r="EQ99" s="536"/>
      <c r="ER99" s="536"/>
      <c r="ES99" s="536"/>
      <c r="ET99" s="536"/>
      <c r="EU99" s="536"/>
      <c r="EV99" s="537"/>
      <c r="EW99" s="537"/>
      <c r="EX99" s="537"/>
      <c r="EY99" s="537"/>
      <c r="EZ99" s="537"/>
      <c r="FA99" s="537"/>
      <c r="FB99" s="538"/>
      <c r="FC99" s="538"/>
      <c r="FD99" s="538"/>
      <c r="FE99" s="538"/>
      <c r="FF99" s="538"/>
      <c r="FG99" s="538"/>
      <c r="FH99" s="539"/>
      <c r="FI99" s="539"/>
      <c r="FJ99" s="347"/>
      <c r="FK99" s="347"/>
      <c r="FL99" s="347"/>
      <c r="FM99" s="540"/>
      <c r="FN99" s="540"/>
      <c r="FO99" s="540"/>
      <c r="FP99" s="540"/>
      <c r="FQ99" s="540"/>
      <c r="FR99" s="540"/>
      <c r="FS99" s="540"/>
      <c r="FT99" s="540"/>
      <c r="FU99" s="540"/>
      <c r="FV99" s="540"/>
      <c r="FW99" s="540"/>
      <c r="FX99" s="540"/>
      <c r="FY99" s="540"/>
      <c r="FZ99" s="540"/>
      <c r="GA99" s="541"/>
      <c r="GB99" s="399"/>
      <c r="GC99" s="399"/>
      <c r="GD99" s="60"/>
    </row>
    <row r="100" spans="1:186" ht="12.6" customHeight="1" x14ac:dyDescent="0.25">
      <c r="A100" s="60"/>
      <c r="B100" s="577"/>
      <c r="C100" s="577"/>
      <c r="D100" s="577"/>
      <c r="E100" s="578"/>
      <c r="F100" s="578"/>
      <c r="G100" s="578"/>
      <c r="H100" s="578"/>
      <c r="I100" s="578"/>
      <c r="J100" s="578"/>
      <c r="K100" s="578"/>
      <c r="L100" s="555"/>
      <c r="M100" s="554"/>
      <c r="N100" s="555"/>
      <c r="O100" s="554"/>
      <c r="P100" s="555"/>
      <c r="Q100" s="555"/>
      <c r="R100" s="554"/>
      <c r="S100" s="554"/>
      <c r="T100" s="555"/>
      <c r="U100" s="554"/>
      <c r="V100" s="555"/>
      <c r="W100" s="555"/>
      <c r="X100" s="555"/>
      <c r="Y100" s="554"/>
      <c r="Z100" s="554"/>
      <c r="AA100" s="579"/>
      <c r="AB100" s="555"/>
      <c r="AC100" s="555"/>
      <c r="AD100" s="555"/>
      <c r="AE100" s="555"/>
      <c r="AF100" s="555"/>
      <c r="AG100" s="567"/>
      <c r="AH100" s="567"/>
      <c r="AI100" s="568"/>
      <c r="AJ100" s="567"/>
      <c r="AK100" s="568"/>
      <c r="AL100" s="567"/>
      <c r="AM100" s="567"/>
      <c r="AN100" s="557"/>
      <c r="AO100" s="557"/>
      <c r="AP100" s="567"/>
      <c r="AQ100" s="568"/>
      <c r="AR100" s="567"/>
      <c r="AS100" s="569"/>
      <c r="AT100" s="556"/>
      <c r="AU100" s="568"/>
      <c r="AV100" s="570"/>
      <c r="AW100" s="556"/>
      <c r="AX100" s="567"/>
      <c r="AY100" s="556"/>
      <c r="AZ100" s="556"/>
      <c r="BA100" s="556"/>
      <c r="BB100" s="556"/>
      <c r="BC100" s="552"/>
      <c r="BD100" s="553"/>
      <c r="BE100" s="552"/>
      <c r="BF100" s="553"/>
      <c r="BG100" s="552"/>
      <c r="BH100" s="552"/>
      <c r="BI100" s="554"/>
      <c r="BJ100" s="554"/>
      <c r="BK100" s="552"/>
      <c r="BL100" s="554"/>
      <c r="BM100" s="555"/>
      <c r="BN100" s="555"/>
      <c r="BO100" s="555"/>
      <c r="BP100" s="555"/>
      <c r="BQ100" s="554"/>
      <c r="BR100" s="555"/>
      <c r="BS100" s="555"/>
      <c r="BT100" s="555"/>
      <c r="BU100" s="555"/>
      <c r="BV100" s="555"/>
      <c r="BW100" s="555"/>
      <c r="BX100" s="556"/>
      <c r="BY100" s="557"/>
      <c r="BZ100" s="556"/>
      <c r="CA100" s="557"/>
      <c r="CB100" s="556"/>
      <c r="CC100" s="556"/>
      <c r="CD100" s="557"/>
      <c r="CE100" s="557"/>
      <c r="CF100" s="556"/>
      <c r="CG100" s="557"/>
      <c r="CH100" s="557"/>
      <c r="CI100" s="557"/>
      <c r="CJ100" s="557"/>
      <c r="CK100" s="557"/>
      <c r="CL100" s="557"/>
      <c r="CM100" s="556"/>
      <c r="CN100" s="556"/>
      <c r="CO100" s="556"/>
      <c r="CP100" s="556"/>
      <c r="CQ100" s="556"/>
      <c r="CR100" s="556"/>
      <c r="CS100" s="555"/>
      <c r="CT100" s="554"/>
      <c r="CU100" s="555"/>
      <c r="CV100" s="554"/>
      <c r="CW100" s="555"/>
      <c r="CX100" s="555"/>
      <c r="CY100" s="554"/>
      <c r="CZ100" s="554"/>
      <c r="DA100" s="555"/>
      <c r="DB100" s="554"/>
      <c r="DC100" s="554"/>
      <c r="DD100" s="554"/>
      <c r="DE100" s="554"/>
      <c r="DF100" s="554"/>
      <c r="DG100" s="554"/>
      <c r="DH100" s="555"/>
      <c r="DI100" s="555"/>
      <c r="DJ100" s="555"/>
      <c r="DK100" s="555"/>
      <c r="DL100" s="555"/>
      <c r="DM100" s="555"/>
      <c r="DN100" s="543"/>
      <c r="DO100" s="501" t="s">
        <v>53</v>
      </c>
      <c r="DP100" s="905" t="s">
        <v>66</v>
      </c>
      <c r="DQ100" s="905"/>
      <c r="DR100" s="905"/>
      <c r="DS100" s="905"/>
      <c r="DT100" s="905">
        <f t="shared" si="309"/>
        <v>0</v>
      </c>
      <c r="DU100" s="904"/>
      <c r="DV100" s="118"/>
      <c r="DW100" s="500"/>
      <c r="DX100" s="534"/>
      <c r="DY100" s="534"/>
      <c r="DZ100" s="534"/>
      <c r="EA100" s="534"/>
      <c r="EB100" s="534"/>
      <c r="EC100" s="534"/>
      <c r="ED100" s="534"/>
      <c r="EE100" s="534"/>
      <c r="EF100" s="534"/>
      <c r="EG100" s="534"/>
      <c r="EH100" s="534"/>
      <c r="EI100" s="534"/>
      <c r="EJ100" s="535"/>
      <c r="EK100" s="535"/>
      <c r="EL100" s="535"/>
      <c r="EM100" s="535"/>
      <c r="EN100" s="535"/>
      <c r="EO100" s="535"/>
      <c r="EP100" s="536"/>
      <c r="EQ100" s="536"/>
      <c r="ER100" s="536"/>
      <c r="ES100" s="536"/>
      <c r="ET100" s="536"/>
      <c r="EU100" s="536"/>
      <c r="EV100" s="537"/>
      <c r="EW100" s="537"/>
      <c r="EX100" s="537"/>
      <c r="EY100" s="537"/>
      <c r="EZ100" s="537"/>
      <c r="FA100" s="537"/>
      <c r="FB100" s="538"/>
      <c r="FC100" s="538"/>
      <c r="FD100" s="538"/>
      <c r="FE100" s="538"/>
      <c r="FF100" s="538"/>
      <c r="FG100" s="538"/>
      <c r="FH100" s="539"/>
      <c r="FI100" s="539"/>
      <c r="FJ100" s="347"/>
      <c r="FK100" s="347"/>
      <c r="FL100" s="347"/>
      <c r="FM100" s="540"/>
      <c r="FN100" s="540"/>
      <c r="FO100" s="540"/>
      <c r="FP100" s="540"/>
      <c r="FQ100" s="540"/>
      <c r="FR100" s="540"/>
      <c r="FS100" s="540"/>
      <c r="FT100" s="540"/>
      <c r="FU100" s="540"/>
      <c r="FV100" s="540"/>
      <c r="FW100" s="540"/>
      <c r="FX100" s="540"/>
      <c r="FY100" s="540"/>
      <c r="FZ100" s="540"/>
      <c r="GA100" s="541"/>
      <c r="GB100" s="399"/>
      <c r="GC100" s="399"/>
      <c r="GD100" s="60"/>
    </row>
    <row r="101" spans="1:186" ht="12.6" customHeight="1" x14ac:dyDescent="0.25">
      <c r="A101" s="60"/>
      <c r="B101" s="577"/>
      <c r="C101" s="577"/>
      <c r="D101" s="577"/>
      <c r="E101" s="578"/>
      <c r="F101" s="578"/>
      <c r="G101" s="578"/>
      <c r="H101" s="578"/>
      <c r="I101" s="578"/>
      <c r="J101" s="578"/>
      <c r="K101" s="578"/>
      <c r="L101" s="555"/>
      <c r="M101" s="554"/>
      <c r="N101" s="555"/>
      <c r="O101" s="554"/>
      <c r="P101" s="555"/>
      <c r="Q101" s="555"/>
      <c r="R101" s="554"/>
      <c r="S101" s="554"/>
      <c r="T101" s="555"/>
      <c r="U101" s="554"/>
      <c r="V101" s="555"/>
      <c r="W101" s="555"/>
      <c r="X101" s="555"/>
      <c r="Y101" s="554"/>
      <c r="Z101" s="554"/>
      <c r="AA101" s="579"/>
      <c r="AB101" s="555"/>
      <c r="AC101" s="555"/>
      <c r="AD101" s="555"/>
      <c r="AE101" s="555"/>
      <c r="AF101" s="555"/>
      <c r="AG101" s="567"/>
      <c r="AH101" s="567"/>
      <c r="AI101" s="568"/>
      <c r="AJ101" s="567"/>
      <c r="AK101" s="568"/>
      <c r="AL101" s="567"/>
      <c r="AM101" s="567"/>
      <c r="AN101" s="557"/>
      <c r="AO101" s="557"/>
      <c r="AP101" s="567"/>
      <c r="AQ101" s="568"/>
      <c r="AR101" s="567"/>
      <c r="AS101" s="569"/>
      <c r="AT101" s="556"/>
      <c r="AU101" s="568"/>
      <c r="AV101" s="570"/>
      <c r="AW101" s="556"/>
      <c r="AX101" s="567"/>
      <c r="AY101" s="556"/>
      <c r="AZ101" s="556"/>
      <c r="BA101" s="556"/>
      <c r="BB101" s="556"/>
      <c r="BC101" s="552"/>
      <c r="BD101" s="553"/>
      <c r="BE101" s="552"/>
      <c r="BF101" s="553"/>
      <c r="BG101" s="552"/>
      <c r="BH101" s="552"/>
      <c r="BI101" s="554"/>
      <c r="BJ101" s="554"/>
      <c r="BK101" s="552"/>
      <c r="BL101" s="554"/>
      <c r="BM101" s="555"/>
      <c r="BN101" s="555"/>
      <c r="BO101" s="555"/>
      <c r="BP101" s="555"/>
      <c r="BQ101" s="554"/>
      <c r="BR101" s="555"/>
      <c r="BS101" s="555"/>
      <c r="BT101" s="555"/>
      <c r="BU101" s="555"/>
      <c r="BV101" s="555"/>
      <c r="BW101" s="555"/>
      <c r="BX101" s="556"/>
      <c r="BY101" s="557"/>
      <c r="BZ101" s="556"/>
      <c r="CA101" s="557"/>
      <c r="CB101" s="556"/>
      <c r="CC101" s="556"/>
      <c r="CD101" s="557"/>
      <c r="CE101" s="557"/>
      <c r="CF101" s="556"/>
      <c r="CG101" s="557"/>
      <c r="CH101" s="557"/>
      <c r="CI101" s="557"/>
      <c r="CJ101" s="557"/>
      <c r="CK101" s="557"/>
      <c r="CL101" s="557"/>
      <c r="CM101" s="556"/>
      <c r="CN101" s="556"/>
      <c r="CO101" s="556"/>
      <c r="CP101" s="556"/>
      <c r="CQ101" s="556"/>
      <c r="CR101" s="556"/>
      <c r="CS101" s="555"/>
      <c r="CT101" s="554"/>
      <c r="CU101" s="555"/>
      <c r="CV101" s="554"/>
      <c r="CW101" s="555"/>
      <c r="CX101" s="555"/>
      <c r="CY101" s="554"/>
      <c r="CZ101" s="554"/>
      <c r="DA101" s="555"/>
      <c r="DB101" s="554"/>
      <c r="DC101" s="554"/>
      <c r="DD101" s="554"/>
      <c r="DE101" s="554"/>
      <c r="DF101" s="554"/>
      <c r="DG101" s="554"/>
      <c r="DH101" s="555"/>
      <c r="DI101" s="555"/>
      <c r="DJ101" s="555"/>
      <c r="DK101" s="555"/>
      <c r="DL101" s="555"/>
      <c r="DM101" s="555"/>
      <c r="DN101" s="543"/>
      <c r="DO101" s="501" t="s">
        <v>51</v>
      </c>
      <c r="DP101" s="905" t="s">
        <v>67</v>
      </c>
      <c r="DQ101" s="905"/>
      <c r="DR101" s="905"/>
      <c r="DS101" s="905"/>
      <c r="DT101" s="905">
        <f t="shared" si="309"/>
        <v>0</v>
      </c>
      <c r="DU101" s="904"/>
      <c r="DV101" s="118"/>
      <c r="DW101" s="500"/>
      <c r="DX101" s="534"/>
      <c r="DY101" s="534"/>
      <c r="DZ101" s="534"/>
      <c r="EA101" s="534"/>
      <c r="EB101" s="534"/>
      <c r="EC101" s="534"/>
      <c r="ED101" s="534"/>
      <c r="EE101" s="534"/>
      <c r="EF101" s="534"/>
      <c r="EG101" s="534"/>
      <c r="EH101" s="534"/>
      <c r="EI101" s="534"/>
      <c r="EJ101" s="535"/>
      <c r="EK101" s="535"/>
      <c r="EL101" s="535"/>
      <c r="EM101" s="535"/>
      <c r="EN101" s="535"/>
      <c r="EO101" s="535"/>
      <c r="EP101" s="536"/>
      <c r="EQ101" s="536"/>
      <c r="ER101" s="536"/>
      <c r="ES101" s="536"/>
      <c r="ET101" s="536"/>
      <c r="EU101" s="536"/>
      <c r="EV101" s="537"/>
      <c r="EW101" s="537"/>
      <c r="EX101" s="537"/>
      <c r="EY101" s="537"/>
      <c r="EZ101" s="537"/>
      <c r="FA101" s="537"/>
      <c r="FB101" s="538"/>
      <c r="FC101" s="538"/>
      <c r="FD101" s="538"/>
      <c r="FE101" s="538"/>
      <c r="FF101" s="538"/>
      <c r="FG101" s="538"/>
      <c r="FH101" s="539"/>
      <c r="FI101" s="539"/>
      <c r="FJ101" s="347"/>
      <c r="FK101" s="347"/>
      <c r="FL101" s="347"/>
      <c r="FM101" s="540"/>
      <c r="FN101" s="540"/>
      <c r="FO101" s="540"/>
      <c r="FP101" s="540"/>
      <c r="FQ101" s="540"/>
      <c r="FR101" s="540"/>
      <c r="FS101" s="540"/>
      <c r="FT101" s="540"/>
      <c r="FU101" s="540"/>
      <c r="FV101" s="540"/>
      <c r="FW101" s="540"/>
      <c r="FX101" s="540"/>
      <c r="FY101" s="540"/>
      <c r="FZ101" s="540"/>
      <c r="GA101" s="541"/>
      <c r="GB101" s="399"/>
      <c r="GC101" s="399"/>
      <c r="GD101" s="60"/>
    </row>
    <row r="102" spans="1:186" ht="12.6" customHeight="1" x14ac:dyDescent="0.25">
      <c r="A102" s="60"/>
      <c r="B102" s="577"/>
      <c r="C102" s="577"/>
      <c r="D102" s="577"/>
      <c r="E102" s="578"/>
      <c r="F102" s="578"/>
      <c r="G102" s="578"/>
      <c r="H102" s="578"/>
      <c r="I102" s="578"/>
      <c r="J102" s="578"/>
      <c r="K102" s="578"/>
      <c r="L102" s="555"/>
      <c r="M102" s="554"/>
      <c r="N102" s="555"/>
      <c r="O102" s="554"/>
      <c r="P102" s="555"/>
      <c r="Q102" s="555"/>
      <c r="R102" s="554"/>
      <c r="S102" s="554"/>
      <c r="T102" s="555"/>
      <c r="U102" s="554"/>
      <c r="V102" s="555"/>
      <c r="W102" s="555"/>
      <c r="X102" s="555"/>
      <c r="Y102" s="554"/>
      <c r="Z102" s="554"/>
      <c r="AA102" s="579"/>
      <c r="AB102" s="555"/>
      <c r="AC102" s="555"/>
      <c r="AD102" s="555"/>
      <c r="AE102" s="555"/>
      <c r="AF102" s="555"/>
      <c r="AG102" s="567"/>
      <c r="AH102" s="567"/>
      <c r="AI102" s="568"/>
      <c r="AJ102" s="567"/>
      <c r="AK102" s="568"/>
      <c r="AL102" s="567"/>
      <c r="AM102" s="567"/>
      <c r="AN102" s="557"/>
      <c r="AO102" s="557"/>
      <c r="AP102" s="567"/>
      <c r="AQ102" s="568"/>
      <c r="AR102" s="567"/>
      <c r="AS102" s="569"/>
      <c r="AT102" s="556"/>
      <c r="AU102" s="568"/>
      <c r="AV102" s="570"/>
      <c r="AW102" s="556"/>
      <c r="AX102" s="567"/>
      <c r="AY102" s="556"/>
      <c r="AZ102" s="556"/>
      <c r="BA102" s="556"/>
      <c r="BB102" s="556"/>
      <c r="BC102" s="552"/>
      <c r="BD102" s="553"/>
      <c r="BE102" s="552"/>
      <c r="BF102" s="553"/>
      <c r="BG102" s="552"/>
      <c r="BH102" s="552"/>
      <c r="BI102" s="554"/>
      <c r="BJ102" s="554"/>
      <c r="BK102" s="552"/>
      <c r="BL102" s="554"/>
      <c r="BM102" s="555"/>
      <c r="BN102" s="555"/>
      <c r="BO102" s="555"/>
      <c r="BP102" s="555"/>
      <c r="BQ102" s="554"/>
      <c r="BR102" s="555"/>
      <c r="BS102" s="555"/>
      <c r="BT102" s="555"/>
      <c r="BU102" s="555"/>
      <c r="BV102" s="555"/>
      <c r="BW102" s="555"/>
      <c r="BX102" s="556"/>
      <c r="BY102" s="557"/>
      <c r="BZ102" s="556"/>
      <c r="CA102" s="557"/>
      <c r="CB102" s="556"/>
      <c r="CC102" s="556"/>
      <c r="CD102" s="557"/>
      <c r="CE102" s="557"/>
      <c r="CF102" s="556"/>
      <c r="CG102" s="557"/>
      <c r="CH102" s="557"/>
      <c r="CI102" s="557"/>
      <c r="CJ102" s="557"/>
      <c r="CK102" s="557"/>
      <c r="CL102" s="557"/>
      <c r="CM102" s="556"/>
      <c r="CN102" s="556"/>
      <c r="CO102" s="556"/>
      <c r="CP102" s="556"/>
      <c r="CQ102" s="556"/>
      <c r="CR102" s="556"/>
      <c r="CS102" s="555"/>
      <c r="CT102" s="554"/>
      <c r="CU102" s="555"/>
      <c r="CV102" s="554"/>
      <c r="CW102" s="555"/>
      <c r="CX102" s="555"/>
      <c r="CY102" s="554"/>
      <c r="CZ102" s="554"/>
      <c r="DA102" s="555"/>
      <c r="DB102" s="554"/>
      <c r="DC102" s="554"/>
      <c r="DD102" s="554"/>
      <c r="DE102" s="554"/>
      <c r="DF102" s="554"/>
      <c r="DG102" s="554"/>
      <c r="DH102" s="555"/>
      <c r="DI102" s="555"/>
      <c r="DJ102" s="555"/>
      <c r="DK102" s="555"/>
      <c r="DL102" s="555"/>
      <c r="DM102" s="555"/>
      <c r="DN102" s="543"/>
      <c r="DO102" s="501" t="s">
        <v>49</v>
      </c>
      <c r="DP102" s="905" t="s">
        <v>68</v>
      </c>
      <c r="DQ102" s="905"/>
      <c r="DR102" s="905"/>
      <c r="DS102" s="905"/>
      <c r="DT102" s="905">
        <f t="shared" si="309"/>
        <v>0</v>
      </c>
      <c r="DU102" s="904"/>
      <c r="DV102" s="118"/>
      <c r="DW102" s="500"/>
      <c r="DX102" s="534"/>
      <c r="DY102" s="534"/>
      <c r="DZ102" s="534"/>
      <c r="EA102" s="534"/>
      <c r="EB102" s="534"/>
      <c r="EC102" s="534"/>
      <c r="ED102" s="534"/>
      <c r="EE102" s="534"/>
      <c r="EF102" s="534"/>
      <c r="EG102" s="534"/>
      <c r="EH102" s="534"/>
      <c r="EI102" s="534"/>
      <c r="EJ102" s="535"/>
      <c r="EK102" s="535"/>
      <c r="EL102" s="535"/>
      <c r="EM102" s="535"/>
      <c r="EN102" s="535"/>
      <c r="EO102" s="535"/>
      <c r="EP102" s="536"/>
      <c r="EQ102" s="536"/>
      <c r="ER102" s="536"/>
      <c r="ES102" s="536"/>
      <c r="ET102" s="536"/>
      <c r="EU102" s="536"/>
      <c r="EV102" s="537"/>
      <c r="EW102" s="537"/>
      <c r="EX102" s="537"/>
      <c r="EY102" s="537"/>
      <c r="EZ102" s="537"/>
      <c r="FA102" s="537"/>
      <c r="FB102" s="538"/>
      <c r="FC102" s="538"/>
      <c r="FD102" s="538"/>
      <c r="FE102" s="538"/>
      <c r="FF102" s="538"/>
      <c r="FG102" s="538"/>
      <c r="FH102" s="539"/>
      <c r="FI102" s="539"/>
      <c r="FJ102" s="347"/>
      <c r="FK102" s="347"/>
      <c r="FL102" s="347"/>
      <c r="FM102" s="540"/>
      <c r="FN102" s="540"/>
      <c r="FO102" s="540"/>
      <c r="FP102" s="540"/>
      <c r="FQ102" s="540"/>
      <c r="FR102" s="540"/>
      <c r="FS102" s="540"/>
      <c r="FT102" s="540"/>
      <c r="FU102" s="540"/>
      <c r="FV102" s="540"/>
      <c r="FW102" s="540"/>
      <c r="FX102" s="540"/>
      <c r="FY102" s="540"/>
      <c r="FZ102" s="540"/>
      <c r="GA102" s="541"/>
      <c r="GB102" s="399"/>
      <c r="GC102" s="399"/>
      <c r="GD102" s="60"/>
    </row>
    <row r="103" spans="1:186" ht="12.6" customHeight="1" x14ac:dyDescent="0.25">
      <c r="A103" s="60"/>
      <c r="B103" s="577"/>
      <c r="C103" s="577"/>
      <c r="D103" s="577"/>
      <c r="E103" s="578"/>
      <c r="F103" s="578"/>
      <c r="G103" s="578"/>
      <c r="H103" s="578"/>
      <c r="I103" s="578"/>
      <c r="J103" s="578"/>
      <c r="K103" s="578"/>
      <c r="L103" s="555"/>
      <c r="M103" s="554"/>
      <c r="N103" s="555"/>
      <c r="O103" s="554"/>
      <c r="P103" s="555"/>
      <c r="Q103" s="555"/>
      <c r="R103" s="554"/>
      <c r="S103" s="554"/>
      <c r="T103" s="555"/>
      <c r="U103" s="554"/>
      <c r="V103" s="555"/>
      <c r="W103" s="555"/>
      <c r="X103" s="555"/>
      <c r="Y103" s="554"/>
      <c r="Z103" s="554"/>
      <c r="AA103" s="579"/>
      <c r="AB103" s="555"/>
      <c r="AC103" s="555"/>
      <c r="AD103" s="555"/>
      <c r="AE103" s="555"/>
      <c r="AF103" s="555"/>
      <c r="AG103" s="567"/>
      <c r="AH103" s="567"/>
      <c r="AI103" s="568"/>
      <c r="AJ103" s="567"/>
      <c r="AK103" s="568"/>
      <c r="AL103" s="567"/>
      <c r="AM103" s="567"/>
      <c r="AN103" s="557"/>
      <c r="AO103" s="557"/>
      <c r="AP103" s="567"/>
      <c r="AQ103" s="568"/>
      <c r="AR103" s="567"/>
      <c r="AS103" s="569"/>
      <c r="AT103" s="556"/>
      <c r="AU103" s="568"/>
      <c r="AV103" s="570"/>
      <c r="AW103" s="556"/>
      <c r="AX103" s="567"/>
      <c r="AY103" s="556"/>
      <c r="AZ103" s="556"/>
      <c r="BA103" s="556"/>
      <c r="BB103" s="556"/>
      <c r="BC103" s="552"/>
      <c r="BD103" s="553"/>
      <c r="BE103" s="552"/>
      <c r="BF103" s="553"/>
      <c r="BG103" s="552"/>
      <c r="BH103" s="552"/>
      <c r="BI103" s="554"/>
      <c r="BJ103" s="554"/>
      <c r="BK103" s="552"/>
      <c r="BL103" s="554"/>
      <c r="BM103" s="555"/>
      <c r="BN103" s="555"/>
      <c r="BO103" s="555"/>
      <c r="BP103" s="555"/>
      <c r="BQ103" s="554"/>
      <c r="BR103" s="555"/>
      <c r="BS103" s="555"/>
      <c r="BT103" s="555"/>
      <c r="BU103" s="555"/>
      <c r="BV103" s="555"/>
      <c r="BW103" s="555"/>
      <c r="BX103" s="556"/>
      <c r="BY103" s="557"/>
      <c r="BZ103" s="556"/>
      <c r="CA103" s="557"/>
      <c r="CB103" s="556"/>
      <c r="CC103" s="556"/>
      <c r="CD103" s="557"/>
      <c r="CE103" s="557"/>
      <c r="CF103" s="556"/>
      <c r="CG103" s="557"/>
      <c r="CH103" s="557"/>
      <c r="CI103" s="557"/>
      <c r="CJ103" s="557"/>
      <c r="CK103" s="557"/>
      <c r="CL103" s="557"/>
      <c r="CM103" s="556"/>
      <c r="CN103" s="556"/>
      <c r="CO103" s="556"/>
      <c r="CP103" s="556"/>
      <c r="CQ103" s="556"/>
      <c r="CR103" s="556"/>
      <c r="CS103" s="555"/>
      <c r="CT103" s="554"/>
      <c r="CU103" s="555"/>
      <c r="CV103" s="554"/>
      <c r="CW103" s="555"/>
      <c r="CX103" s="555"/>
      <c r="CY103" s="554"/>
      <c r="CZ103" s="554"/>
      <c r="DA103" s="555"/>
      <c r="DB103" s="554"/>
      <c r="DC103" s="554"/>
      <c r="DD103" s="554"/>
      <c r="DE103" s="554"/>
      <c r="DF103" s="554"/>
      <c r="DG103" s="554"/>
      <c r="DH103" s="555"/>
      <c r="DI103" s="555"/>
      <c r="DJ103" s="555"/>
      <c r="DK103" s="555"/>
      <c r="DL103" s="555"/>
      <c r="DM103" s="555"/>
      <c r="DN103" s="543"/>
      <c r="DO103" s="501" t="s">
        <v>47</v>
      </c>
      <c r="DP103" s="905" t="s">
        <v>193</v>
      </c>
      <c r="DQ103" s="905"/>
      <c r="DR103" s="905"/>
      <c r="DS103" s="905"/>
      <c r="DT103" s="905">
        <f t="shared" si="309"/>
        <v>0</v>
      </c>
      <c r="DU103" s="904"/>
      <c r="DV103" s="118"/>
      <c r="DW103" s="500"/>
      <c r="DX103" s="534"/>
      <c r="DY103" s="534"/>
      <c r="DZ103" s="534"/>
      <c r="EA103" s="534"/>
      <c r="EB103" s="534"/>
      <c r="EC103" s="534"/>
      <c r="ED103" s="534"/>
      <c r="EE103" s="534"/>
      <c r="EF103" s="534"/>
      <c r="EG103" s="534"/>
      <c r="EH103" s="534"/>
      <c r="EI103" s="534"/>
      <c r="EJ103" s="535"/>
      <c r="EK103" s="535"/>
      <c r="EL103" s="535"/>
      <c r="EM103" s="535"/>
      <c r="EN103" s="535"/>
      <c r="EO103" s="535"/>
      <c r="EP103" s="536"/>
      <c r="EQ103" s="536"/>
      <c r="ER103" s="536"/>
      <c r="ES103" s="536"/>
      <c r="ET103" s="536"/>
      <c r="EU103" s="536"/>
      <c r="EV103" s="537"/>
      <c r="EW103" s="537"/>
      <c r="EX103" s="537"/>
      <c r="EY103" s="537"/>
      <c r="EZ103" s="537"/>
      <c r="FA103" s="537"/>
      <c r="FB103" s="538"/>
      <c r="FC103" s="538"/>
      <c r="FD103" s="538"/>
      <c r="FE103" s="538"/>
      <c r="FF103" s="538"/>
      <c r="FG103" s="538"/>
      <c r="FH103" s="539"/>
      <c r="FI103" s="539"/>
      <c r="FJ103" s="347"/>
      <c r="FK103" s="347"/>
      <c r="FL103" s="347"/>
      <c r="FM103" s="540"/>
      <c r="FN103" s="540"/>
      <c r="FO103" s="540"/>
      <c r="FP103" s="540"/>
      <c r="FQ103" s="540"/>
      <c r="FR103" s="540"/>
      <c r="FS103" s="540"/>
      <c r="FT103" s="540"/>
      <c r="FU103" s="540"/>
      <c r="FV103" s="540"/>
      <c r="FW103" s="540"/>
      <c r="FX103" s="540"/>
      <c r="FY103" s="540"/>
      <c r="FZ103" s="540"/>
      <c r="GA103" s="541"/>
      <c r="GB103" s="399"/>
      <c r="GC103" s="399"/>
      <c r="GD103" s="60"/>
    </row>
    <row r="104" spans="1:186" ht="12.6" customHeight="1" x14ac:dyDescent="0.25">
      <c r="A104" s="60"/>
      <c r="B104" s="577"/>
      <c r="C104" s="577"/>
      <c r="D104" s="577"/>
      <c r="E104" s="578"/>
      <c r="F104" s="578"/>
      <c r="G104" s="578"/>
      <c r="H104" s="578"/>
      <c r="I104" s="578"/>
      <c r="J104" s="578"/>
      <c r="K104" s="578"/>
      <c r="L104" s="555"/>
      <c r="M104" s="554"/>
      <c r="N104" s="555"/>
      <c r="O104" s="554"/>
      <c r="P104" s="555"/>
      <c r="Q104" s="555"/>
      <c r="R104" s="554"/>
      <c r="S104" s="554"/>
      <c r="T104" s="555"/>
      <c r="U104" s="554"/>
      <c r="V104" s="555"/>
      <c r="W104" s="555"/>
      <c r="X104" s="555"/>
      <c r="Y104" s="554"/>
      <c r="Z104" s="554"/>
      <c r="AA104" s="579"/>
      <c r="AB104" s="555"/>
      <c r="AC104" s="555"/>
      <c r="AD104" s="555"/>
      <c r="AE104" s="555"/>
      <c r="AF104" s="555"/>
      <c r="AG104" s="567"/>
      <c r="AH104" s="567"/>
      <c r="AI104" s="568"/>
      <c r="AJ104" s="567"/>
      <c r="AK104" s="568"/>
      <c r="AL104" s="567"/>
      <c r="AM104" s="567"/>
      <c r="AN104" s="557"/>
      <c r="AO104" s="557"/>
      <c r="AP104" s="567"/>
      <c r="AQ104" s="568"/>
      <c r="AR104" s="567"/>
      <c r="AS104" s="569"/>
      <c r="AT104" s="556"/>
      <c r="AU104" s="568"/>
      <c r="AV104" s="570"/>
      <c r="AW104" s="556"/>
      <c r="AX104" s="567"/>
      <c r="AY104" s="556"/>
      <c r="AZ104" s="556"/>
      <c r="BA104" s="556"/>
      <c r="BB104" s="556"/>
      <c r="BC104" s="552"/>
      <c r="BD104" s="553"/>
      <c r="BE104" s="552"/>
      <c r="BF104" s="553"/>
      <c r="BG104" s="552"/>
      <c r="BH104" s="552"/>
      <c r="BI104" s="554"/>
      <c r="BJ104" s="554"/>
      <c r="BK104" s="552"/>
      <c r="BL104" s="554"/>
      <c r="BM104" s="555"/>
      <c r="BN104" s="555"/>
      <c r="BO104" s="555"/>
      <c r="BP104" s="555"/>
      <c r="BQ104" s="554"/>
      <c r="BR104" s="555"/>
      <c r="BS104" s="555"/>
      <c r="BT104" s="555"/>
      <c r="BU104" s="555"/>
      <c r="BV104" s="555"/>
      <c r="BW104" s="555"/>
      <c r="BX104" s="556"/>
      <c r="BY104" s="557"/>
      <c r="BZ104" s="556"/>
      <c r="CA104" s="557"/>
      <c r="CB104" s="556"/>
      <c r="CC104" s="556"/>
      <c r="CD104" s="557"/>
      <c r="CE104" s="557"/>
      <c r="CF104" s="556"/>
      <c r="CG104" s="557"/>
      <c r="CH104" s="557"/>
      <c r="CI104" s="557"/>
      <c r="CJ104" s="557"/>
      <c r="CK104" s="557"/>
      <c r="CL104" s="557"/>
      <c r="CM104" s="556"/>
      <c r="CN104" s="556"/>
      <c r="CO104" s="556"/>
      <c r="CP104" s="556"/>
      <c r="CQ104" s="556"/>
      <c r="CR104" s="556"/>
      <c r="CS104" s="555"/>
      <c r="CT104" s="554"/>
      <c r="CU104" s="555"/>
      <c r="CV104" s="554"/>
      <c r="CW104" s="555"/>
      <c r="CX104" s="555"/>
      <c r="CY104" s="554"/>
      <c r="CZ104" s="554"/>
      <c r="DA104" s="555"/>
      <c r="DB104" s="554"/>
      <c r="DC104" s="554"/>
      <c r="DD104" s="554"/>
      <c r="DE104" s="554"/>
      <c r="DF104" s="554"/>
      <c r="DG104" s="554"/>
      <c r="DH104" s="555"/>
      <c r="DI104" s="555"/>
      <c r="DJ104" s="555"/>
      <c r="DK104" s="555"/>
      <c r="DL104" s="555"/>
      <c r="DM104" s="555"/>
      <c r="DN104" s="543"/>
      <c r="DO104" s="501" t="s">
        <v>45</v>
      </c>
      <c r="DP104" s="905" t="s">
        <v>44</v>
      </c>
      <c r="DQ104" s="905"/>
      <c r="DR104" s="905"/>
      <c r="DS104" s="905"/>
      <c r="DT104" s="905">
        <f t="shared" si="309"/>
        <v>0</v>
      </c>
      <c r="DU104" s="904"/>
      <c r="DV104" s="118"/>
      <c r="DW104" s="500"/>
      <c r="DX104" s="534"/>
      <c r="DY104" s="534"/>
      <c r="DZ104" s="534"/>
      <c r="EA104" s="534"/>
      <c r="EB104" s="534"/>
      <c r="EC104" s="534"/>
      <c r="ED104" s="534"/>
      <c r="EE104" s="534"/>
      <c r="EF104" s="534"/>
      <c r="EG104" s="534"/>
      <c r="EH104" s="534"/>
      <c r="EI104" s="534"/>
      <c r="EJ104" s="535"/>
      <c r="EK104" s="535"/>
      <c r="EL104" s="535"/>
      <c r="EM104" s="535"/>
      <c r="EN104" s="535"/>
      <c r="EO104" s="535"/>
      <c r="EP104" s="536"/>
      <c r="EQ104" s="536"/>
      <c r="ER104" s="536"/>
      <c r="ES104" s="536"/>
      <c r="ET104" s="536"/>
      <c r="EU104" s="536"/>
      <c r="EV104" s="537"/>
      <c r="EW104" s="537"/>
      <c r="EX104" s="537"/>
      <c r="EY104" s="537"/>
      <c r="EZ104" s="537"/>
      <c r="FA104" s="537"/>
      <c r="FB104" s="538"/>
      <c r="FC104" s="538"/>
      <c r="FD104" s="538"/>
      <c r="FE104" s="538"/>
      <c r="FF104" s="538"/>
      <c r="FG104" s="538"/>
      <c r="FH104" s="539"/>
      <c r="FI104" s="539"/>
      <c r="FJ104" s="347"/>
      <c r="FK104" s="347"/>
      <c r="FL104" s="347"/>
      <c r="FM104" s="540"/>
      <c r="FN104" s="540"/>
      <c r="FO104" s="540"/>
      <c r="FP104" s="540"/>
      <c r="FQ104" s="540"/>
      <c r="FR104" s="540"/>
      <c r="FS104" s="540"/>
      <c r="FT104" s="540"/>
      <c r="FU104" s="540"/>
      <c r="FV104" s="540"/>
      <c r="FW104" s="540"/>
      <c r="FX104" s="540"/>
      <c r="FY104" s="540"/>
      <c r="FZ104" s="540"/>
      <c r="GA104" s="541"/>
      <c r="GB104" s="399"/>
      <c r="GC104" s="399"/>
      <c r="GD104" s="60"/>
    </row>
    <row r="105" spans="1:186" ht="12.6" customHeight="1" x14ac:dyDescent="0.3">
      <c r="A105" s="60"/>
      <c r="B105" s="577"/>
      <c r="C105" s="577"/>
      <c r="D105" s="577"/>
      <c r="E105" s="578"/>
      <c r="F105" s="578"/>
      <c r="G105" s="578"/>
      <c r="H105" s="578"/>
      <c r="I105" s="578"/>
      <c r="J105" s="578"/>
      <c r="K105" s="578"/>
      <c r="L105" s="555"/>
      <c r="M105" s="554"/>
      <c r="N105" s="555"/>
      <c r="O105" s="554"/>
      <c r="P105" s="555"/>
      <c r="Q105" s="555"/>
      <c r="R105" s="554"/>
      <c r="S105" s="554"/>
      <c r="T105" s="555"/>
      <c r="U105" s="554"/>
      <c r="V105" s="555"/>
      <c r="W105" s="555"/>
      <c r="X105" s="555"/>
      <c r="Y105" s="554"/>
      <c r="Z105" s="554"/>
      <c r="AA105" s="579"/>
      <c r="AB105" s="555"/>
      <c r="AC105" s="555"/>
      <c r="AD105" s="555"/>
      <c r="AE105" s="555"/>
      <c r="AF105" s="555"/>
      <c r="AG105" s="567"/>
      <c r="AH105" s="567"/>
      <c r="AI105" s="568"/>
      <c r="AJ105" s="567"/>
      <c r="AK105" s="568"/>
      <c r="AL105" s="567"/>
      <c r="AM105" s="567"/>
      <c r="AN105" s="557"/>
      <c r="AO105" s="557"/>
      <c r="AP105" s="567"/>
      <c r="AQ105" s="568"/>
      <c r="AR105" s="567"/>
      <c r="AS105" s="569"/>
      <c r="AT105" s="556"/>
      <c r="AU105" s="568"/>
      <c r="AV105" s="570"/>
      <c r="AW105" s="556"/>
      <c r="AX105" s="567"/>
      <c r="AY105" s="556"/>
      <c r="AZ105" s="556"/>
      <c r="BA105" s="556"/>
      <c r="BB105" s="556"/>
      <c r="BC105" s="552"/>
      <c r="BD105" s="553"/>
      <c r="BE105" s="552"/>
      <c r="BF105" s="553"/>
      <c r="BG105" s="552"/>
      <c r="BH105" s="552"/>
      <c r="BI105" s="554"/>
      <c r="BJ105" s="554"/>
      <c r="BK105" s="552"/>
      <c r="BL105" s="554"/>
      <c r="BM105" s="555"/>
      <c r="BN105" s="555"/>
      <c r="BO105" s="555"/>
      <c r="BP105" s="555"/>
      <c r="BQ105" s="554"/>
      <c r="BR105" s="555"/>
      <c r="BS105" s="555"/>
      <c r="BT105" s="555"/>
      <c r="BU105" s="555"/>
      <c r="BV105" s="555"/>
      <c r="BW105" s="555"/>
      <c r="BX105" s="556"/>
      <c r="BY105" s="557"/>
      <c r="BZ105" s="556"/>
      <c r="CA105" s="557"/>
      <c r="CB105" s="556"/>
      <c r="CC105" s="556"/>
      <c r="CD105" s="557"/>
      <c r="CE105" s="557"/>
      <c r="CF105" s="556"/>
      <c r="CG105" s="557"/>
      <c r="CH105" s="557"/>
      <c r="CI105" s="557"/>
      <c r="CJ105" s="557"/>
      <c r="CK105" s="557"/>
      <c r="CL105" s="557"/>
      <c r="CM105" s="556"/>
      <c r="CN105" s="556"/>
      <c r="CO105" s="556"/>
      <c r="CP105" s="556"/>
      <c r="CQ105" s="556"/>
      <c r="CR105" s="556"/>
      <c r="CS105" s="555"/>
      <c r="CT105" s="554"/>
      <c r="CU105" s="555"/>
      <c r="CV105" s="554"/>
      <c r="CW105" s="555"/>
      <c r="CX105" s="555"/>
      <c r="CY105" s="554"/>
      <c r="CZ105" s="554"/>
      <c r="DA105" s="555"/>
      <c r="DB105" s="554"/>
      <c r="DC105" s="554"/>
      <c r="DD105" s="554"/>
      <c r="DE105" s="554"/>
      <c r="DF105" s="554"/>
      <c r="DG105" s="554"/>
      <c r="DH105" s="555"/>
      <c r="DI105" s="555"/>
      <c r="DJ105" s="555"/>
      <c r="DK105" s="555"/>
      <c r="DL105" s="555"/>
      <c r="DM105" s="555"/>
      <c r="DN105" s="543"/>
      <c r="DO105" s="118"/>
      <c r="DP105" s="906" t="s">
        <v>57</v>
      </c>
      <c r="DQ105" s="906"/>
      <c r="DR105" s="906"/>
      <c r="DS105" s="906"/>
      <c r="DT105" s="906">
        <f>SUM(DT97:DT104)</f>
        <v>0</v>
      </c>
      <c r="DU105" s="904"/>
      <c r="DV105" s="118"/>
      <c r="DW105" s="500"/>
      <c r="DX105" s="534"/>
      <c r="DY105" s="534"/>
      <c r="DZ105" s="534"/>
      <c r="EA105" s="534"/>
      <c r="EB105" s="534"/>
      <c r="EC105" s="534"/>
      <c r="ED105" s="534"/>
      <c r="EE105" s="534"/>
      <c r="EF105" s="534"/>
      <c r="EG105" s="534"/>
      <c r="EH105" s="534"/>
      <c r="EI105" s="534"/>
      <c r="EJ105" s="535"/>
      <c r="EK105" s="535"/>
      <c r="EL105" s="535"/>
      <c r="EM105" s="535"/>
      <c r="EN105" s="535"/>
      <c r="EO105" s="535"/>
      <c r="EP105" s="536"/>
      <c r="EQ105" s="536"/>
      <c r="ER105" s="536"/>
      <c r="ES105" s="536"/>
      <c r="ET105" s="536"/>
      <c r="EU105" s="536"/>
      <c r="EV105" s="537"/>
      <c r="EW105" s="537"/>
      <c r="EX105" s="537"/>
      <c r="EY105" s="537"/>
      <c r="EZ105" s="537"/>
      <c r="FA105" s="537"/>
      <c r="FB105" s="538"/>
      <c r="FC105" s="538"/>
      <c r="FD105" s="538"/>
      <c r="FE105" s="538"/>
      <c r="FF105" s="538"/>
      <c r="FG105" s="538"/>
      <c r="FH105" s="539"/>
      <c r="FI105" s="539"/>
      <c r="FJ105" s="347"/>
      <c r="FK105" s="347"/>
      <c r="FL105" s="347"/>
      <c r="FM105" s="540"/>
      <c r="FN105" s="540"/>
      <c r="FO105" s="540"/>
      <c r="FP105" s="540"/>
      <c r="FQ105" s="540"/>
      <c r="FR105" s="540"/>
      <c r="FS105" s="540"/>
      <c r="FT105" s="540"/>
      <c r="FU105" s="540"/>
      <c r="FV105" s="540"/>
      <c r="FW105" s="540"/>
      <c r="FX105" s="540"/>
      <c r="FY105" s="540"/>
      <c r="FZ105" s="540"/>
      <c r="GA105" s="541"/>
      <c r="GB105" s="399"/>
      <c r="GC105" s="399"/>
      <c r="GD105" s="60"/>
    </row>
    <row r="106" spans="1:186" ht="12.6" customHeight="1" x14ac:dyDescent="0.25">
      <c r="A106" s="60"/>
      <c r="B106" s="577"/>
      <c r="C106" s="577"/>
      <c r="D106" s="577"/>
      <c r="E106" s="578"/>
      <c r="F106" s="578"/>
      <c r="G106" s="578"/>
      <c r="H106" s="578"/>
      <c r="I106" s="578"/>
      <c r="J106" s="578"/>
      <c r="K106" s="578"/>
      <c r="L106" s="555"/>
      <c r="M106" s="554"/>
      <c r="N106" s="555"/>
      <c r="O106" s="554"/>
      <c r="P106" s="555"/>
      <c r="Q106" s="555"/>
      <c r="R106" s="554"/>
      <c r="S106" s="554"/>
      <c r="T106" s="555"/>
      <c r="U106" s="554"/>
      <c r="V106" s="555"/>
      <c r="W106" s="555"/>
      <c r="X106" s="555"/>
      <c r="Y106" s="554"/>
      <c r="Z106" s="554"/>
      <c r="AA106" s="579"/>
      <c r="AB106" s="555"/>
      <c r="AC106" s="555"/>
      <c r="AD106" s="555"/>
      <c r="AE106" s="555"/>
      <c r="AF106" s="555"/>
      <c r="AG106" s="567"/>
      <c r="AH106" s="567"/>
      <c r="AI106" s="568"/>
      <c r="AJ106" s="567"/>
      <c r="AK106" s="568"/>
      <c r="AL106" s="567"/>
      <c r="AM106" s="567"/>
      <c r="AN106" s="557"/>
      <c r="AO106" s="557"/>
      <c r="AP106" s="567"/>
      <c r="AQ106" s="568"/>
      <c r="AR106" s="567"/>
      <c r="AS106" s="569"/>
      <c r="AT106" s="556"/>
      <c r="AU106" s="568"/>
      <c r="AV106" s="570"/>
      <c r="AW106" s="556"/>
      <c r="AX106" s="567"/>
      <c r="AY106" s="556"/>
      <c r="AZ106" s="556"/>
      <c r="BA106" s="556"/>
      <c r="BB106" s="556"/>
      <c r="BC106" s="552"/>
      <c r="BD106" s="553"/>
      <c r="BE106" s="552"/>
      <c r="BF106" s="553"/>
      <c r="BG106" s="552"/>
      <c r="BH106" s="552"/>
      <c r="BI106" s="554"/>
      <c r="BJ106" s="554"/>
      <c r="BK106" s="552"/>
      <c r="BL106" s="554"/>
      <c r="BM106" s="555"/>
      <c r="BN106" s="555"/>
      <c r="BO106" s="555"/>
      <c r="BP106" s="555"/>
      <c r="BQ106" s="554"/>
      <c r="BR106" s="555"/>
      <c r="BS106" s="555"/>
      <c r="BT106" s="555"/>
      <c r="BU106" s="555"/>
      <c r="BV106" s="555"/>
      <c r="BW106" s="555"/>
      <c r="BX106" s="556"/>
      <c r="BY106" s="557"/>
      <c r="BZ106" s="556"/>
      <c r="CA106" s="557"/>
      <c r="CB106" s="556"/>
      <c r="CC106" s="556"/>
      <c r="CD106" s="557"/>
      <c r="CE106" s="557"/>
      <c r="CF106" s="556"/>
      <c r="CG106" s="557"/>
      <c r="CH106" s="557"/>
      <c r="CI106" s="557"/>
      <c r="CJ106" s="557"/>
      <c r="CK106" s="557"/>
      <c r="CL106" s="557"/>
      <c r="CM106" s="556"/>
      <c r="CN106" s="556"/>
      <c r="CO106" s="556"/>
      <c r="CP106" s="556"/>
      <c r="CQ106" s="556"/>
      <c r="CR106" s="556"/>
      <c r="CS106" s="555"/>
      <c r="CT106" s="554"/>
      <c r="CU106" s="555"/>
      <c r="CV106" s="554"/>
      <c r="CW106" s="555"/>
      <c r="CX106" s="555"/>
      <c r="CY106" s="554"/>
      <c r="CZ106" s="554"/>
      <c r="DA106" s="555"/>
      <c r="DB106" s="554"/>
      <c r="DC106" s="554"/>
      <c r="DD106" s="554"/>
      <c r="DE106" s="554"/>
      <c r="DF106" s="554"/>
      <c r="DG106" s="554"/>
      <c r="DH106" s="555"/>
      <c r="DI106" s="555"/>
      <c r="DJ106" s="555"/>
      <c r="DK106" s="555"/>
      <c r="DL106" s="555"/>
      <c r="DM106" s="555"/>
      <c r="DN106" s="543"/>
      <c r="DO106" s="118"/>
      <c r="DP106" s="905" t="s">
        <v>70</v>
      </c>
      <c r="DQ106" s="905"/>
      <c r="DR106" s="905"/>
      <c r="DS106" s="905"/>
      <c r="DT106" s="905">
        <f>COUNTIFS(DR7:DR51,"&gt;=60",$DO$7:$DO$51,$DP$96)</f>
        <v>0</v>
      </c>
      <c r="DU106" s="904"/>
      <c r="DV106" s="118"/>
      <c r="DW106" s="500"/>
      <c r="DX106" s="534"/>
      <c r="DY106" s="534"/>
      <c r="DZ106" s="534"/>
      <c r="EA106" s="534"/>
      <c r="EB106" s="534"/>
      <c r="EC106" s="534"/>
      <c r="ED106" s="534"/>
      <c r="EE106" s="534"/>
      <c r="EF106" s="534"/>
      <c r="EG106" s="534"/>
      <c r="EH106" s="534"/>
      <c r="EI106" s="534"/>
      <c r="EJ106" s="535"/>
      <c r="EK106" s="535"/>
      <c r="EL106" s="535"/>
      <c r="EM106" s="535"/>
      <c r="EN106" s="535"/>
      <c r="EO106" s="535"/>
      <c r="EP106" s="536"/>
      <c r="EQ106" s="536"/>
      <c r="ER106" s="536"/>
      <c r="ES106" s="536"/>
      <c r="ET106" s="536"/>
      <c r="EU106" s="536"/>
      <c r="EV106" s="537"/>
      <c r="EW106" s="537"/>
      <c r="EX106" s="537"/>
      <c r="EY106" s="537"/>
      <c r="EZ106" s="537"/>
      <c r="FA106" s="537"/>
      <c r="FB106" s="538"/>
      <c r="FC106" s="538"/>
      <c r="FD106" s="538"/>
      <c r="FE106" s="538"/>
      <c r="FF106" s="538"/>
      <c r="FG106" s="538"/>
      <c r="FH106" s="539"/>
      <c r="FI106" s="539"/>
      <c r="FJ106" s="347"/>
      <c r="FK106" s="347"/>
      <c r="FL106" s="347"/>
      <c r="FM106" s="540"/>
      <c r="FN106" s="540"/>
      <c r="FO106" s="540"/>
      <c r="FP106" s="540"/>
      <c r="FQ106" s="540"/>
      <c r="FR106" s="540"/>
      <c r="FS106" s="540"/>
      <c r="FT106" s="540"/>
      <c r="FU106" s="540"/>
      <c r="FV106" s="540"/>
      <c r="FW106" s="540"/>
      <c r="FX106" s="540"/>
      <c r="FY106" s="540"/>
      <c r="FZ106" s="540"/>
      <c r="GA106" s="541"/>
      <c r="GB106" s="399"/>
      <c r="GC106" s="399"/>
      <c r="GD106" s="60"/>
    </row>
    <row r="107" spans="1:186" ht="12.6" customHeight="1" x14ac:dyDescent="0.25">
      <c r="A107" s="60"/>
      <c r="B107" s="577"/>
      <c r="C107" s="577"/>
      <c r="D107" s="577"/>
      <c r="E107" s="578"/>
      <c r="F107" s="578"/>
      <c r="G107" s="578"/>
      <c r="H107" s="578"/>
      <c r="I107" s="578"/>
      <c r="J107" s="578"/>
      <c r="K107" s="578"/>
      <c r="L107" s="555"/>
      <c r="M107" s="554"/>
      <c r="N107" s="555"/>
      <c r="O107" s="554"/>
      <c r="P107" s="555"/>
      <c r="Q107" s="555"/>
      <c r="R107" s="554"/>
      <c r="S107" s="554"/>
      <c r="T107" s="555"/>
      <c r="U107" s="554"/>
      <c r="V107" s="555"/>
      <c r="W107" s="555"/>
      <c r="X107" s="555"/>
      <c r="Y107" s="554"/>
      <c r="Z107" s="554"/>
      <c r="AA107" s="579"/>
      <c r="AB107" s="555"/>
      <c r="AC107" s="555"/>
      <c r="AD107" s="555"/>
      <c r="AE107" s="555"/>
      <c r="AF107" s="555"/>
      <c r="AG107" s="567"/>
      <c r="AH107" s="567"/>
      <c r="AI107" s="568"/>
      <c r="AJ107" s="567"/>
      <c r="AK107" s="568"/>
      <c r="AL107" s="567"/>
      <c r="AM107" s="567"/>
      <c r="AN107" s="557"/>
      <c r="AO107" s="557"/>
      <c r="AP107" s="567"/>
      <c r="AQ107" s="568"/>
      <c r="AR107" s="567"/>
      <c r="AS107" s="569"/>
      <c r="AT107" s="556"/>
      <c r="AU107" s="568"/>
      <c r="AV107" s="570"/>
      <c r="AW107" s="556"/>
      <c r="AX107" s="567"/>
      <c r="AY107" s="556"/>
      <c r="AZ107" s="556"/>
      <c r="BA107" s="556"/>
      <c r="BB107" s="556"/>
      <c r="BC107" s="552"/>
      <c r="BD107" s="553"/>
      <c r="BE107" s="552"/>
      <c r="BF107" s="553"/>
      <c r="BG107" s="552"/>
      <c r="BH107" s="552"/>
      <c r="BI107" s="554"/>
      <c r="BJ107" s="554"/>
      <c r="BK107" s="552"/>
      <c r="BL107" s="554"/>
      <c r="BM107" s="555"/>
      <c r="BN107" s="555"/>
      <c r="BO107" s="555"/>
      <c r="BP107" s="555"/>
      <c r="BQ107" s="554"/>
      <c r="BR107" s="555"/>
      <c r="BS107" s="555"/>
      <c r="BT107" s="555"/>
      <c r="BU107" s="555"/>
      <c r="BV107" s="555"/>
      <c r="BW107" s="555"/>
      <c r="BX107" s="556"/>
      <c r="BY107" s="557"/>
      <c r="BZ107" s="556"/>
      <c r="CA107" s="557"/>
      <c r="CB107" s="556"/>
      <c r="CC107" s="556"/>
      <c r="CD107" s="557"/>
      <c r="CE107" s="557"/>
      <c r="CF107" s="556"/>
      <c r="CG107" s="557"/>
      <c r="CH107" s="557"/>
      <c r="CI107" s="557"/>
      <c r="CJ107" s="557"/>
      <c r="CK107" s="557"/>
      <c r="CL107" s="557"/>
      <c r="CM107" s="556"/>
      <c r="CN107" s="556"/>
      <c r="CO107" s="556"/>
      <c r="CP107" s="556"/>
      <c r="CQ107" s="556"/>
      <c r="CR107" s="556"/>
      <c r="CS107" s="555"/>
      <c r="CT107" s="554"/>
      <c r="CU107" s="555"/>
      <c r="CV107" s="554"/>
      <c r="CW107" s="555"/>
      <c r="CX107" s="555"/>
      <c r="CY107" s="554"/>
      <c r="CZ107" s="554"/>
      <c r="DA107" s="555"/>
      <c r="DB107" s="554"/>
      <c r="DC107" s="554"/>
      <c r="DD107" s="554"/>
      <c r="DE107" s="554"/>
      <c r="DF107" s="554"/>
      <c r="DG107" s="554"/>
      <c r="DH107" s="555"/>
      <c r="DI107" s="555"/>
      <c r="DJ107" s="555"/>
      <c r="DK107" s="555"/>
      <c r="DL107" s="555"/>
      <c r="DM107" s="555"/>
      <c r="DN107" s="543"/>
      <c r="DO107" s="118"/>
      <c r="DP107" s="905" t="s">
        <v>71</v>
      </c>
      <c r="DQ107" s="905"/>
      <c r="DR107" s="905"/>
      <c r="DS107" s="905"/>
      <c r="DT107" s="905">
        <f>COUNTIFS(DR7:DR51,"&gt;=48",DR7:DR51,"&lt;60",$DO$7:$DO$51,$DP$96)</f>
        <v>0</v>
      </c>
      <c r="DU107" s="904"/>
      <c r="DV107" s="118"/>
      <c r="DW107" s="500"/>
      <c r="DX107" s="534"/>
      <c r="DY107" s="534"/>
      <c r="DZ107" s="534"/>
      <c r="EA107" s="534"/>
      <c r="EB107" s="534"/>
      <c r="EC107" s="534"/>
      <c r="ED107" s="534"/>
      <c r="EE107" s="534"/>
      <c r="EF107" s="534"/>
      <c r="EG107" s="534"/>
      <c r="EH107" s="534"/>
      <c r="EI107" s="534"/>
      <c r="EJ107" s="535"/>
      <c r="EK107" s="535"/>
      <c r="EL107" s="535"/>
      <c r="EM107" s="535"/>
      <c r="EN107" s="535"/>
      <c r="EO107" s="535"/>
      <c r="EP107" s="536"/>
      <c r="EQ107" s="536"/>
      <c r="ER107" s="536"/>
      <c r="ES107" s="536"/>
      <c r="ET107" s="536"/>
      <c r="EU107" s="536"/>
      <c r="EV107" s="537"/>
      <c r="EW107" s="537"/>
      <c r="EX107" s="537"/>
      <c r="EY107" s="537"/>
      <c r="EZ107" s="537"/>
      <c r="FA107" s="537"/>
      <c r="FB107" s="538"/>
      <c r="FC107" s="538"/>
      <c r="FD107" s="538"/>
      <c r="FE107" s="538"/>
      <c r="FF107" s="538"/>
      <c r="FG107" s="538"/>
      <c r="FH107" s="539"/>
      <c r="FI107" s="539"/>
      <c r="FJ107" s="347"/>
      <c r="FK107" s="347"/>
      <c r="FL107" s="347"/>
      <c r="FM107" s="540"/>
      <c r="FN107" s="540"/>
      <c r="FO107" s="540"/>
      <c r="FP107" s="540"/>
      <c r="FQ107" s="540"/>
      <c r="FR107" s="540"/>
      <c r="FS107" s="540"/>
      <c r="FT107" s="540"/>
      <c r="FU107" s="540"/>
      <c r="FV107" s="540"/>
      <c r="FW107" s="540"/>
      <c r="FX107" s="540"/>
      <c r="FY107" s="540"/>
      <c r="FZ107" s="540"/>
      <c r="GA107" s="541"/>
      <c r="GB107" s="399"/>
      <c r="GC107" s="399"/>
      <c r="GD107" s="60"/>
    </row>
    <row r="108" spans="1:186" ht="12.6" customHeight="1" x14ac:dyDescent="0.25">
      <c r="A108" s="60"/>
      <c r="B108" s="577"/>
      <c r="C108" s="577"/>
      <c r="D108" s="577"/>
      <c r="E108" s="578"/>
      <c r="F108" s="578"/>
      <c r="G108" s="578"/>
      <c r="H108" s="578"/>
      <c r="I108" s="578"/>
      <c r="J108" s="578"/>
      <c r="K108" s="578"/>
      <c r="L108" s="555"/>
      <c r="M108" s="554"/>
      <c r="N108" s="555"/>
      <c r="O108" s="554"/>
      <c r="P108" s="555"/>
      <c r="Q108" s="555"/>
      <c r="R108" s="554"/>
      <c r="S108" s="554"/>
      <c r="T108" s="555"/>
      <c r="U108" s="554"/>
      <c r="V108" s="555"/>
      <c r="W108" s="555"/>
      <c r="X108" s="555"/>
      <c r="Y108" s="554"/>
      <c r="Z108" s="554"/>
      <c r="AA108" s="579"/>
      <c r="AB108" s="555"/>
      <c r="AC108" s="555"/>
      <c r="AD108" s="555"/>
      <c r="AE108" s="555"/>
      <c r="AF108" s="555"/>
      <c r="AG108" s="567"/>
      <c r="AH108" s="567"/>
      <c r="AI108" s="568"/>
      <c r="AJ108" s="567"/>
      <c r="AK108" s="568"/>
      <c r="AL108" s="567"/>
      <c r="AM108" s="567"/>
      <c r="AN108" s="557"/>
      <c r="AO108" s="557"/>
      <c r="AP108" s="567"/>
      <c r="AQ108" s="568"/>
      <c r="AR108" s="567"/>
      <c r="AS108" s="569"/>
      <c r="AT108" s="556"/>
      <c r="AU108" s="568"/>
      <c r="AV108" s="570"/>
      <c r="AW108" s="556"/>
      <c r="AX108" s="567"/>
      <c r="AY108" s="556"/>
      <c r="AZ108" s="556"/>
      <c r="BA108" s="556"/>
      <c r="BB108" s="556"/>
      <c r="BC108" s="552"/>
      <c r="BD108" s="553"/>
      <c r="BE108" s="552"/>
      <c r="BF108" s="553"/>
      <c r="BG108" s="552"/>
      <c r="BH108" s="552"/>
      <c r="BI108" s="554"/>
      <c r="BJ108" s="554"/>
      <c r="BK108" s="552"/>
      <c r="BL108" s="554"/>
      <c r="BM108" s="555"/>
      <c r="BN108" s="555"/>
      <c r="BO108" s="555"/>
      <c r="BP108" s="555"/>
      <c r="BQ108" s="554"/>
      <c r="BR108" s="555"/>
      <c r="BS108" s="555"/>
      <c r="BT108" s="555"/>
      <c r="BU108" s="555"/>
      <c r="BV108" s="555"/>
      <c r="BW108" s="555"/>
      <c r="BX108" s="556"/>
      <c r="BY108" s="557"/>
      <c r="BZ108" s="556"/>
      <c r="CA108" s="557"/>
      <c r="CB108" s="556"/>
      <c r="CC108" s="556"/>
      <c r="CD108" s="557"/>
      <c r="CE108" s="557"/>
      <c r="CF108" s="556"/>
      <c r="CG108" s="557"/>
      <c r="CH108" s="557"/>
      <c r="CI108" s="557"/>
      <c r="CJ108" s="557"/>
      <c r="CK108" s="557"/>
      <c r="CL108" s="557"/>
      <c r="CM108" s="556"/>
      <c r="CN108" s="556"/>
      <c r="CO108" s="556"/>
      <c r="CP108" s="556"/>
      <c r="CQ108" s="556"/>
      <c r="CR108" s="556"/>
      <c r="CS108" s="555"/>
      <c r="CT108" s="554"/>
      <c r="CU108" s="555"/>
      <c r="CV108" s="554"/>
      <c r="CW108" s="555"/>
      <c r="CX108" s="555"/>
      <c r="CY108" s="554"/>
      <c r="CZ108" s="554"/>
      <c r="DA108" s="555"/>
      <c r="DB108" s="554"/>
      <c r="DC108" s="554"/>
      <c r="DD108" s="554"/>
      <c r="DE108" s="554"/>
      <c r="DF108" s="554"/>
      <c r="DG108" s="554"/>
      <c r="DH108" s="555"/>
      <c r="DI108" s="555"/>
      <c r="DJ108" s="555"/>
      <c r="DK108" s="555"/>
      <c r="DL108" s="555"/>
      <c r="DM108" s="555"/>
      <c r="DN108" s="543"/>
      <c r="DO108" s="118"/>
      <c r="DP108" s="905" t="s">
        <v>72</v>
      </c>
      <c r="DQ108" s="905"/>
      <c r="DR108" s="905"/>
      <c r="DS108" s="905"/>
      <c r="DT108" s="905">
        <f>COUNTIFS(DR7:DR51,"&gt;=33",DR7:DR51,"&lt;48",$DO$7:$DO$51,$DP$96)</f>
        <v>0</v>
      </c>
      <c r="DU108" s="904"/>
      <c r="DV108" s="118"/>
      <c r="DW108" s="500"/>
      <c r="DX108" s="534"/>
      <c r="DY108" s="534"/>
      <c r="DZ108" s="534"/>
      <c r="EA108" s="534"/>
      <c r="EB108" s="534"/>
      <c r="EC108" s="534"/>
      <c r="ED108" s="534"/>
      <c r="EE108" s="534"/>
      <c r="EF108" s="534"/>
      <c r="EG108" s="534"/>
      <c r="EH108" s="534"/>
      <c r="EI108" s="534"/>
      <c r="EJ108" s="535"/>
      <c r="EK108" s="535"/>
      <c r="EL108" s="535"/>
      <c r="EM108" s="535"/>
      <c r="EN108" s="535"/>
      <c r="EO108" s="535"/>
      <c r="EP108" s="536"/>
      <c r="EQ108" s="536"/>
      <c r="ER108" s="536"/>
      <c r="ES108" s="536"/>
      <c r="ET108" s="536"/>
      <c r="EU108" s="536"/>
      <c r="EV108" s="537"/>
      <c r="EW108" s="537"/>
      <c r="EX108" s="537"/>
      <c r="EY108" s="537"/>
      <c r="EZ108" s="537"/>
      <c r="FA108" s="537"/>
      <c r="FB108" s="538"/>
      <c r="FC108" s="538"/>
      <c r="FD108" s="538"/>
      <c r="FE108" s="538"/>
      <c r="FF108" s="538"/>
      <c r="FG108" s="538"/>
      <c r="FH108" s="539"/>
      <c r="FI108" s="539"/>
      <c r="FJ108" s="347"/>
      <c r="FK108" s="347"/>
      <c r="FL108" s="347"/>
      <c r="FM108" s="540"/>
      <c r="FN108" s="540"/>
      <c r="FO108" s="540"/>
      <c r="FP108" s="540"/>
      <c r="FQ108" s="540"/>
      <c r="FR108" s="540"/>
      <c r="FS108" s="540"/>
      <c r="FT108" s="540"/>
      <c r="FU108" s="540"/>
      <c r="FV108" s="540"/>
      <c r="FW108" s="540"/>
      <c r="FX108" s="540"/>
      <c r="FY108" s="540"/>
      <c r="FZ108" s="540"/>
      <c r="GA108" s="541"/>
      <c r="GB108" s="399"/>
      <c r="GC108" s="399"/>
      <c r="GD108" s="60"/>
    </row>
    <row r="109" spans="1:186" ht="12.6" customHeight="1" x14ac:dyDescent="0.25">
      <c r="A109" s="60"/>
      <c r="B109" s="577"/>
      <c r="C109" s="577"/>
      <c r="D109" s="577"/>
      <c r="E109" s="578"/>
      <c r="F109" s="578"/>
      <c r="G109" s="578"/>
      <c r="H109" s="578"/>
      <c r="I109" s="578"/>
      <c r="J109" s="578"/>
      <c r="K109" s="578"/>
      <c r="L109" s="555"/>
      <c r="M109" s="554"/>
      <c r="N109" s="555"/>
      <c r="O109" s="554"/>
      <c r="P109" s="555"/>
      <c r="Q109" s="555"/>
      <c r="R109" s="554"/>
      <c r="S109" s="554"/>
      <c r="T109" s="555"/>
      <c r="U109" s="554"/>
      <c r="V109" s="555"/>
      <c r="W109" s="555"/>
      <c r="X109" s="555"/>
      <c r="Y109" s="554"/>
      <c r="Z109" s="554"/>
      <c r="AA109" s="579"/>
      <c r="AB109" s="555"/>
      <c r="AC109" s="555"/>
      <c r="AD109" s="555"/>
      <c r="AE109" s="555"/>
      <c r="AF109" s="555"/>
      <c r="AG109" s="567"/>
      <c r="AH109" s="567"/>
      <c r="AI109" s="568"/>
      <c r="AJ109" s="567"/>
      <c r="AK109" s="568"/>
      <c r="AL109" s="567"/>
      <c r="AM109" s="567"/>
      <c r="AN109" s="557"/>
      <c r="AO109" s="557"/>
      <c r="AP109" s="567"/>
      <c r="AQ109" s="568"/>
      <c r="AR109" s="567"/>
      <c r="AS109" s="569"/>
      <c r="AT109" s="556"/>
      <c r="AU109" s="568"/>
      <c r="AV109" s="570"/>
      <c r="AW109" s="556"/>
      <c r="AX109" s="567"/>
      <c r="AY109" s="556"/>
      <c r="AZ109" s="556"/>
      <c r="BA109" s="556"/>
      <c r="BB109" s="556"/>
      <c r="BC109" s="552"/>
      <c r="BD109" s="553"/>
      <c r="BE109" s="552"/>
      <c r="BF109" s="553"/>
      <c r="BG109" s="552"/>
      <c r="BH109" s="552"/>
      <c r="BI109" s="554"/>
      <c r="BJ109" s="554"/>
      <c r="BK109" s="552"/>
      <c r="BL109" s="554"/>
      <c r="BM109" s="555"/>
      <c r="BN109" s="555"/>
      <c r="BO109" s="555"/>
      <c r="BP109" s="555"/>
      <c r="BQ109" s="554"/>
      <c r="BR109" s="555"/>
      <c r="BS109" s="555"/>
      <c r="BT109" s="555"/>
      <c r="BU109" s="555"/>
      <c r="BV109" s="555"/>
      <c r="BW109" s="555"/>
      <c r="BX109" s="556"/>
      <c r="BY109" s="557"/>
      <c r="BZ109" s="556"/>
      <c r="CA109" s="557"/>
      <c r="CB109" s="556"/>
      <c r="CC109" s="556"/>
      <c r="CD109" s="557"/>
      <c r="CE109" s="557"/>
      <c r="CF109" s="556"/>
      <c r="CG109" s="557"/>
      <c r="CH109" s="557"/>
      <c r="CI109" s="557"/>
      <c r="CJ109" s="557"/>
      <c r="CK109" s="557"/>
      <c r="CL109" s="557"/>
      <c r="CM109" s="556"/>
      <c r="CN109" s="556"/>
      <c r="CO109" s="556"/>
      <c r="CP109" s="556"/>
      <c r="CQ109" s="556"/>
      <c r="CR109" s="556"/>
      <c r="CS109" s="555"/>
      <c r="CT109" s="554"/>
      <c r="CU109" s="555"/>
      <c r="CV109" s="554"/>
      <c r="CW109" s="555"/>
      <c r="CX109" s="555"/>
      <c r="CY109" s="554"/>
      <c r="CZ109" s="554"/>
      <c r="DA109" s="555"/>
      <c r="DB109" s="554"/>
      <c r="DC109" s="554"/>
      <c r="DD109" s="554"/>
      <c r="DE109" s="554"/>
      <c r="DF109" s="554"/>
      <c r="DG109" s="554"/>
      <c r="DH109" s="555"/>
      <c r="DI109" s="555"/>
      <c r="DJ109" s="555"/>
      <c r="DK109" s="555"/>
      <c r="DL109" s="555"/>
      <c r="DM109" s="555"/>
      <c r="DN109" s="543"/>
      <c r="DO109" s="118"/>
      <c r="DP109" s="905" t="s">
        <v>73</v>
      </c>
      <c r="DQ109" s="905"/>
      <c r="DR109" s="905"/>
      <c r="DS109" s="905"/>
      <c r="DT109" s="905">
        <f>COUNTIFS(DR7:DR51,"&lt;33",$DO$7:$DO$51,$DP$96)</f>
        <v>0</v>
      </c>
      <c r="DU109" s="904"/>
      <c r="DV109" s="118"/>
      <c r="DW109" s="500"/>
      <c r="DX109" s="534"/>
      <c r="DY109" s="534"/>
      <c r="DZ109" s="534"/>
      <c r="EA109" s="534"/>
      <c r="EB109" s="534"/>
      <c r="EC109" s="534"/>
      <c r="ED109" s="534"/>
      <c r="EE109" s="534"/>
      <c r="EF109" s="534"/>
      <c r="EG109" s="534"/>
      <c r="EH109" s="534"/>
      <c r="EI109" s="534"/>
      <c r="EJ109" s="535"/>
      <c r="EK109" s="535"/>
      <c r="EL109" s="535"/>
      <c r="EM109" s="535"/>
      <c r="EN109" s="535"/>
      <c r="EO109" s="535"/>
      <c r="EP109" s="536"/>
      <c r="EQ109" s="536"/>
      <c r="ER109" s="536"/>
      <c r="ES109" s="536"/>
      <c r="ET109" s="536"/>
      <c r="EU109" s="536"/>
      <c r="EV109" s="537"/>
      <c r="EW109" s="537"/>
      <c r="EX109" s="537"/>
      <c r="EY109" s="537"/>
      <c r="EZ109" s="537"/>
      <c r="FA109" s="537"/>
      <c r="FB109" s="538"/>
      <c r="FC109" s="538"/>
      <c r="FD109" s="538"/>
      <c r="FE109" s="538"/>
      <c r="FF109" s="538"/>
      <c r="FG109" s="538"/>
      <c r="FH109" s="539"/>
      <c r="FI109" s="539"/>
      <c r="FJ109" s="347"/>
      <c r="FK109" s="347"/>
      <c r="FL109" s="347"/>
      <c r="FM109" s="540"/>
      <c r="FN109" s="540"/>
      <c r="FO109" s="540"/>
      <c r="FP109" s="540"/>
      <c r="FQ109" s="540"/>
      <c r="FR109" s="540"/>
      <c r="FS109" s="540"/>
      <c r="FT109" s="540"/>
      <c r="FU109" s="540"/>
      <c r="FV109" s="540"/>
      <c r="FW109" s="540"/>
      <c r="FX109" s="540"/>
      <c r="FY109" s="540"/>
      <c r="FZ109" s="540"/>
      <c r="GA109" s="541"/>
      <c r="GB109" s="399"/>
      <c r="GC109" s="399"/>
      <c r="GD109" s="60"/>
    </row>
    <row r="110" spans="1:186" ht="12.6" customHeight="1" x14ac:dyDescent="0.25">
      <c r="A110" s="60"/>
      <c r="B110" s="577"/>
      <c r="C110" s="577"/>
      <c r="D110" s="577"/>
      <c r="E110" s="578"/>
      <c r="F110" s="578"/>
      <c r="G110" s="578"/>
      <c r="H110" s="578"/>
      <c r="I110" s="578"/>
      <c r="J110" s="578"/>
      <c r="K110" s="578"/>
      <c r="L110" s="555"/>
      <c r="M110" s="554"/>
      <c r="N110" s="555"/>
      <c r="O110" s="554"/>
      <c r="P110" s="555"/>
      <c r="Q110" s="555"/>
      <c r="R110" s="554"/>
      <c r="S110" s="554"/>
      <c r="T110" s="555"/>
      <c r="U110" s="554"/>
      <c r="V110" s="555"/>
      <c r="W110" s="555"/>
      <c r="X110" s="555"/>
      <c r="Y110" s="554"/>
      <c r="Z110" s="554"/>
      <c r="AA110" s="579"/>
      <c r="AB110" s="555"/>
      <c r="AC110" s="555"/>
      <c r="AD110" s="555"/>
      <c r="AE110" s="555"/>
      <c r="AF110" s="555"/>
      <c r="AG110" s="567"/>
      <c r="AH110" s="567"/>
      <c r="AI110" s="568"/>
      <c r="AJ110" s="567"/>
      <c r="AK110" s="568"/>
      <c r="AL110" s="567"/>
      <c r="AM110" s="567"/>
      <c r="AN110" s="557"/>
      <c r="AO110" s="557"/>
      <c r="AP110" s="567"/>
      <c r="AQ110" s="568"/>
      <c r="AR110" s="567"/>
      <c r="AS110" s="569"/>
      <c r="AT110" s="556"/>
      <c r="AU110" s="568"/>
      <c r="AV110" s="570"/>
      <c r="AW110" s="556"/>
      <c r="AX110" s="567"/>
      <c r="AY110" s="556"/>
      <c r="AZ110" s="556"/>
      <c r="BA110" s="556"/>
      <c r="BB110" s="556"/>
      <c r="BC110" s="552"/>
      <c r="BD110" s="553"/>
      <c r="BE110" s="552"/>
      <c r="BF110" s="553"/>
      <c r="BG110" s="552"/>
      <c r="BH110" s="552"/>
      <c r="BI110" s="554"/>
      <c r="BJ110" s="554"/>
      <c r="BK110" s="552"/>
      <c r="BL110" s="554"/>
      <c r="BM110" s="555"/>
      <c r="BN110" s="555"/>
      <c r="BO110" s="555"/>
      <c r="BP110" s="555"/>
      <c r="BQ110" s="554"/>
      <c r="BR110" s="555"/>
      <c r="BS110" s="555"/>
      <c r="BT110" s="555"/>
      <c r="BU110" s="555"/>
      <c r="BV110" s="555"/>
      <c r="BW110" s="555"/>
      <c r="BX110" s="556"/>
      <c r="BY110" s="557"/>
      <c r="BZ110" s="556"/>
      <c r="CA110" s="557"/>
      <c r="CB110" s="556"/>
      <c r="CC110" s="556"/>
      <c r="CD110" s="557"/>
      <c r="CE110" s="557"/>
      <c r="CF110" s="556"/>
      <c r="CG110" s="557"/>
      <c r="CH110" s="557"/>
      <c r="CI110" s="557"/>
      <c r="CJ110" s="557"/>
      <c r="CK110" s="557"/>
      <c r="CL110" s="557"/>
      <c r="CM110" s="556"/>
      <c r="CN110" s="556"/>
      <c r="CO110" s="556"/>
      <c r="CP110" s="556"/>
      <c r="CQ110" s="556"/>
      <c r="CR110" s="556"/>
      <c r="CS110" s="555"/>
      <c r="CT110" s="554"/>
      <c r="CU110" s="555"/>
      <c r="CV110" s="554"/>
      <c r="CW110" s="555"/>
      <c r="CX110" s="555"/>
      <c r="CY110" s="554"/>
      <c r="CZ110" s="554"/>
      <c r="DA110" s="555"/>
      <c r="DB110" s="554"/>
      <c r="DC110" s="554"/>
      <c r="DD110" s="554"/>
      <c r="DE110" s="554"/>
      <c r="DF110" s="554"/>
      <c r="DG110" s="554"/>
      <c r="DH110" s="555"/>
      <c r="DI110" s="555"/>
      <c r="DJ110" s="555"/>
      <c r="DK110" s="555"/>
      <c r="DL110" s="555"/>
      <c r="DM110" s="555"/>
      <c r="DN110" s="543"/>
      <c r="DO110" s="197"/>
      <c r="DP110" s="898" t="s">
        <v>57</v>
      </c>
      <c r="DQ110" s="898"/>
      <c r="DR110" s="898"/>
      <c r="DS110" s="898"/>
      <c r="DT110" s="899">
        <f>SUM(DT106:DT109)</f>
        <v>0</v>
      </c>
      <c r="DU110" s="900"/>
      <c r="DV110" s="197"/>
      <c r="DW110" s="500"/>
      <c r="DX110" s="534"/>
      <c r="DY110" s="534"/>
      <c r="DZ110" s="534"/>
      <c r="EA110" s="534"/>
      <c r="EB110" s="534"/>
      <c r="EC110" s="534"/>
      <c r="ED110" s="534"/>
      <c r="EE110" s="534"/>
      <c r="EF110" s="534"/>
      <c r="EG110" s="534"/>
      <c r="EH110" s="534"/>
      <c r="EI110" s="534"/>
      <c r="EJ110" s="535"/>
      <c r="EK110" s="535"/>
      <c r="EL110" s="535"/>
      <c r="EM110" s="535"/>
      <c r="EN110" s="535"/>
      <c r="EO110" s="535"/>
      <c r="EP110" s="536"/>
      <c r="EQ110" s="536"/>
      <c r="ER110" s="536"/>
      <c r="ES110" s="536"/>
      <c r="ET110" s="536"/>
      <c r="EU110" s="536"/>
      <c r="EV110" s="537"/>
      <c r="EW110" s="537"/>
      <c r="EX110" s="537"/>
      <c r="EY110" s="537"/>
      <c r="EZ110" s="537"/>
      <c r="FA110" s="537"/>
      <c r="FB110" s="538"/>
      <c r="FC110" s="538"/>
      <c r="FD110" s="538"/>
      <c r="FE110" s="538"/>
      <c r="FF110" s="538"/>
      <c r="FG110" s="538"/>
      <c r="FH110" s="539"/>
      <c r="FI110" s="539"/>
      <c r="FJ110" s="347"/>
      <c r="FK110" s="347"/>
      <c r="FL110" s="347"/>
      <c r="FM110" s="540"/>
      <c r="FN110" s="540"/>
      <c r="FO110" s="540"/>
      <c r="FP110" s="540"/>
      <c r="FQ110" s="540"/>
      <c r="FR110" s="540"/>
      <c r="FS110" s="540"/>
      <c r="FT110" s="540"/>
      <c r="FU110" s="540"/>
      <c r="FV110" s="540"/>
      <c r="FW110" s="540"/>
      <c r="FX110" s="540"/>
      <c r="FY110" s="540"/>
      <c r="FZ110" s="540"/>
      <c r="GA110" s="541"/>
      <c r="GB110" s="399"/>
      <c r="GC110" s="399"/>
      <c r="GD110" s="60"/>
    </row>
    <row r="111" spans="1:186" ht="16.8" hidden="1" x14ac:dyDescent="0.25">
      <c r="A111" s="60"/>
      <c r="B111" s="168"/>
      <c r="C111" s="168"/>
      <c r="D111" s="168"/>
      <c r="E111" s="169"/>
      <c r="F111" s="169"/>
      <c r="G111" s="169"/>
      <c r="H111" s="169"/>
      <c r="I111" s="169"/>
      <c r="J111" s="169"/>
      <c r="K111" s="169"/>
      <c r="L111" s="499"/>
      <c r="M111" s="549"/>
      <c r="N111" s="499"/>
      <c r="O111" s="549"/>
      <c r="P111" s="499"/>
      <c r="Q111" s="499"/>
      <c r="R111" s="549"/>
      <c r="S111" s="549"/>
      <c r="T111" s="499"/>
      <c r="U111" s="549"/>
      <c r="V111" s="499"/>
      <c r="W111" s="499"/>
      <c r="X111" s="499"/>
      <c r="Y111" s="549"/>
      <c r="Z111" s="549"/>
      <c r="AA111" s="576"/>
      <c r="AB111" s="499"/>
      <c r="AC111" s="499"/>
      <c r="AD111" s="499"/>
      <c r="AE111" s="499"/>
      <c r="AF111" s="499"/>
      <c r="AG111" s="563"/>
      <c r="AH111" s="563"/>
      <c r="AI111" s="564"/>
      <c r="AJ111" s="563"/>
      <c r="AK111" s="564"/>
      <c r="AL111" s="563"/>
      <c r="AM111" s="563"/>
      <c r="AN111" s="551"/>
      <c r="AO111" s="551"/>
      <c r="AP111" s="563"/>
      <c r="AQ111" s="564"/>
      <c r="AR111" s="563"/>
      <c r="AS111" s="565"/>
      <c r="AT111" s="550"/>
      <c r="AU111" s="564"/>
      <c r="AV111" s="566"/>
      <c r="AW111" s="550"/>
      <c r="AX111" s="563"/>
      <c r="AY111" s="550"/>
      <c r="AZ111" s="550"/>
      <c r="BA111" s="550"/>
      <c r="BB111" s="550"/>
      <c r="BC111" s="547"/>
      <c r="BD111" s="548"/>
      <c r="BE111" s="547"/>
      <c r="BF111" s="548"/>
      <c r="BG111" s="547"/>
      <c r="BH111" s="547"/>
      <c r="BI111" s="549"/>
      <c r="BJ111" s="549"/>
      <c r="BK111" s="547"/>
      <c r="BL111" s="549"/>
      <c r="BM111" s="499"/>
      <c r="BN111" s="499"/>
      <c r="BO111" s="499"/>
      <c r="BP111" s="499"/>
      <c r="BQ111" s="549"/>
      <c r="BR111" s="499"/>
      <c r="BS111" s="499"/>
      <c r="BT111" s="499"/>
      <c r="BU111" s="499"/>
      <c r="BV111" s="499"/>
      <c r="BW111" s="499"/>
      <c r="BX111" s="550"/>
      <c r="BY111" s="551"/>
      <c r="BZ111" s="550"/>
      <c r="CA111" s="551"/>
      <c r="CB111" s="550"/>
      <c r="CC111" s="550"/>
      <c r="CD111" s="551"/>
      <c r="CE111" s="551"/>
      <c r="CF111" s="550"/>
      <c r="CG111" s="551"/>
      <c r="CH111" s="551"/>
      <c r="CI111" s="551"/>
      <c r="CJ111" s="551"/>
      <c r="CK111" s="551"/>
      <c r="CL111" s="551"/>
      <c r="CM111" s="550"/>
      <c r="CN111" s="550"/>
      <c r="CO111" s="550"/>
      <c r="CP111" s="550"/>
      <c r="CQ111" s="550"/>
      <c r="CR111" s="550"/>
      <c r="CS111" s="499"/>
      <c r="CT111" s="549"/>
      <c r="CU111" s="499"/>
      <c r="CV111" s="549"/>
      <c r="CW111" s="499"/>
      <c r="CX111" s="499"/>
      <c r="CY111" s="549"/>
      <c r="CZ111" s="549"/>
      <c r="DA111" s="499"/>
      <c r="DB111" s="549"/>
      <c r="DC111" s="549"/>
      <c r="DD111" s="549"/>
      <c r="DE111" s="549"/>
      <c r="DF111" s="549"/>
      <c r="DG111" s="549"/>
      <c r="DH111" s="499"/>
      <c r="DI111" s="499"/>
      <c r="DJ111" s="499"/>
      <c r="DK111" s="499"/>
      <c r="DL111" s="499"/>
      <c r="DM111" s="499"/>
      <c r="DN111" s="99"/>
      <c r="DO111" s="102"/>
      <c r="DP111" s="102"/>
      <c r="DQ111" s="102"/>
      <c r="DR111" s="102"/>
      <c r="DS111" s="102"/>
      <c r="DT111" s="102"/>
      <c r="DU111" s="102"/>
      <c r="DV111" s="102"/>
      <c r="DW111" s="99"/>
      <c r="DX111" s="528"/>
      <c r="DY111" s="528"/>
      <c r="DZ111" s="528"/>
      <c r="EA111" s="528"/>
      <c r="EB111" s="528"/>
      <c r="EC111" s="528"/>
      <c r="ED111" s="528"/>
      <c r="EE111" s="528"/>
      <c r="EF111" s="528"/>
      <c r="EG111" s="528"/>
      <c r="EH111" s="528"/>
      <c r="EI111" s="528"/>
      <c r="EJ111" s="529"/>
      <c r="EK111" s="529"/>
      <c r="EL111" s="529"/>
      <c r="EM111" s="529"/>
      <c r="EN111" s="529"/>
      <c r="EO111" s="529"/>
      <c r="EP111" s="530"/>
      <c r="EQ111" s="530"/>
      <c r="ER111" s="530"/>
      <c r="ES111" s="530"/>
      <c r="ET111" s="530"/>
      <c r="EU111" s="530"/>
      <c r="EV111" s="531"/>
      <c r="EW111" s="531"/>
      <c r="EX111" s="531"/>
      <c r="EY111" s="531"/>
      <c r="EZ111" s="531"/>
      <c r="FA111" s="531"/>
      <c r="FB111" s="532"/>
      <c r="FC111" s="532"/>
      <c r="FD111" s="532"/>
      <c r="FE111" s="532"/>
      <c r="FF111" s="532"/>
      <c r="FG111" s="532"/>
      <c r="FH111" s="533"/>
      <c r="FI111" s="533"/>
      <c r="FJ111" s="370"/>
      <c r="FK111" s="370"/>
      <c r="FL111" s="370"/>
      <c r="FM111" s="370"/>
      <c r="FN111" s="370"/>
      <c r="FO111" s="370"/>
      <c r="FP111" s="370"/>
      <c r="FQ111" s="370"/>
      <c r="FR111" s="370"/>
      <c r="FS111" s="370"/>
      <c r="FT111" s="371"/>
      <c r="FU111" s="370"/>
      <c r="FV111" s="395"/>
      <c r="FW111" s="396"/>
      <c r="FX111" s="397"/>
      <c r="FY111" s="398"/>
      <c r="FZ111" s="399"/>
      <c r="GA111" s="398"/>
      <c r="GB111" s="399"/>
      <c r="GC111" s="399"/>
      <c r="GD111" s="60"/>
    </row>
    <row r="112" spans="1:186" ht="16.8" hidden="1" x14ac:dyDescent="0.25">
      <c r="A112" s="60"/>
      <c r="B112" s="96"/>
      <c r="C112" s="96" t="str">
        <f>IF(DATA!C49="","",DATA!C49)</f>
        <v/>
      </c>
      <c r="D112" s="96" t="str">
        <f>IF(DATA!D49="","",DATA!D49)</f>
        <v/>
      </c>
      <c r="E112" s="97" t="str">
        <f>IF(DATA!E49="","",DATA!E49)</f>
        <v/>
      </c>
      <c r="F112" s="97" t="str">
        <f>IF(DATA!F49="","",DATA!F49)</f>
        <v/>
      </c>
      <c r="G112" s="97" t="str">
        <f>IF(DATA!G49="","",DATA!G49)</f>
        <v/>
      </c>
      <c r="H112" s="97" t="str">
        <f>IF(DATA!H49="","",DATA!H49)</f>
        <v/>
      </c>
      <c r="I112" s="97" t="str">
        <f>IF(DATA!I49="","",DATA!I49)</f>
        <v/>
      </c>
      <c r="J112" s="97" t="str">
        <f>IF(DATA!J49="","",DATA!J49)</f>
        <v/>
      </c>
      <c r="K112" s="97" t="str">
        <f>IF(DATA!K49="","",DATA!K49)</f>
        <v/>
      </c>
      <c r="L112" s="502" t="str">
        <f>IF(ENGLISH!E51="","",ENGLISH!E51)</f>
        <v/>
      </c>
      <c r="M112" s="503" t="str">
        <f t="shared" si="46"/>
        <v/>
      </c>
      <c r="N112" s="502" t="str">
        <f>IF(ENGLISH!F51="","",ENGLISH!F51)</f>
        <v/>
      </c>
      <c r="O112" s="503" t="str">
        <f t="shared" si="47"/>
        <v/>
      </c>
      <c r="P112" s="502" t="str">
        <f>IF(ENGLISH!G51="","",ENGLISH!G51)</f>
        <v/>
      </c>
      <c r="Q112" s="502" t="str">
        <f t="shared" si="48"/>
        <v/>
      </c>
      <c r="R112" s="503" t="str">
        <f>IFERROR(LARGE((M112,O112,Q112),1),"")</f>
        <v/>
      </c>
      <c r="S112" s="503" t="str">
        <f>IFERROR(LARGE((M112,O112,Q112),2),"")</f>
        <v/>
      </c>
      <c r="T112" s="502" t="str">
        <f t="shared" si="49"/>
        <v/>
      </c>
      <c r="U112" s="503" t="str">
        <f>IF(ENGLISH!H51="","",ENGLISH!H51)</f>
        <v/>
      </c>
      <c r="V112" s="502" t="str">
        <f>IF(ENGLISH!I51="","",ENGLISH!I51)</f>
        <v/>
      </c>
      <c r="W112" s="502" t="str">
        <f>IF(ENGLISH!J51="","",ENGLISH!J51)</f>
        <v/>
      </c>
      <c r="X112" s="502" t="str">
        <f t="shared" si="50"/>
        <v/>
      </c>
      <c r="Y112" s="503" t="str">
        <f>IF(ENGLISH!K51="","",ENGLISH!K51)</f>
        <v/>
      </c>
      <c r="Z112" s="503" t="str">
        <f t="shared" si="51"/>
        <v/>
      </c>
      <c r="AA112" s="502" t="str">
        <f t="shared" si="52"/>
        <v/>
      </c>
      <c r="AB112" s="502" t="str">
        <f t="shared" si="15"/>
        <v/>
      </c>
      <c r="AC112" s="502" t="str">
        <f>IF(ENGLISH!O51="","",ENGLISH!O51)</f>
        <v/>
      </c>
      <c r="AD112" s="502" t="str">
        <f>IF(AB112="","",(AB112*80/$AB$6))</f>
        <v/>
      </c>
      <c r="AE112" s="502" t="str">
        <f>IF(AB112="","",IF(AB112="E",SUM(X112,AD112),""))</f>
        <v/>
      </c>
      <c r="AF112" s="502" t="str">
        <f t="shared" si="55"/>
        <v/>
      </c>
      <c r="AG112" s="504"/>
      <c r="AH112" s="504" t="str">
        <f>IF('HINDI-SKT'!F51="","",'HINDI-SKT'!F51)</f>
        <v/>
      </c>
      <c r="AI112" s="505" t="str">
        <f t="shared" si="135"/>
        <v/>
      </c>
      <c r="AJ112" s="504" t="str">
        <f>IF('HINDI-SKT'!G51="","",'HINDI-SKT'!G51)</f>
        <v/>
      </c>
      <c r="AK112" s="505" t="str">
        <f t="shared" si="136"/>
        <v/>
      </c>
      <c r="AL112" s="504" t="str">
        <f>IF('HINDI-SKT'!H51="","",'HINDI-SKT'!H51)</f>
        <v/>
      </c>
      <c r="AM112" s="504" t="str">
        <f t="shared" si="137"/>
        <v/>
      </c>
      <c r="AN112" s="506" t="str">
        <f>IFERROR(LARGE((AI112,AK112,AM112),1),"")</f>
        <v/>
      </c>
      <c r="AO112" s="506" t="str">
        <f>IFERROR(LARGE((AI112,AK112,AM112),2),"")</f>
        <v/>
      </c>
      <c r="AP112" s="504" t="str">
        <f t="shared" si="138"/>
        <v/>
      </c>
      <c r="AQ112" s="505" t="str">
        <f>IF('HINDI-SKT'!I51="","",'HINDI-SKT'!I51)</f>
        <v/>
      </c>
      <c r="AR112" s="504" t="str">
        <f>IF('HINDI-SKT'!J51="","",'HINDI-SKT'!J51)</f>
        <v/>
      </c>
      <c r="AS112" s="504" t="str">
        <f>IF('HINDI-SKT'!K51="","",'HINDI-SKT'!K51)</f>
        <v/>
      </c>
      <c r="AT112" s="507" t="str">
        <f t="shared" si="56"/>
        <v/>
      </c>
      <c r="AU112" s="505" t="str">
        <f>IF('HINDI-SKT'!L51="","",'HINDI-SKT'!L51)</f>
        <v/>
      </c>
      <c r="AV112" s="505" t="str">
        <f t="shared" ref="AV112" si="310">IF(AU112="","",(AU112/$AU$6)*80)</f>
        <v/>
      </c>
      <c r="AW112" s="507" t="str">
        <f t="shared" ref="AW112" si="311">IF(C112="TC","",IF(AND(AP112="",AQ112="",AR112="",AV112="",AS112),"",ROUNDUP(SUM(AP112,AQ112,AR112,AV112,AS112),0)))</f>
        <v/>
      </c>
      <c r="AX112" s="504" t="str">
        <f t="shared" ref="AX112" si="312">IF(AW112="","",IF(AW112&lt;33,"E",IF(AND(AW112&gt;=33,AW112&lt;41),"D",IF(AND(AW112&gt;=41,AW112&lt;51),"C2",IF(AND(AW112&gt;=51,AW112&lt;61),"C1",IF(AND(AW112&gt;=61,AW112&lt;71),"B2",IF(AND(AW112&gt;=71,AW112&lt;81),"B1",IF(AND(AW112&gt;=81,AW112&lt;91),"A2",IF(AND(AW112&gt;=91,AW112&lt;=100),"A1")))))))))</f>
        <v/>
      </c>
      <c r="AY112" s="507" t="str">
        <f>IF('HINDI-SKT'!P51="","",'HINDI-SKT'!P51)</f>
        <v/>
      </c>
      <c r="AZ112" s="507" t="str">
        <f>IF(AY112="","",(AY112*80/$AB$6))</f>
        <v/>
      </c>
      <c r="BA112" s="507" t="str">
        <f t="shared" ref="BA112" si="313">IF(AY112="","",IF(AX112="E",SUM(AT112,AZ112),""))</f>
        <v/>
      </c>
      <c r="BB112" s="507" t="str">
        <f t="shared" si="62"/>
        <v/>
      </c>
      <c r="BC112" s="508" t="str">
        <f>IF(MATHS!E51="","",MATHS!E51)</f>
        <v/>
      </c>
      <c r="BD112" s="509" t="str">
        <f t="shared" si="139"/>
        <v/>
      </c>
      <c r="BE112" s="508" t="str">
        <f>IF(MATHS!F51="","",MATHS!F51)</f>
        <v/>
      </c>
      <c r="BF112" s="509" t="str">
        <f t="shared" si="140"/>
        <v/>
      </c>
      <c r="BG112" s="508" t="str">
        <f>IF(MATHS!G51="","",MATHS!G51)</f>
        <v/>
      </c>
      <c r="BH112" s="508" t="str">
        <f t="shared" si="141"/>
        <v/>
      </c>
      <c r="BI112" s="503" t="str">
        <f>IFERROR(LARGE((BD112,BF112,BH112),1),"")</f>
        <v/>
      </c>
      <c r="BJ112" s="503" t="str">
        <f>IFERROR(LARGE((BD112,BF112,BH112),2),"")</f>
        <v/>
      </c>
      <c r="BK112" s="508" t="str">
        <f t="shared" si="142"/>
        <v/>
      </c>
      <c r="BL112" s="503" t="str">
        <f>IF(MATHS!H51="","",MATHS!H51)</f>
        <v/>
      </c>
      <c r="BM112" s="502" t="str">
        <f>IF(MATHS!I51="","",MATHS!I51)</f>
        <v/>
      </c>
      <c r="BN112" s="502" t="str">
        <f>IF(MATHS!J51="","",MATHS!J51)</f>
        <v/>
      </c>
      <c r="BO112" s="502" t="str">
        <f t="shared" si="63"/>
        <v/>
      </c>
      <c r="BP112" s="502" t="str">
        <f>IF(MATHS!K51="","",MATHS!K51)</f>
        <v/>
      </c>
      <c r="BQ112" s="503" t="str">
        <f t="shared" si="143"/>
        <v/>
      </c>
      <c r="BR112" s="502" t="str">
        <f t="shared" si="64"/>
        <v/>
      </c>
      <c r="BS112" s="502" t="str">
        <f t="shared" si="144"/>
        <v/>
      </c>
      <c r="BT112" s="502" t="str">
        <f>IF(MATHS!O51="","",MATHS!O51)</f>
        <v/>
      </c>
      <c r="BU112" s="502"/>
      <c r="BV112" s="502" t="str">
        <f t="shared" ref="BV112" si="314">IF(BT112="","",IF(BS112="E",SUM(BO112,BU112),""))</f>
        <v/>
      </c>
      <c r="BW112" s="502"/>
      <c r="BX112" s="507" t="str">
        <f>IF(SCIENCE!E51="","",SCIENCE!E51)</f>
        <v/>
      </c>
      <c r="BY112" s="506" t="str">
        <f t="shared" si="145"/>
        <v/>
      </c>
      <c r="BZ112" s="507" t="str">
        <f>IF(SCIENCE!F51="","",SCIENCE!F51)</f>
        <v/>
      </c>
      <c r="CA112" s="506" t="str">
        <f t="shared" si="146"/>
        <v/>
      </c>
      <c r="CB112" s="507" t="str">
        <f>IF(SCIENCE!G51="","",SCIENCE!G51)</f>
        <v/>
      </c>
      <c r="CC112" s="507" t="str">
        <f t="shared" si="147"/>
        <v/>
      </c>
      <c r="CD112" s="506" t="str">
        <f>IFERROR(LARGE((BY112,CA112,CC112),1),"")</f>
        <v/>
      </c>
      <c r="CE112" s="506" t="str">
        <f>IFERROR(LARGE((BY112,CA112,CC112),2),"")</f>
        <v/>
      </c>
      <c r="CF112" s="507" t="str">
        <f t="shared" si="148"/>
        <v/>
      </c>
      <c r="CG112" s="505" t="str">
        <f>IF(SCIENCE!H51="","",SCIENCE!H51)</f>
        <v/>
      </c>
      <c r="CH112" s="504" t="str">
        <f>IF(SCIENCE!I51="","",SCIENCE!I51)</f>
        <v/>
      </c>
      <c r="CI112" s="504"/>
      <c r="CJ112" s="504"/>
      <c r="CK112" s="505" t="str">
        <f>IF(SCIENCE!K51="","",SCIENCE!K51)</f>
        <v/>
      </c>
      <c r="CL112" s="505" t="str">
        <f t="shared" ref="CL112" si="315">IF(CK112="","",(CK112/$CK$6)*80)</f>
        <v/>
      </c>
      <c r="CM112" s="507" t="str">
        <f t="shared" si="69"/>
        <v/>
      </c>
      <c r="CN112" s="504" t="str">
        <f t="shared" ref="CN112" si="316">IF(CM112="","",IF(CM112&lt;33,"E",IF(AND(CM112&gt;=33,CM112&lt;41),"D",IF(AND(CM112&gt;=41,CM112&lt;51),"C2",IF(AND(CM112&gt;=51,CM112&lt;61),"C1",IF(AND(CM112&gt;=61,CM112&lt;71),"B2",IF(AND(CM112&gt;=71,CM112&lt;81),"B1",IF(AND(CM112&gt;=81,CM112&lt;91),"A2",IF(AND(CM112&gt;=91,CM112&lt;=100),"A1")))))))))</f>
        <v/>
      </c>
      <c r="CO112" s="507" t="str">
        <f>IF(SCIENCE!O51="","",SCIENCE!O51)</f>
        <v/>
      </c>
      <c r="CP112" s="507" t="str">
        <f>IF(CO112="","",(CO112*80/$AB$6))</f>
        <v/>
      </c>
      <c r="CQ112" s="507" t="str">
        <f t="shared" si="71"/>
        <v/>
      </c>
      <c r="CR112" s="507" t="str">
        <f t="shared" si="72"/>
        <v/>
      </c>
      <c r="CS112" s="508" t="str">
        <f>IF(SST!E51="","",SST!E51)</f>
        <v/>
      </c>
      <c r="CT112" s="509" t="str">
        <f t="shared" ref="CT112" si="317">IF(CS112="","",ROUNDUP((CS112/$CS$6)*10,1))</f>
        <v/>
      </c>
      <c r="CU112" s="508" t="str">
        <f>IF(SST!F51="","",SST!F51)</f>
        <v/>
      </c>
      <c r="CV112" s="509" t="str">
        <f t="shared" ref="CV112" si="318">IF(CU112="","",ROUNDUP((CU112/$CU$6)*10,1))</f>
        <v/>
      </c>
      <c r="CW112" s="508" t="str">
        <f>IF(SST!G51="","",SST!G51)</f>
        <v/>
      </c>
      <c r="CX112" s="508" t="str">
        <f t="shared" ref="CX112" si="319">IF(CW112="","",ROUNDUP((CW112/$CW$6)*10,1))</f>
        <v/>
      </c>
      <c r="CY112" s="503" t="str">
        <f>IFERROR(LARGE((CT112,CV112,CX112),1),"")</f>
        <v/>
      </c>
      <c r="CZ112" s="503" t="str">
        <f>IFERROR(LARGE((CT112,CV112,CX112),2),"")</f>
        <v/>
      </c>
      <c r="DA112" s="508" t="str">
        <f t="shared" ref="DA112" si="320">IF(AND(CY112="",CZ112=""),"",SUM(CY112:CZ112)/2)</f>
        <v/>
      </c>
      <c r="DB112" s="509" t="str">
        <f>IF(SST!H51="","",SST!H51)</f>
        <v/>
      </c>
      <c r="DC112" s="509"/>
      <c r="DD112" s="508" t="str">
        <f>IF(SST!I51="","",SST!I51)</f>
        <v/>
      </c>
      <c r="DE112" s="503" t="str">
        <f t="shared" si="73"/>
        <v/>
      </c>
      <c r="DF112" s="509" t="str">
        <f>IF(SST!K51="","",SST!K51)</f>
        <v/>
      </c>
      <c r="DG112" s="509" t="str">
        <f t="shared" ref="DG112" si="321">IF(DF112="","",(DF112/$DF$6)*80)</f>
        <v/>
      </c>
      <c r="DH112" s="502" t="str">
        <f t="shared" si="75"/>
        <v/>
      </c>
      <c r="DI112" s="508" t="str">
        <f t="shared" ref="DI112" si="322">IF(DH112="","",IF(DH112&lt;33,"E",IF(AND(DH112&gt;=33,DH112&lt;41),"D",IF(AND(DH112&gt;=41,DH112&lt;51),"C2",IF(AND(DH112&gt;=51,DH112&lt;61),"C1",IF(AND(DH112&gt;=61,DH112&lt;71),"B2",IF(AND(DH112&gt;=71,DH112&lt;81),"B1",IF(AND(DH112&gt;=81,DH112&lt;91),"A2",IF(AND(DH112&gt;=91,DH112&lt;=100),"A1")))))))))</f>
        <v/>
      </c>
      <c r="DJ112" s="502" t="str">
        <f>IF(SST!O51="","",SST!O51)</f>
        <v/>
      </c>
      <c r="DK112" s="502" t="str">
        <f>IF(DJ112="","",(DJ112*80/$AB$6))</f>
        <v/>
      </c>
      <c r="DL112" s="502" t="str">
        <f t="shared" ref="DL112" si="323">IF(DJ112="","",IF(DJ112="","",IF(DI112="E",SUM(DE112,DK112),"")))</f>
        <v/>
      </c>
      <c r="DM112" s="502" t="str">
        <f t="shared" si="78"/>
        <v/>
      </c>
      <c r="DN112" s="502"/>
      <c r="DO112" s="504"/>
      <c r="DP112" s="504" t="str">
        <f>IF(SST!AA51="","",SST!AA51)</f>
        <v/>
      </c>
      <c r="DQ112" s="504" t="str">
        <f>IF(SST!AG51="","",SST!AG51)</f>
        <v/>
      </c>
      <c r="DR112" s="504" t="e">
        <f>IF(Y112="TC","",IF(AND(#REF!="",#REF!="",#REF!="",#REF!="",#REF!=""),"",ROUNDUP(SUM(#REF!,#REF!,#REF!,#REF!,#REF!),0)))</f>
        <v>#REF!</v>
      </c>
      <c r="DS112" s="504" t="e">
        <f t="shared" ref="DS112" si="324">IF(DR112="","",IF(DR112&lt;33,"E",IF(AND(DR112&gt;=33,DR112&lt;41),"D",IF(AND(DR112&gt;=41,DR112&lt;51),"C2",IF(AND(DR112&gt;=51,DR112&lt;61),"C1",IF(AND(DR112&gt;=61,DR112&lt;71),"B2",IF(AND(DR112&gt;=71,DR112&lt;81),"B1",IF(AND(DR112&gt;=81,DR112&lt;91),"A2",IF(AND(DR112&gt;=91,DR112&lt;=100),"A1")))))))))</f>
        <v>#REF!</v>
      </c>
      <c r="DT112" s="504" t="str">
        <f>IF(SST!AK51="","",SST!AK51)</f>
        <v/>
      </c>
      <c r="DU112" s="504" t="str">
        <f>IF(DT112="","",IF(DT112="","",IF(DS112="E",SUM(#REF!,#REF!),"")))</f>
        <v/>
      </c>
      <c r="DV112" s="504" t="str">
        <f t="shared" ref="DV112" si="325">IF(DU112="","",IF(DU112&lt;33,"E",IF(AND(DU112&gt;=33,DU112&lt;41),"D",IF(AND(DU112&gt;=41,DU112&lt;51),"C2",IF(AND(DU112&gt;=51,DU112&lt;61),"C1",IF(AND(DU112&gt;=61,DU112&lt;71),"B2",IF(AND(DU112&gt;=71,DU112&lt;81),"B1",IF(AND(DU112&gt;=81,DU112&lt;91),"A2",IF(AND(DU112&gt;=91,DU112&lt;=100),"A1")))))))))</f>
        <v/>
      </c>
      <c r="DW112" s="502"/>
      <c r="DX112" s="510" t="str">
        <f>IF(C112="TC","",IF(AA112="","",AA112))</f>
        <v/>
      </c>
      <c r="DY112" s="510" t="str">
        <f>IF(C112="TC","",IF(AW112="","",AW112))</f>
        <v/>
      </c>
      <c r="DZ112" s="510" t="str">
        <f>IF(C112="TC","",IF(BR112="","",BR112))</f>
        <v/>
      </c>
      <c r="EA112" s="510" t="str">
        <f>IF(C112="TC","",IF(CM112="","",CM112))</f>
        <v/>
      </c>
      <c r="EB112" s="510" t="str">
        <f>IF(C112="TC","",IF(DH112="","",DH112))</f>
        <v/>
      </c>
      <c r="EC112" s="510"/>
      <c r="ED112" s="510" t="str">
        <f>IF(C112="TC","",IF(AE112="","",AE112))</f>
        <v/>
      </c>
      <c r="EE112" s="510" t="str">
        <f>IF(C112="TC","",IF(BA112="","",BA112))</f>
        <v/>
      </c>
      <c r="EF112" s="510" t="str">
        <f>IF(C112="TC","",IF(BV112="","",BV112))</f>
        <v/>
      </c>
      <c r="EG112" s="510" t="str">
        <f>IF(C112="TC","",IF(CQ112="","",CQ112))</f>
        <v/>
      </c>
      <c r="EH112" s="510" t="str">
        <f>IF(C112="TC","",IF(DL112="","",DL112))</f>
        <v/>
      </c>
      <c r="EI112" s="510"/>
      <c r="EJ112" s="511" t="str">
        <f t="shared" ref="EJ112" si="326">IF(DX112&gt;=33,"",$EJ$5&amp;",")</f>
        <v/>
      </c>
      <c r="EK112" s="511" t="str">
        <f t="shared" ref="EK112" si="327">IF(DY112&gt;=33,"",$EK$5&amp;",")</f>
        <v/>
      </c>
      <c r="EL112" s="511" t="str">
        <f t="shared" ref="EL112" si="328">IF(DZ112&gt;=33,"",$EL$5&amp;",")</f>
        <v/>
      </c>
      <c r="EM112" s="511" t="str">
        <f t="shared" ref="EM112" si="329">IF(EA112&gt;=33,"",$EM$5&amp;",")</f>
        <v/>
      </c>
      <c r="EN112" s="511" t="str">
        <f t="shared" ref="EN112" si="330">IF(EB112&gt;=33,"",$EN$5&amp;",")</f>
        <v/>
      </c>
      <c r="EO112" s="511"/>
      <c r="EP112" s="512" t="str">
        <f t="shared" ref="EP112" si="331">IF(ED112&gt;=33,"",$EP$5)</f>
        <v/>
      </c>
      <c r="EQ112" s="512" t="str">
        <f t="shared" ref="EQ112" si="332">IF(EE112&gt;=33,"",$EQ$5)</f>
        <v/>
      </c>
      <c r="ER112" s="512" t="str">
        <f t="shared" ref="ER112" si="333">IF(EF112&gt;=33,"",$ER$5)</f>
        <v/>
      </c>
      <c r="ES112" s="512" t="str">
        <f t="shared" ref="ES112" si="334">IF(EG112&gt;=33,"",$ES$5)</f>
        <v/>
      </c>
      <c r="ET112" s="512" t="str">
        <f t="shared" ref="ET112" si="335">IF(EH112&gt;=33,"",$ET$5)</f>
        <v/>
      </c>
      <c r="EU112" s="512"/>
      <c r="EV112" s="513" t="str">
        <f>IF(DX112="","",DX112)</f>
        <v/>
      </c>
      <c r="EW112" s="513" t="str">
        <f t="shared" ref="EW112" si="336">IF(DY112="","",DY112)</f>
        <v/>
      </c>
      <c r="EX112" s="513" t="str">
        <f t="shared" ref="EX112" si="337">IF(DZ112&lt;33,"",DZ112)</f>
        <v/>
      </c>
      <c r="EY112" s="513" t="str">
        <f t="shared" ref="EY112" si="338">IF(AND(DZ112&gt;=33,EA112&lt;33),"",EA112)</f>
        <v/>
      </c>
      <c r="EZ112" s="513" t="str">
        <f t="shared" ref="EZ112" si="339">IF(AND(DZ112&gt;=33,EA112&gt;=33,EB112&lt;33),"",EB112)</f>
        <v/>
      </c>
      <c r="FA112" s="513"/>
      <c r="FB112" s="510" t="str">
        <f>IF(AND(EV112&lt;33,$FJ$7="COMPARTMENT"),ED112,DX112)</f>
        <v/>
      </c>
      <c r="FC112" s="510" t="str">
        <f>IF(AND(EW112&lt;33,FJ112="COMPARTMENT"),EE112,DY112)</f>
        <v/>
      </c>
      <c r="FD112" s="510" t="str">
        <f>IF(EX112="","",IF(AND(EX112&lt;33,FJ112="COMPARTMENT"),EF112,DZ112))</f>
        <v/>
      </c>
      <c r="FE112" s="510" t="str">
        <f>IF(EY112="","",IF(AND(EY112&lt;33,FJ112="COMPARTMENT"),EG112,EA112))</f>
        <v/>
      </c>
      <c r="FF112" s="510" t="str">
        <f>IF(EZ112="","",IF(AND(EZ112&lt;33,$FJ$7="COMPARTMENT"),EH112,EB112))</f>
        <v/>
      </c>
      <c r="FG112" s="510"/>
      <c r="FH112" s="514" t="str">
        <f>IF(C112="TC","",IF(C112="","",(5-COUNTBLANK(EJ112:EN112))))</f>
        <v/>
      </c>
      <c r="FI112" s="514" t="str">
        <f>IF(C112="TC","",IF(C112="","",(3-COUNTBLANK(EL112:EN112))))</f>
        <v/>
      </c>
      <c r="FJ112" s="109" t="str">
        <f>IF(C112="TC","",IF(AND(FH112="",FI112=""),"",IF(AND(FH112=0,FI112=0),"PASS",IF(AND(FH112=1,FI112=0),"COMPARTMENT",IF(AND(FH112=1,FI112=1),IF(AND(#REF!&gt;16,#REF!&gt;16),"PASS","COMPARTMENT"),IF(FH112=2,"COMPARTMENT",IF(FH112&gt;2,"FAIL","")))))))</f>
        <v/>
      </c>
      <c r="FK112" s="109" t="str">
        <f>IF(C112="TC","",IF(AND(ED112="",EE112="",EF112="",EG112="",EH112=""),"",IF(AND(#REF!=0,FJ112="COMPARTMENT"),"PASS","FAIL")))</f>
        <v/>
      </c>
      <c r="FL112" s="109"/>
      <c r="FM112" s="109"/>
      <c r="FN112" s="109"/>
      <c r="FO112" s="109"/>
      <c r="FP112" s="109"/>
      <c r="FQ112" s="109"/>
      <c r="FR112" s="109"/>
      <c r="FS112" s="109"/>
      <c r="FT112" s="109"/>
      <c r="FU112" s="109"/>
      <c r="FV112" s="109"/>
      <c r="FW112" s="109"/>
      <c r="FX112" s="515"/>
      <c r="FY112" s="515"/>
      <c r="FZ112" s="516"/>
      <c r="GA112" s="515"/>
      <c r="GB112" s="516"/>
      <c r="GC112" s="516"/>
      <c r="GD112" s="60"/>
    </row>
    <row r="113" spans="1:186" x14ac:dyDescent="0.25">
      <c r="A113" s="60"/>
      <c r="B113" s="60"/>
      <c r="BH113" s="79"/>
      <c r="BI113" s="79"/>
      <c r="BJ113" s="79"/>
      <c r="GD113" s="60"/>
    </row>
    <row r="114" spans="1:186" ht="15.75" hidden="1" customHeight="1" x14ac:dyDescent="0.3">
      <c r="B114" s="292"/>
      <c r="C114" s="293"/>
      <c r="D114" s="293"/>
      <c r="E114" s="293"/>
      <c r="F114" s="293"/>
      <c r="G114" s="293"/>
      <c r="H114" s="293"/>
      <c r="I114" s="293"/>
      <c r="J114" s="293"/>
      <c r="K114" s="293"/>
      <c r="L114" s="293"/>
      <c r="M114" s="293"/>
      <c r="N114" s="293"/>
      <c r="O114" s="293"/>
      <c r="P114" s="293"/>
      <c r="Q114" s="293"/>
      <c r="R114" s="293"/>
      <c r="S114" s="293"/>
      <c r="T114" s="293"/>
      <c r="U114" s="293"/>
      <c r="V114" s="293"/>
      <c r="W114" s="293"/>
      <c r="X114" s="293"/>
      <c r="Y114" s="293"/>
      <c r="Z114" s="293"/>
      <c r="AA114" s="1023" t="s">
        <v>58</v>
      </c>
      <c r="AB114" s="1023"/>
      <c r="AC114" s="352"/>
      <c r="AD114" s="352"/>
      <c r="AE114" s="352"/>
      <c r="AF114" s="352"/>
      <c r="AG114" s="352"/>
      <c r="AH114" s="352"/>
      <c r="AI114" s="352"/>
      <c r="AJ114" s="352"/>
      <c r="AK114" s="352"/>
      <c r="AL114" s="352"/>
      <c r="AM114" s="352"/>
      <c r="AN114" s="352"/>
      <c r="AO114" s="352"/>
      <c r="AP114" s="352"/>
      <c r="AQ114" s="352"/>
      <c r="AR114" s="352"/>
      <c r="AS114" s="352"/>
      <c r="AT114" s="352"/>
      <c r="AU114" s="352"/>
      <c r="AV114" s="352"/>
      <c r="AW114" s="352"/>
      <c r="AX114" s="352"/>
      <c r="AY114" s="352"/>
      <c r="AZ114" s="352"/>
      <c r="BA114" s="352"/>
      <c r="BB114" s="352"/>
      <c r="BC114" s="352"/>
      <c r="BD114" s="352"/>
      <c r="BE114" s="352"/>
      <c r="BF114" s="352"/>
      <c r="BG114" s="352"/>
      <c r="BH114" s="294"/>
      <c r="BI114" s="294"/>
      <c r="BJ114" s="294"/>
      <c r="BK114" s="293"/>
      <c r="BL114" s="293"/>
    </row>
    <row r="115" spans="1:186" ht="15.75" hidden="1" customHeight="1" x14ac:dyDescent="0.3">
      <c r="B115" s="295"/>
      <c r="C115" s="356"/>
      <c r="D115" s="356"/>
      <c r="E115" s="356"/>
      <c r="F115" s="356"/>
      <c r="G115" s="297"/>
      <c r="H115" s="297"/>
      <c r="I115" s="297"/>
      <c r="J115" s="297"/>
      <c r="K115" s="297"/>
      <c r="L115" s="297"/>
      <c r="M115" s="297"/>
      <c r="N115" s="356"/>
      <c r="O115" s="356"/>
      <c r="P115" s="356"/>
      <c r="Q115" s="356"/>
      <c r="R115" s="356"/>
      <c r="S115" s="356"/>
      <c r="T115" s="356"/>
      <c r="U115" s="356"/>
      <c r="V115" s="356"/>
      <c r="W115" s="356"/>
      <c r="X115" s="356"/>
      <c r="Y115" s="356"/>
      <c r="Z115" s="356"/>
      <c r="AA115" s="1033" t="s">
        <v>59</v>
      </c>
      <c r="AB115" s="1033"/>
      <c r="AC115" s="355"/>
      <c r="AD115" s="355"/>
      <c r="AE115" s="355"/>
      <c r="AF115" s="355"/>
      <c r="AG115" s="355"/>
      <c r="AH115" s="355"/>
      <c r="AI115" s="355"/>
      <c r="AJ115" s="355"/>
      <c r="AK115" s="355"/>
      <c r="AL115" s="355"/>
      <c r="AM115" s="355"/>
      <c r="AN115" s="355"/>
      <c r="AO115" s="355"/>
      <c r="AP115" s="355"/>
      <c r="AQ115" s="355"/>
      <c r="AR115" s="355"/>
      <c r="AS115" s="355"/>
      <c r="AT115" s="355"/>
      <c r="AU115" s="355"/>
      <c r="AV115" s="355"/>
      <c r="AW115" s="355"/>
      <c r="AX115" s="355"/>
      <c r="AY115" s="355"/>
      <c r="AZ115" s="355"/>
      <c r="BA115" s="355"/>
      <c r="BB115" s="355"/>
      <c r="BC115" s="355"/>
      <c r="BD115" s="355"/>
      <c r="BE115" s="355"/>
      <c r="BF115" s="355"/>
      <c r="BG115" s="355"/>
      <c r="BH115" s="297"/>
      <c r="BI115" s="297"/>
      <c r="BJ115" s="297"/>
      <c r="BK115" s="356"/>
      <c r="BL115" s="356"/>
    </row>
    <row r="116" spans="1:186" ht="15.75" hidden="1" customHeight="1" x14ac:dyDescent="0.3">
      <c r="B116" s="295"/>
      <c r="C116" s="356"/>
      <c r="D116" s="356"/>
      <c r="E116" s="356"/>
      <c r="F116" s="356"/>
      <c r="G116" s="297"/>
      <c r="H116" s="297"/>
      <c r="I116" s="297"/>
      <c r="J116" s="297"/>
      <c r="K116" s="297"/>
      <c r="L116" s="297"/>
      <c r="M116" s="297"/>
      <c r="N116" s="356"/>
      <c r="O116" s="356"/>
      <c r="P116" s="356"/>
      <c r="Q116" s="356"/>
      <c r="R116" s="356"/>
      <c r="S116" s="356"/>
      <c r="T116" s="356"/>
      <c r="U116" s="356"/>
      <c r="V116" s="356"/>
      <c r="W116" s="356"/>
      <c r="X116" s="356"/>
      <c r="Y116" s="356"/>
      <c r="Z116" s="356"/>
      <c r="AA116" s="1033" t="s">
        <v>60</v>
      </c>
      <c r="AB116" s="1033"/>
      <c r="AC116" s="355"/>
      <c r="AD116" s="355"/>
      <c r="AE116" s="355"/>
      <c r="AF116" s="355"/>
      <c r="AG116" s="355"/>
      <c r="AH116" s="355"/>
      <c r="AI116" s="355"/>
      <c r="AJ116" s="355"/>
      <c r="AK116" s="355"/>
      <c r="AL116" s="355"/>
      <c r="AM116" s="355"/>
      <c r="AN116" s="355"/>
      <c r="AO116" s="355"/>
      <c r="AP116" s="355"/>
      <c r="AQ116" s="355"/>
      <c r="AR116" s="355"/>
      <c r="AS116" s="355"/>
      <c r="AT116" s="355"/>
      <c r="AU116" s="355"/>
      <c r="AV116" s="355"/>
      <c r="AW116" s="355"/>
      <c r="AX116" s="355"/>
      <c r="AY116" s="355"/>
      <c r="AZ116" s="355"/>
      <c r="BA116" s="355"/>
      <c r="BB116" s="355"/>
      <c r="BC116" s="355"/>
      <c r="BD116" s="355"/>
      <c r="BE116" s="355"/>
      <c r="BF116" s="355"/>
      <c r="BG116" s="355"/>
      <c r="BH116" s="297"/>
      <c r="BI116" s="297"/>
      <c r="BJ116" s="297"/>
      <c r="BK116" s="356"/>
      <c r="BL116" s="356"/>
    </row>
    <row r="117" spans="1:186" ht="15.75" hidden="1" customHeight="1" x14ac:dyDescent="0.3">
      <c r="B117" s="295"/>
      <c r="C117" s="356"/>
      <c r="D117" s="356"/>
      <c r="E117" s="356"/>
      <c r="F117" s="356"/>
      <c r="G117" s="297"/>
      <c r="H117" s="297"/>
      <c r="I117" s="297"/>
      <c r="J117" s="297"/>
      <c r="K117" s="297"/>
      <c r="L117" s="297"/>
      <c r="M117" s="297"/>
      <c r="N117" s="356"/>
      <c r="O117" s="356"/>
      <c r="P117" s="356"/>
      <c r="Q117" s="356"/>
      <c r="R117" s="356"/>
      <c r="S117" s="356"/>
      <c r="T117" s="356"/>
      <c r="U117" s="356"/>
      <c r="V117" s="356"/>
      <c r="W117" s="356"/>
      <c r="X117" s="356"/>
      <c r="Y117" s="356"/>
      <c r="Z117" s="356"/>
      <c r="AA117" s="1033" t="s">
        <v>61</v>
      </c>
      <c r="AB117" s="1033"/>
      <c r="AC117" s="355"/>
      <c r="AD117" s="355"/>
      <c r="AE117" s="355"/>
      <c r="AF117" s="355"/>
      <c r="AG117" s="355"/>
      <c r="AH117" s="355"/>
      <c r="AI117" s="355"/>
      <c r="AJ117" s="355"/>
      <c r="AK117" s="355"/>
      <c r="AL117" s="355"/>
      <c r="AM117" s="355"/>
      <c r="AN117" s="355"/>
      <c r="AO117" s="355"/>
      <c r="AP117" s="355"/>
      <c r="AQ117" s="355"/>
      <c r="AR117" s="355"/>
      <c r="AS117" s="355"/>
      <c r="AT117" s="355"/>
      <c r="AU117" s="355"/>
      <c r="AV117" s="355"/>
      <c r="AW117" s="355"/>
      <c r="AX117" s="355"/>
      <c r="AY117" s="355"/>
      <c r="AZ117" s="355"/>
      <c r="BA117" s="355"/>
      <c r="BB117" s="355"/>
      <c r="BC117" s="355"/>
      <c r="BD117" s="355"/>
      <c r="BE117" s="355"/>
      <c r="BF117" s="355"/>
      <c r="BG117" s="355"/>
      <c r="BH117" s="297"/>
      <c r="BI117" s="297"/>
      <c r="BJ117" s="297"/>
      <c r="BK117" s="356"/>
      <c r="BL117" s="356"/>
    </row>
    <row r="118" spans="1:186" ht="15" hidden="1" customHeight="1" x14ac:dyDescent="0.25">
      <c r="B118" s="295"/>
      <c r="C118" s="356"/>
      <c r="D118" s="356"/>
      <c r="E118" s="356"/>
      <c r="F118" s="356"/>
      <c r="G118" s="297"/>
      <c r="H118" s="297"/>
      <c r="I118" s="297"/>
      <c r="J118" s="297"/>
      <c r="K118" s="297"/>
      <c r="L118" s="297"/>
      <c r="M118" s="297"/>
      <c r="N118" s="356"/>
      <c r="O118" s="356"/>
      <c r="P118" s="356"/>
      <c r="Q118" s="356"/>
      <c r="R118" s="356"/>
      <c r="S118" s="356"/>
      <c r="T118" s="356"/>
      <c r="U118" s="356"/>
      <c r="V118" s="356"/>
      <c r="W118" s="356"/>
      <c r="X118" s="356"/>
      <c r="Y118" s="356"/>
      <c r="Z118" s="356"/>
      <c r="AA118" s="1031" t="s">
        <v>0</v>
      </c>
      <c r="AB118" s="1032"/>
      <c r="AC118" s="356"/>
      <c r="AD118" s="356"/>
      <c r="AE118" s="356"/>
      <c r="AF118" s="356"/>
      <c r="AG118" s="356"/>
      <c r="AH118" s="356"/>
      <c r="AI118" s="356"/>
      <c r="AJ118" s="356"/>
      <c r="AK118" s="356"/>
      <c r="AL118" s="356"/>
      <c r="AM118" s="356"/>
      <c r="AN118" s="356"/>
      <c r="AO118" s="356"/>
      <c r="AP118" s="356"/>
      <c r="AQ118" s="356"/>
      <c r="AR118" s="356"/>
      <c r="AS118" s="356"/>
      <c r="AT118" s="356"/>
      <c r="AU118" s="356"/>
      <c r="AV118" s="356"/>
      <c r="AW118" s="356"/>
      <c r="AX118" s="356"/>
      <c r="AY118" s="356"/>
      <c r="AZ118" s="356"/>
      <c r="BA118" s="356"/>
      <c r="BB118" s="356"/>
      <c r="BC118" s="356"/>
      <c r="BD118" s="356"/>
      <c r="BE118" s="356"/>
      <c r="BF118" s="356"/>
      <c r="BG118" s="356"/>
      <c r="BH118" s="297"/>
      <c r="BI118" s="297"/>
      <c r="BJ118" s="297"/>
      <c r="BK118" s="356"/>
      <c r="BL118" s="356"/>
    </row>
    <row r="119" spans="1:186" ht="15" hidden="1" customHeight="1" x14ac:dyDescent="0.25">
      <c r="B119" s="295"/>
      <c r="C119" s="356"/>
      <c r="D119" s="356"/>
      <c r="E119" s="356"/>
      <c r="F119" s="356"/>
      <c r="G119" s="297"/>
      <c r="H119" s="297"/>
      <c r="I119" s="297"/>
      <c r="J119" s="297"/>
      <c r="K119" s="297"/>
      <c r="L119" s="297"/>
      <c r="M119" s="297"/>
      <c r="N119" s="356"/>
      <c r="O119" s="356"/>
      <c r="P119" s="356"/>
      <c r="Q119" s="356"/>
      <c r="R119" s="356"/>
      <c r="S119" s="356"/>
      <c r="T119" s="356"/>
      <c r="U119" s="356"/>
      <c r="V119" s="356"/>
      <c r="W119" s="356"/>
      <c r="X119" s="356"/>
      <c r="Y119" s="356"/>
      <c r="Z119" s="356"/>
      <c r="AA119" s="1022" t="s">
        <v>64</v>
      </c>
      <c r="AB119" s="1022"/>
      <c r="AC119" s="354"/>
      <c r="AD119" s="354"/>
      <c r="AE119" s="354"/>
      <c r="AF119" s="354"/>
      <c r="AG119" s="354"/>
      <c r="AH119" s="354"/>
      <c r="AI119" s="354"/>
      <c r="AJ119" s="354"/>
      <c r="AK119" s="354"/>
      <c r="AL119" s="354"/>
      <c r="AM119" s="354"/>
      <c r="AN119" s="354"/>
      <c r="AO119" s="354"/>
      <c r="AP119" s="354"/>
      <c r="AQ119" s="354"/>
      <c r="AR119" s="354"/>
      <c r="AS119" s="354"/>
      <c r="AT119" s="354"/>
      <c r="AU119" s="354"/>
      <c r="AV119" s="354"/>
      <c r="AW119" s="354"/>
      <c r="AX119" s="354"/>
      <c r="AY119" s="354"/>
      <c r="AZ119" s="354"/>
      <c r="BA119" s="354"/>
      <c r="BB119" s="354"/>
      <c r="BC119" s="354"/>
      <c r="BD119" s="354"/>
      <c r="BE119" s="354"/>
      <c r="BF119" s="354"/>
      <c r="BG119" s="354"/>
      <c r="BH119" s="297"/>
      <c r="BI119" s="297"/>
      <c r="BJ119" s="297"/>
      <c r="BK119" s="356"/>
      <c r="BL119" s="356"/>
    </row>
    <row r="120" spans="1:186" ht="15" hidden="1" customHeight="1" x14ac:dyDescent="0.25">
      <c r="B120" s="295"/>
      <c r="C120" s="356"/>
      <c r="D120" s="356"/>
      <c r="E120" s="356"/>
      <c r="F120" s="356"/>
      <c r="G120" s="297"/>
      <c r="H120" s="297"/>
      <c r="I120" s="297"/>
      <c r="J120" s="297"/>
      <c r="K120" s="297"/>
      <c r="L120" s="297"/>
      <c r="M120" s="297"/>
      <c r="N120" s="356"/>
      <c r="O120" s="356"/>
      <c r="P120" s="356"/>
      <c r="Q120" s="356"/>
      <c r="R120" s="356"/>
      <c r="S120" s="356"/>
      <c r="T120" s="356"/>
      <c r="U120" s="356"/>
      <c r="V120" s="356"/>
      <c r="W120" s="356"/>
      <c r="X120" s="356"/>
      <c r="Y120" s="356"/>
      <c r="Z120" s="356"/>
      <c r="AA120" s="1022" t="s">
        <v>65</v>
      </c>
      <c r="AB120" s="1022"/>
      <c r="AC120" s="354"/>
      <c r="AD120" s="354"/>
      <c r="AE120" s="354"/>
      <c r="AF120" s="354"/>
      <c r="AG120" s="354"/>
      <c r="AH120" s="354"/>
      <c r="AI120" s="354"/>
      <c r="AJ120" s="354"/>
      <c r="AK120" s="354"/>
      <c r="AL120" s="354"/>
      <c r="AM120" s="354"/>
      <c r="AN120" s="354"/>
      <c r="AO120" s="354"/>
      <c r="AP120" s="354"/>
      <c r="AQ120" s="354"/>
      <c r="AR120" s="354"/>
      <c r="AS120" s="354"/>
      <c r="AT120" s="354"/>
      <c r="AU120" s="354"/>
      <c r="AV120" s="354"/>
      <c r="AW120" s="354"/>
      <c r="AX120" s="354"/>
      <c r="AY120" s="354"/>
      <c r="AZ120" s="354"/>
      <c r="BA120" s="354"/>
      <c r="BB120" s="354"/>
      <c r="BC120" s="354"/>
      <c r="BD120" s="354"/>
      <c r="BE120" s="354"/>
      <c r="BF120" s="354"/>
      <c r="BG120" s="354"/>
      <c r="BH120" s="297"/>
      <c r="BI120" s="297"/>
      <c r="BJ120" s="297"/>
      <c r="BK120" s="356"/>
      <c r="BL120" s="356"/>
    </row>
    <row r="121" spans="1:186" ht="15" hidden="1" customHeight="1" x14ac:dyDescent="0.25">
      <c r="B121" s="295"/>
      <c r="C121" s="356"/>
      <c r="D121" s="356"/>
      <c r="E121" s="356"/>
      <c r="F121" s="356"/>
      <c r="G121" s="297"/>
      <c r="H121" s="297"/>
      <c r="I121" s="297"/>
      <c r="J121" s="297"/>
      <c r="K121" s="297"/>
      <c r="L121" s="297"/>
      <c r="M121" s="297"/>
      <c r="N121" s="356"/>
      <c r="O121" s="356"/>
      <c r="P121" s="356"/>
      <c r="Q121" s="356"/>
      <c r="R121" s="356"/>
      <c r="S121" s="356"/>
      <c r="T121" s="356"/>
      <c r="U121" s="356"/>
      <c r="V121" s="356"/>
      <c r="W121" s="356"/>
      <c r="X121" s="356"/>
      <c r="Y121" s="356"/>
      <c r="Z121" s="356"/>
      <c r="AA121" s="1022" t="s">
        <v>54</v>
      </c>
      <c r="AB121" s="1022"/>
      <c r="AC121" s="354"/>
      <c r="AD121" s="354"/>
      <c r="AE121" s="354"/>
      <c r="AF121" s="354"/>
      <c r="AG121" s="354"/>
      <c r="AH121" s="354"/>
      <c r="AI121" s="354"/>
      <c r="AJ121" s="354"/>
      <c r="AK121" s="354"/>
      <c r="AL121" s="354"/>
      <c r="AM121" s="354"/>
      <c r="AN121" s="354"/>
      <c r="AO121" s="354"/>
      <c r="AP121" s="354"/>
      <c r="AQ121" s="354"/>
      <c r="AR121" s="354"/>
      <c r="AS121" s="354"/>
      <c r="AT121" s="354"/>
      <c r="AU121" s="354"/>
      <c r="AV121" s="354"/>
      <c r="AW121" s="354"/>
      <c r="AX121" s="354"/>
      <c r="AY121" s="354"/>
      <c r="AZ121" s="354"/>
      <c r="BA121" s="354"/>
      <c r="BB121" s="354"/>
      <c r="BC121" s="354"/>
      <c r="BD121" s="354"/>
      <c r="BE121" s="354"/>
      <c r="BF121" s="354"/>
      <c r="BG121" s="354"/>
      <c r="BH121" s="297"/>
      <c r="BI121" s="297"/>
      <c r="BJ121" s="297"/>
      <c r="BK121" s="356"/>
      <c r="BL121" s="356"/>
    </row>
    <row r="122" spans="1:186" ht="15" hidden="1" customHeight="1" x14ac:dyDescent="0.25">
      <c r="B122" s="295"/>
      <c r="C122" s="356"/>
      <c r="D122" s="356"/>
      <c r="E122" s="356"/>
      <c r="F122" s="356"/>
      <c r="G122" s="297"/>
      <c r="H122" s="297"/>
      <c r="I122" s="297"/>
      <c r="J122" s="297"/>
      <c r="K122" s="297"/>
      <c r="L122" s="297"/>
      <c r="M122" s="297"/>
      <c r="N122" s="356"/>
      <c r="O122" s="356"/>
      <c r="P122" s="356"/>
      <c r="Q122" s="356"/>
      <c r="R122" s="356"/>
      <c r="S122" s="356"/>
      <c r="T122" s="356"/>
      <c r="U122" s="356"/>
      <c r="V122" s="356"/>
      <c r="W122" s="356"/>
      <c r="X122" s="356"/>
      <c r="Y122" s="356"/>
      <c r="Z122" s="356"/>
      <c r="AA122" s="1022" t="s">
        <v>66</v>
      </c>
      <c r="AB122" s="1022"/>
      <c r="AC122" s="354"/>
      <c r="AD122" s="354"/>
      <c r="AE122" s="354"/>
      <c r="AF122" s="354"/>
      <c r="AG122" s="354"/>
      <c r="AH122" s="354"/>
      <c r="AI122" s="354"/>
      <c r="AJ122" s="354"/>
      <c r="AK122" s="354"/>
      <c r="AL122" s="354"/>
      <c r="AM122" s="354"/>
      <c r="AN122" s="354"/>
      <c r="AO122" s="354"/>
      <c r="AP122" s="354"/>
      <c r="AQ122" s="354"/>
      <c r="AR122" s="354"/>
      <c r="AS122" s="354"/>
      <c r="AT122" s="354"/>
      <c r="AU122" s="354"/>
      <c r="AV122" s="354"/>
      <c r="AW122" s="354"/>
      <c r="AX122" s="354"/>
      <c r="AY122" s="354"/>
      <c r="AZ122" s="354"/>
      <c r="BA122" s="354"/>
      <c r="BB122" s="354"/>
      <c r="BC122" s="354"/>
      <c r="BD122" s="354"/>
      <c r="BE122" s="354"/>
      <c r="BF122" s="354"/>
      <c r="BG122" s="354"/>
      <c r="BH122" s="297"/>
      <c r="BI122" s="297"/>
      <c r="BJ122" s="297"/>
      <c r="BK122" s="356"/>
      <c r="BL122" s="356"/>
    </row>
    <row r="123" spans="1:186" ht="15" hidden="1" customHeight="1" x14ac:dyDescent="0.25">
      <c r="B123" s="295"/>
      <c r="C123" s="356"/>
      <c r="D123" s="356"/>
      <c r="E123" s="356"/>
      <c r="F123" s="356"/>
      <c r="G123" s="297"/>
      <c r="H123" s="297"/>
      <c r="I123" s="297"/>
      <c r="J123" s="297"/>
      <c r="K123" s="297"/>
      <c r="L123" s="297"/>
      <c r="M123" s="297"/>
      <c r="N123" s="356"/>
      <c r="O123" s="356"/>
      <c r="P123" s="356"/>
      <c r="Q123" s="356"/>
      <c r="R123" s="356"/>
      <c r="S123" s="356"/>
      <c r="T123" s="356"/>
      <c r="U123" s="356"/>
      <c r="V123" s="356"/>
      <c r="W123" s="356"/>
      <c r="X123" s="356"/>
      <c r="Y123" s="356"/>
      <c r="Z123" s="356"/>
      <c r="AA123" s="1022" t="s">
        <v>67</v>
      </c>
      <c r="AB123" s="1022"/>
      <c r="AC123" s="354"/>
      <c r="AD123" s="354"/>
      <c r="AE123" s="354"/>
      <c r="AF123" s="354"/>
      <c r="AG123" s="354"/>
      <c r="AH123" s="354"/>
      <c r="AI123" s="354"/>
      <c r="AJ123" s="354"/>
      <c r="AK123" s="354"/>
      <c r="AL123" s="354"/>
      <c r="AM123" s="354"/>
      <c r="AN123" s="354"/>
      <c r="AO123" s="354"/>
      <c r="AP123" s="354"/>
      <c r="AQ123" s="354"/>
      <c r="AR123" s="354"/>
      <c r="AS123" s="354"/>
      <c r="AT123" s="354"/>
      <c r="AU123" s="354"/>
      <c r="AV123" s="354"/>
      <c r="AW123" s="354"/>
      <c r="AX123" s="354"/>
      <c r="AY123" s="354"/>
      <c r="AZ123" s="354"/>
      <c r="BA123" s="354"/>
      <c r="BB123" s="354"/>
      <c r="BC123" s="354"/>
      <c r="BD123" s="354"/>
      <c r="BE123" s="354"/>
      <c r="BF123" s="354"/>
      <c r="BG123" s="354"/>
      <c r="BH123" s="297"/>
      <c r="BI123" s="297"/>
      <c r="BJ123" s="297"/>
      <c r="BK123" s="356"/>
      <c r="BL123" s="356"/>
    </row>
    <row r="124" spans="1:186" ht="15" hidden="1" customHeight="1" x14ac:dyDescent="0.25">
      <c r="B124" s="295"/>
      <c r="C124" s="356"/>
      <c r="D124" s="356"/>
      <c r="E124" s="356"/>
      <c r="F124" s="356"/>
      <c r="G124" s="297"/>
      <c r="H124" s="297"/>
      <c r="I124" s="297"/>
      <c r="J124" s="297"/>
      <c r="K124" s="297"/>
      <c r="L124" s="297"/>
      <c r="M124" s="297"/>
      <c r="N124" s="356"/>
      <c r="O124" s="356"/>
      <c r="P124" s="356"/>
      <c r="Q124" s="356"/>
      <c r="R124" s="356"/>
      <c r="S124" s="356"/>
      <c r="T124" s="356"/>
      <c r="U124" s="356"/>
      <c r="V124" s="356"/>
      <c r="W124" s="356"/>
      <c r="X124" s="356"/>
      <c r="Y124" s="356"/>
      <c r="Z124" s="356"/>
      <c r="AA124" s="1022" t="s">
        <v>68</v>
      </c>
      <c r="AB124" s="1022"/>
      <c r="AC124" s="354"/>
      <c r="AD124" s="354"/>
      <c r="AE124" s="354"/>
      <c r="AF124" s="354"/>
      <c r="AG124" s="354"/>
      <c r="AH124" s="354"/>
      <c r="AI124" s="354"/>
      <c r="AJ124" s="354"/>
      <c r="AK124" s="354"/>
      <c r="AL124" s="354"/>
      <c r="AM124" s="354"/>
      <c r="AN124" s="354"/>
      <c r="AO124" s="354"/>
      <c r="AP124" s="354"/>
      <c r="AQ124" s="354"/>
      <c r="AR124" s="354"/>
      <c r="AS124" s="354"/>
      <c r="AT124" s="354"/>
      <c r="AU124" s="354"/>
      <c r="AV124" s="354"/>
      <c r="AW124" s="354"/>
      <c r="AX124" s="354"/>
      <c r="AY124" s="354"/>
      <c r="AZ124" s="354"/>
      <c r="BA124" s="354"/>
      <c r="BB124" s="354"/>
      <c r="BC124" s="354"/>
      <c r="BD124" s="354"/>
      <c r="BE124" s="354"/>
      <c r="BF124" s="354"/>
      <c r="BG124" s="354"/>
      <c r="BH124" s="297"/>
      <c r="BI124" s="297"/>
      <c r="BJ124" s="297"/>
      <c r="BK124" s="356"/>
      <c r="BL124" s="356"/>
    </row>
    <row r="125" spans="1:186" ht="15" hidden="1" customHeight="1" x14ac:dyDescent="0.25">
      <c r="B125" s="295"/>
      <c r="C125" s="356"/>
      <c r="D125" s="356"/>
      <c r="E125" s="356"/>
      <c r="F125" s="356"/>
      <c r="G125" s="297"/>
      <c r="H125" s="297"/>
      <c r="I125" s="297"/>
      <c r="J125" s="297"/>
      <c r="K125" s="297"/>
      <c r="L125" s="297"/>
      <c r="M125" s="297"/>
      <c r="N125" s="356"/>
      <c r="O125" s="356"/>
      <c r="P125" s="356"/>
      <c r="Q125" s="356"/>
      <c r="R125" s="356"/>
      <c r="S125" s="356"/>
      <c r="T125" s="356"/>
      <c r="U125" s="356"/>
      <c r="V125" s="356"/>
      <c r="W125" s="356"/>
      <c r="X125" s="356"/>
      <c r="Y125" s="356"/>
      <c r="Z125" s="356"/>
      <c r="AA125" s="1022" t="s">
        <v>69</v>
      </c>
      <c r="AB125" s="1022"/>
      <c r="AC125" s="354"/>
      <c r="AD125" s="354"/>
      <c r="AE125" s="354"/>
      <c r="AF125" s="354"/>
      <c r="AG125" s="354"/>
      <c r="AH125" s="354"/>
      <c r="AI125" s="354"/>
      <c r="AJ125" s="354"/>
      <c r="AK125" s="354"/>
      <c r="AL125" s="354"/>
      <c r="AM125" s="354"/>
      <c r="AN125" s="354"/>
      <c r="AO125" s="354"/>
      <c r="AP125" s="354"/>
      <c r="AQ125" s="354"/>
      <c r="AR125" s="354"/>
      <c r="AS125" s="354"/>
      <c r="AT125" s="354"/>
      <c r="AU125" s="354"/>
      <c r="AV125" s="354"/>
      <c r="AW125" s="354"/>
      <c r="AX125" s="354"/>
      <c r="AY125" s="354"/>
      <c r="AZ125" s="354"/>
      <c r="BA125" s="354"/>
      <c r="BB125" s="354"/>
      <c r="BC125" s="354"/>
      <c r="BD125" s="354"/>
      <c r="BE125" s="354"/>
      <c r="BF125" s="354"/>
      <c r="BG125" s="354"/>
      <c r="BH125" s="297"/>
      <c r="BI125" s="297"/>
      <c r="BJ125" s="297"/>
      <c r="BK125" s="356"/>
      <c r="BL125" s="356"/>
    </row>
    <row r="126" spans="1:186" ht="15" hidden="1" customHeight="1" x14ac:dyDescent="0.25">
      <c r="B126" s="295"/>
      <c r="C126" s="356"/>
      <c r="D126" s="356"/>
      <c r="E126" s="356"/>
      <c r="F126" s="356"/>
      <c r="G126" s="297"/>
      <c r="H126" s="297"/>
      <c r="I126" s="297"/>
      <c r="J126" s="297"/>
      <c r="K126" s="297"/>
      <c r="L126" s="297"/>
      <c r="M126" s="297"/>
      <c r="N126" s="356"/>
      <c r="O126" s="356"/>
      <c r="P126" s="356"/>
      <c r="Q126" s="356"/>
      <c r="R126" s="356"/>
      <c r="S126" s="356"/>
      <c r="T126" s="356"/>
      <c r="U126" s="356"/>
      <c r="V126" s="356"/>
      <c r="W126" s="356"/>
      <c r="X126" s="356"/>
      <c r="Y126" s="356"/>
      <c r="Z126" s="356"/>
      <c r="AA126" s="1022" t="s">
        <v>44</v>
      </c>
      <c r="AB126" s="1022"/>
      <c r="AC126" s="354"/>
      <c r="AD126" s="354"/>
      <c r="AE126" s="354"/>
      <c r="AF126" s="354"/>
      <c r="AG126" s="354"/>
      <c r="AH126" s="354"/>
      <c r="AI126" s="354"/>
      <c r="AJ126" s="354"/>
      <c r="AK126" s="354"/>
      <c r="AL126" s="354"/>
      <c r="AM126" s="354"/>
      <c r="AN126" s="354"/>
      <c r="AO126" s="354"/>
      <c r="AP126" s="354"/>
      <c r="AQ126" s="354"/>
      <c r="AR126" s="354"/>
      <c r="AS126" s="354"/>
      <c r="AT126" s="354"/>
      <c r="AU126" s="354"/>
      <c r="AV126" s="354"/>
      <c r="AW126" s="354"/>
      <c r="AX126" s="354"/>
      <c r="AY126" s="354"/>
      <c r="AZ126" s="354"/>
      <c r="BA126" s="354"/>
      <c r="BB126" s="354"/>
      <c r="BC126" s="354"/>
      <c r="BD126" s="354"/>
      <c r="BE126" s="354"/>
      <c r="BF126" s="354"/>
      <c r="BG126" s="354"/>
      <c r="BH126" s="297"/>
      <c r="BI126" s="297"/>
      <c r="BJ126" s="297"/>
      <c r="BK126" s="356"/>
      <c r="BL126" s="356"/>
    </row>
    <row r="127" spans="1:186" ht="18.75" hidden="1" customHeight="1" x14ac:dyDescent="0.3">
      <c r="B127" s="295"/>
      <c r="C127" s="356"/>
      <c r="D127" s="356"/>
      <c r="E127" s="356"/>
      <c r="F127" s="356"/>
      <c r="G127" s="297"/>
      <c r="H127" s="297"/>
      <c r="I127" s="297"/>
      <c r="J127" s="297"/>
      <c r="K127" s="297"/>
      <c r="L127" s="297"/>
      <c r="M127" s="297"/>
      <c r="N127" s="356"/>
      <c r="O127" s="356"/>
      <c r="P127" s="356"/>
      <c r="Q127" s="356"/>
      <c r="R127" s="356"/>
      <c r="S127" s="356"/>
      <c r="T127" s="356"/>
      <c r="U127" s="356"/>
      <c r="V127" s="356"/>
      <c r="W127" s="356"/>
      <c r="X127" s="356"/>
      <c r="Y127" s="356"/>
      <c r="Z127" s="356"/>
      <c r="AA127" s="1024" t="s">
        <v>57</v>
      </c>
      <c r="AB127" s="1024"/>
      <c r="AC127" s="353"/>
      <c r="AD127" s="353"/>
      <c r="AE127" s="353"/>
      <c r="AF127" s="353"/>
      <c r="AG127" s="353"/>
      <c r="AH127" s="353"/>
      <c r="AI127" s="353"/>
      <c r="AJ127" s="353"/>
      <c r="AK127" s="353"/>
      <c r="AL127" s="353"/>
      <c r="AM127" s="353"/>
      <c r="AN127" s="353"/>
      <c r="AO127" s="353"/>
      <c r="AP127" s="353"/>
      <c r="AQ127" s="353"/>
      <c r="AR127" s="353"/>
      <c r="AS127" s="353"/>
      <c r="AT127" s="353"/>
      <c r="AU127" s="353"/>
      <c r="AV127" s="353"/>
      <c r="AW127" s="353"/>
      <c r="AX127" s="353"/>
      <c r="AY127" s="353"/>
      <c r="AZ127" s="353"/>
      <c r="BA127" s="353"/>
      <c r="BB127" s="353"/>
      <c r="BC127" s="353"/>
      <c r="BD127" s="353"/>
      <c r="BE127" s="353"/>
      <c r="BF127" s="353"/>
      <c r="BG127" s="353"/>
      <c r="BH127" s="297"/>
      <c r="BI127" s="297"/>
      <c r="BJ127" s="297"/>
      <c r="BK127" s="356"/>
      <c r="BL127" s="356"/>
    </row>
    <row r="128" spans="1:186" ht="15" hidden="1" customHeight="1" x14ac:dyDescent="0.25">
      <c r="B128" s="295"/>
      <c r="C128" s="356"/>
      <c r="D128" s="356"/>
      <c r="E128" s="356"/>
      <c r="F128" s="356"/>
      <c r="G128" s="297"/>
      <c r="H128" s="297"/>
      <c r="I128" s="297"/>
      <c r="J128" s="297"/>
      <c r="K128" s="297"/>
      <c r="L128" s="297"/>
      <c r="M128" s="297"/>
      <c r="N128" s="356"/>
      <c r="O128" s="356"/>
      <c r="P128" s="356"/>
      <c r="Q128" s="356"/>
      <c r="R128" s="356"/>
      <c r="S128" s="356"/>
      <c r="T128" s="356"/>
      <c r="U128" s="356"/>
      <c r="V128" s="356"/>
      <c r="W128" s="356"/>
      <c r="X128" s="356"/>
      <c r="Y128" s="356"/>
      <c r="Z128" s="356"/>
      <c r="AA128" s="1022" t="s">
        <v>70</v>
      </c>
      <c r="AB128" s="1022"/>
      <c r="AC128" s="354"/>
      <c r="AD128" s="354"/>
      <c r="AE128" s="354"/>
      <c r="AF128" s="354"/>
      <c r="AG128" s="354"/>
      <c r="AH128" s="354"/>
      <c r="AI128" s="354"/>
      <c r="AJ128" s="354"/>
      <c r="AK128" s="354"/>
      <c r="AL128" s="354"/>
      <c r="AM128" s="354"/>
      <c r="AN128" s="354"/>
      <c r="AO128" s="354"/>
      <c r="AP128" s="354"/>
      <c r="AQ128" s="354"/>
      <c r="AR128" s="354"/>
      <c r="AS128" s="354"/>
      <c r="AT128" s="354"/>
      <c r="AU128" s="354"/>
      <c r="AV128" s="354"/>
      <c r="AW128" s="354"/>
      <c r="AX128" s="354"/>
      <c r="AY128" s="354"/>
      <c r="AZ128" s="354"/>
      <c r="BA128" s="354"/>
      <c r="BB128" s="354"/>
      <c r="BC128" s="354"/>
      <c r="BD128" s="354"/>
      <c r="BE128" s="354"/>
      <c r="BF128" s="354"/>
      <c r="BG128" s="354"/>
      <c r="BH128" s="297"/>
      <c r="BI128" s="297"/>
      <c r="BJ128" s="297"/>
      <c r="BK128" s="356"/>
      <c r="BL128" s="356"/>
    </row>
    <row r="129" spans="2:64" ht="15" hidden="1" customHeight="1" x14ac:dyDescent="0.25">
      <c r="B129" s="295"/>
      <c r="C129" s="356"/>
      <c r="D129" s="356"/>
      <c r="E129" s="356"/>
      <c r="F129" s="356"/>
      <c r="G129" s="297"/>
      <c r="H129" s="297"/>
      <c r="I129" s="297"/>
      <c r="J129" s="297"/>
      <c r="K129" s="297"/>
      <c r="L129" s="297"/>
      <c r="M129" s="297"/>
      <c r="N129" s="356"/>
      <c r="O129" s="356"/>
      <c r="P129" s="356"/>
      <c r="Q129" s="356"/>
      <c r="R129" s="356"/>
      <c r="S129" s="356"/>
      <c r="T129" s="356"/>
      <c r="U129" s="356"/>
      <c r="V129" s="356"/>
      <c r="W129" s="356"/>
      <c r="X129" s="356"/>
      <c r="Y129" s="356"/>
      <c r="Z129" s="356"/>
      <c r="AA129" s="1022" t="s">
        <v>71</v>
      </c>
      <c r="AB129" s="1022"/>
      <c r="AC129" s="354"/>
      <c r="AD129" s="354"/>
      <c r="AE129" s="354"/>
      <c r="AF129" s="354"/>
      <c r="AG129" s="354"/>
      <c r="AH129" s="354"/>
      <c r="AI129" s="354"/>
      <c r="AJ129" s="354"/>
      <c r="AK129" s="354"/>
      <c r="AL129" s="354"/>
      <c r="AM129" s="354"/>
      <c r="AN129" s="354"/>
      <c r="AO129" s="354"/>
      <c r="AP129" s="354"/>
      <c r="AQ129" s="354"/>
      <c r="AR129" s="354"/>
      <c r="AS129" s="354"/>
      <c r="AT129" s="354"/>
      <c r="AU129" s="354"/>
      <c r="AV129" s="354"/>
      <c r="AW129" s="354"/>
      <c r="AX129" s="354"/>
      <c r="AY129" s="354"/>
      <c r="AZ129" s="354"/>
      <c r="BA129" s="354"/>
      <c r="BB129" s="354"/>
      <c r="BC129" s="354"/>
      <c r="BD129" s="354"/>
      <c r="BE129" s="354"/>
      <c r="BF129" s="354"/>
      <c r="BG129" s="354"/>
      <c r="BH129" s="297"/>
      <c r="BI129" s="297"/>
      <c r="BJ129" s="297"/>
      <c r="BK129" s="356"/>
      <c r="BL129" s="356"/>
    </row>
    <row r="130" spans="2:64" ht="15" hidden="1" customHeight="1" x14ac:dyDescent="0.25">
      <c r="B130" s="295"/>
      <c r="C130" s="356"/>
      <c r="D130" s="356"/>
      <c r="E130" s="356"/>
      <c r="F130" s="356"/>
      <c r="G130" s="297"/>
      <c r="H130" s="297"/>
      <c r="I130" s="297"/>
      <c r="J130" s="297"/>
      <c r="K130" s="297"/>
      <c r="L130" s="297"/>
      <c r="M130" s="297"/>
      <c r="N130" s="356"/>
      <c r="O130" s="356"/>
      <c r="P130" s="356"/>
      <c r="Q130" s="356"/>
      <c r="R130" s="356"/>
      <c r="S130" s="356"/>
      <c r="T130" s="356"/>
      <c r="U130" s="356"/>
      <c r="V130" s="356"/>
      <c r="W130" s="356"/>
      <c r="X130" s="356"/>
      <c r="Y130" s="356"/>
      <c r="Z130" s="356"/>
      <c r="AA130" s="1022" t="s">
        <v>72</v>
      </c>
      <c r="AB130" s="1022"/>
      <c r="AC130" s="354"/>
      <c r="AD130" s="354"/>
      <c r="AE130" s="354"/>
      <c r="AF130" s="354"/>
      <c r="AG130" s="354"/>
      <c r="AH130" s="354"/>
      <c r="AI130" s="354"/>
      <c r="AJ130" s="354"/>
      <c r="AK130" s="354"/>
      <c r="AL130" s="354"/>
      <c r="AM130" s="354"/>
      <c r="AN130" s="354"/>
      <c r="AO130" s="354"/>
      <c r="AP130" s="354"/>
      <c r="AQ130" s="354"/>
      <c r="AR130" s="354"/>
      <c r="AS130" s="354"/>
      <c r="AT130" s="354"/>
      <c r="AU130" s="354"/>
      <c r="AV130" s="354"/>
      <c r="AW130" s="354"/>
      <c r="AX130" s="354"/>
      <c r="AY130" s="354"/>
      <c r="AZ130" s="354"/>
      <c r="BA130" s="354"/>
      <c r="BB130" s="354"/>
      <c r="BC130" s="354"/>
      <c r="BD130" s="354"/>
      <c r="BE130" s="354"/>
      <c r="BF130" s="354"/>
      <c r="BG130" s="354"/>
      <c r="BH130" s="297"/>
      <c r="BI130" s="297"/>
      <c r="BJ130" s="297"/>
      <c r="BK130" s="356"/>
      <c r="BL130" s="356"/>
    </row>
    <row r="131" spans="2:64" ht="15" hidden="1" customHeight="1" x14ac:dyDescent="0.25">
      <c r="B131" s="295"/>
      <c r="C131" s="356"/>
      <c r="D131" s="356"/>
      <c r="E131" s="356"/>
      <c r="F131" s="356"/>
      <c r="G131" s="297"/>
      <c r="H131" s="297"/>
      <c r="I131" s="297"/>
      <c r="J131" s="297"/>
      <c r="K131" s="297"/>
      <c r="L131" s="297"/>
      <c r="M131" s="297"/>
      <c r="N131" s="356"/>
      <c r="O131" s="356"/>
      <c r="P131" s="356"/>
      <c r="Q131" s="356"/>
      <c r="R131" s="356"/>
      <c r="S131" s="356"/>
      <c r="T131" s="356"/>
      <c r="U131" s="356"/>
      <c r="V131" s="356"/>
      <c r="W131" s="356"/>
      <c r="X131" s="356"/>
      <c r="Y131" s="356"/>
      <c r="Z131" s="356"/>
      <c r="AA131" s="1022" t="s">
        <v>73</v>
      </c>
      <c r="AB131" s="1022"/>
      <c r="AC131" s="354"/>
      <c r="AD131" s="354"/>
      <c r="AE131" s="354"/>
      <c r="AF131" s="354"/>
      <c r="AG131" s="354"/>
      <c r="AH131" s="354"/>
      <c r="AI131" s="354"/>
      <c r="AJ131" s="354"/>
      <c r="AK131" s="354"/>
      <c r="AL131" s="354"/>
      <c r="AM131" s="354"/>
      <c r="AN131" s="354"/>
      <c r="AO131" s="354"/>
      <c r="AP131" s="354"/>
      <c r="AQ131" s="354"/>
      <c r="AR131" s="354"/>
      <c r="AS131" s="354"/>
      <c r="AT131" s="354"/>
      <c r="AU131" s="354"/>
      <c r="AV131" s="354"/>
      <c r="AW131" s="354"/>
      <c r="AX131" s="354"/>
      <c r="AY131" s="354"/>
      <c r="AZ131" s="354"/>
      <c r="BA131" s="354"/>
      <c r="BB131" s="354"/>
      <c r="BC131" s="354"/>
      <c r="BD131" s="354"/>
      <c r="BE131" s="354"/>
      <c r="BF131" s="354"/>
      <c r="BG131" s="354"/>
      <c r="BH131" s="297"/>
      <c r="BI131" s="297"/>
      <c r="BJ131" s="297"/>
      <c r="BK131" s="356"/>
      <c r="BL131" s="356"/>
    </row>
    <row r="132" spans="2:64" ht="18.75" hidden="1" customHeight="1" x14ac:dyDescent="0.3">
      <c r="B132" s="295"/>
      <c r="C132" s="356"/>
      <c r="D132" s="356"/>
      <c r="E132" s="356"/>
      <c r="F132" s="356"/>
      <c r="G132" s="297"/>
      <c r="H132" s="297"/>
      <c r="I132" s="297"/>
      <c r="J132" s="297"/>
      <c r="K132" s="297"/>
      <c r="L132" s="297"/>
      <c r="M132" s="297"/>
      <c r="N132" s="356"/>
      <c r="O132" s="356"/>
      <c r="P132" s="356"/>
      <c r="Q132" s="356"/>
      <c r="R132" s="356"/>
      <c r="S132" s="356"/>
      <c r="T132" s="356"/>
      <c r="U132" s="356"/>
      <c r="V132" s="356"/>
      <c r="W132" s="356"/>
      <c r="X132" s="356"/>
      <c r="Y132" s="356"/>
      <c r="Z132" s="356"/>
      <c r="AA132" s="1024" t="s">
        <v>57</v>
      </c>
      <c r="AB132" s="1024"/>
      <c r="AC132" s="353"/>
      <c r="AD132" s="353"/>
      <c r="AE132" s="353"/>
      <c r="AF132" s="353"/>
      <c r="AG132" s="353"/>
      <c r="AH132" s="353"/>
      <c r="AI132" s="353"/>
      <c r="AJ132" s="353"/>
      <c r="AK132" s="353"/>
      <c r="AL132" s="353"/>
      <c r="AM132" s="353"/>
      <c r="AN132" s="353"/>
      <c r="AO132" s="353"/>
      <c r="AP132" s="353"/>
      <c r="AQ132" s="353"/>
      <c r="AR132" s="353"/>
      <c r="AS132" s="353"/>
      <c r="AT132" s="353"/>
      <c r="AU132" s="353"/>
      <c r="AV132" s="353"/>
      <c r="AW132" s="353"/>
      <c r="AX132" s="353"/>
      <c r="AY132" s="353"/>
      <c r="AZ132" s="353"/>
      <c r="BA132" s="353"/>
      <c r="BB132" s="353"/>
      <c r="BC132" s="353"/>
      <c r="BD132" s="353"/>
      <c r="BE132" s="353"/>
      <c r="BF132" s="353"/>
      <c r="BG132" s="353"/>
      <c r="BH132" s="297"/>
      <c r="BI132" s="297"/>
      <c r="BJ132" s="297"/>
      <c r="BK132" s="356"/>
      <c r="BL132" s="356"/>
    </row>
    <row r="133" spans="2:64" ht="13.8" hidden="1" customHeight="1" x14ac:dyDescent="0.25">
      <c r="G133" s="79"/>
      <c r="H133" s="79"/>
      <c r="I133" s="79"/>
      <c r="J133" s="79"/>
      <c r="K133" s="79"/>
      <c r="L133" s="79"/>
      <c r="M133" s="79"/>
      <c r="BH133" s="79"/>
      <c r="BI133" s="79"/>
      <c r="BJ133" s="79"/>
    </row>
    <row r="134" spans="2:64" ht="13.8" hidden="1" customHeight="1" x14ac:dyDescent="0.25">
      <c r="G134" s="79"/>
      <c r="H134" s="79"/>
      <c r="I134" s="79"/>
      <c r="J134" s="79"/>
      <c r="K134" s="79"/>
      <c r="L134" s="79"/>
      <c r="M134" s="79"/>
    </row>
    <row r="135" spans="2:64" ht="13.8" hidden="1" customHeight="1" x14ac:dyDescent="0.25"/>
    <row r="136" spans="2:64" hidden="1" x14ac:dyDescent="0.25"/>
    <row r="137" spans="2:64" hidden="1" x14ac:dyDescent="0.25"/>
    <row r="138" spans="2:64" hidden="1" x14ac:dyDescent="0.25"/>
    <row r="139" spans="2:64" hidden="1" x14ac:dyDescent="0.25"/>
    <row r="140" spans="2:64" hidden="1" x14ac:dyDescent="0.25"/>
  </sheetData>
  <sheetProtection algorithmName="SHA-512" hashValue="XGE0SmBDqXoVKXKj+Wy9SOP07gsaP1J4NM61BnjtZVBRHOjhunnSXpRrnqLaZ8xTENBPoITyrLlysLxWzoPtGA==" saltValue="ldiNw01FoSTZIaDULJjLgA==" spinCount="100000" sheet="1" objects="1" scenarios="1" formatColumns="0" formatRows="0" selectLockedCells="1"/>
  <mergeCells count="438">
    <mergeCell ref="FV62:FW62"/>
    <mergeCell ref="FV63:FW63"/>
    <mergeCell ref="FV57:FW57"/>
    <mergeCell ref="FX57:FZ57"/>
    <mergeCell ref="FX58:FZ58"/>
    <mergeCell ref="FX59:FZ59"/>
    <mergeCell ref="FX60:FZ60"/>
    <mergeCell ref="FX61:FZ61"/>
    <mergeCell ref="FX62:FZ62"/>
    <mergeCell ref="FX63:FZ63"/>
    <mergeCell ref="FV58:FW58"/>
    <mergeCell ref="FV59:FW59"/>
    <mergeCell ref="FV60:FW60"/>
    <mergeCell ref="FV61:FW61"/>
    <mergeCell ref="L70:W70"/>
    <mergeCell ref="AH70:AS70"/>
    <mergeCell ref="BC70:BN70"/>
    <mergeCell ref="BX70:CI70"/>
    <mergeCell ref="CS70:DD70"/>
    <mergeCell ref="AA119:AB119"/>
    <mergeCell ref="AA118:AB118"/>
    <mergeCell ref="AA117:AB117"/>
    <mergeCell ref="AA116:AB116"/>
    <mergeCell ref="AA115:AB115"/>
    <mergeCell ref="AT74:AW74"/>
    <mergeCell ref="AX74:AY74"/>
    <mergeCell ref="AT75:AW75"/>
    <mergeCell ref="AX75:AY75"/>
    <mergeCell ref="AT76:AY76"/>
    <mergeCell ref="AT77:AW77"/>
    <mergeCell ref="AX77:AY77"/>
    <mergeCell ref="AT78:AW78"/>
    <mergeCell ref="AX78:AY78"/>
    <mergeCell ref="AT79:AW79"/>
    <mergeCell ref="AX79:AY79"/>
    <mergeCell ref="AT80:AW80"/>
    <mergeCell ref="AX80:AY80"/>
    <mergeCell ref="AT81:AW81"/>
    <mergeCell ref="AA123:AB123"/>
    <mergeCell ref="AA122:AB122"/>
    <mergeCell ref="AA121:AB121"/>
    <mergeCell ref="AA120:AB120"/>
    <mergeCell ref="AA114:AB114"/>
    <mergeCell ref="DE70:DH70"/>
    <mergeCell ref="DI70:DJ70"/>
    <mergeCell ref="AA132:AB132"/>
    <mergeCell ref="AA131:AB131"/>
    <mergeCell ref="AA130:AB130"/>
    <mergeCell ref="AA129:AB129"/>
    <mergeCell ref="AA128:AB128"/>
    <mergeCell ref="AA127:AB127"/>
    <mergeCell ref="AA126:AB126"/>
    <mergeCell ref="AA125:AB125"/>
    <mergeCell ref="AA124:AB124"/>
    <mergeCell ref="CJ70:CM70"/>
    <mergeCell ref="CN70:CO70"/>
    <mergeCell ref="AT70:AW70"/>
    <mergeCell ref="AX70:AY70"/>
    <mergeCell ref="BO70:BR70"/>
    <mergeCell ref="BS70:BT70"/>
    <mergeCell ref="AT73:AW73"/>
    <mergeCell ref="AX73:AY73"/>
    <mergeCell ref="X69:AA69"/>
    <mergeCell ref="AB69:AC69"/>
    <mergeCell ref="X70:AA70"/>
    <mergeCell ref="AB70:AC70"/>
    <mergeCell ref="X66:AA66"/>
    <mergeCell ref="AB66:AC66"/>
    <mergeCell ref="AB63:AC63"/>
    <mergeCell ref="X64:AA64"/>
    <mergeCell ref="X63:AA63"/>
    <mergeCell ref="X67:AA67"/>
    <mergeCell ref="AB67:AC67"/>
    <mergeCell ref="X68:AA68"/>
    <mergeCell ref="AB68:AC68"/>
    <mergeCell ref="AB64:AC64"/>
    <mergeCell ref="X65:AA65"/>
    <mergeCell ref="AB65:AC65"/>
    <mergeCell ref="BC3:BW3"/>
    <mergeCell ref="X54:AA54"/>
    <mergeCell ref="AB54:AC54"/>
    <mergeCell ref="X55:AA55"/>
    <mergeCell ref="AB55:AC55"/>
    <mergeCell ref="X56:AC56"/>
    <mergeCell ref="X57:AA57"/>
    <mergeCell ref="AB57:AC57"/>
    <mergeCell ref="AC4:AF4"/>
    <mergeCell ref="AY4:BB4"/>
    <mergeCell ref="AT54:AW54"/>
    <mergeCell ref="AX54:AY54"/>
    <mergeCell ref="AT55:AW55"/>
    <mergeCell ref="AX55:AY55"/>
    <mergeCell ref="AT56:AY56"/>
    <mergeCell ref="AN52:AR52"/>
    <mergeCell ref="AT52:AW52"/>
    <mergeCell ref="AX52:AY52"/>
    <mergeCell ref="AT53:AW53"/>
    <mergeCell ref="AX53:AY53"/>
    <mergeCell ref="AI52:AM52"/>
    <mergeCell ref="BT4:BW4"/>
    <mergeCell ref="BC4:BS4"/>
    <mergeCell ref="AG4:AX4"/>
    <mergeCell ref="D4:K4"/>
    <mergeCell ref="B3:K3"/>
    <mergeCell ref="I5:K5"/>
    <mergeCell ref="B5:H5"/>
    <mergeCell ref="L4:AB4"/>
    <mergeCell ref="M52:Q52"/>
    <mergeCell ref="R52:V52"/>
    <mergeCell ref="X52:AA52"/>
    <mergeCell ref="AB52:AC52"/>
    <mergeCell ref="L3:AF3"/>
    <mergeCell ref="BX3:CR3"/>
    <mergeCell ref="CS3:DM3"/>
    <mergeCell ref="FH6:FI6"/>
    <mergeCell ref="EJ3:GC3"/>
    <mergeCell ref="EJ4:GC4"/>
    <mergeCell ref="BX4:CN4"/>
    <mergeCell ref="CS4:DI4"/>
    <mergeCell ref="DT4:DV4"/>
    <mergeCell ref="EJ6:EO6"/>
    <mergeCell ref="EP6:EU6"/>
    <mergeCell ref="DX3:EC4"/>
    <mergeCell ref="ED3:EI4"/>
    <mergeCell ref="CO4:CR4"/>
    <mergeCell ref="DJ4:DM4"/>
    <mergeCell ref="AX61:AY61"/>
    <mergeCell ref="AT62:AW62"/>
    <mergeCell ref="AX62:AY62"/>
    <mergeCell ref="AT57:AW57"/>
    <mergeCell ref="AX57:AY57"/>
    <mergeCell ref="AT58:AW58"/>
    <mergeCell ref="X53:AA53"/>
    <mergeCell ref="AB53:AC53"/>
    <mergeCell ref="X58:AA58"/>
    <mergeCell ref="AX58:AY58"/>
    <mergeCell ref="AT59:AW59"/>
    <mergeCell ref="AX59:AY59"/>
    <mergeCell ref="AB58:AC58"/>
    <mergeCell ref="X59:AA59"/>
    <mergeCell ref="AB59:AC59"/>
    <mergeCell ref="X60:AA60"/>
    <mergeCell ref="AB60:AC60"/>
    <mergeCell ref="X61:AA61"/>
    <mergeCell ref="AB61:AC61"/>
    <mergeCell ref="X62:AA62"/>
    <mergeCell ref="AB62:AC62"/>
    <mergeCell ref="CY52:DC52"/>
    <mergeCell ref="DE52:DH52"/>
    <mergeCell ref="DI52:DJ52"/>
    <mergeCell ref="DE53:DH53"/>
    <mergeCell ref="DI53:DJ53"/>
    <mergeCell ref="BI52:BM52"/>
    <mergeCell ref="BO52:BR52"/>
    <mergeCell ref="BO53:BR53"/>
    <mergeCell ref="BD52:BH52"/>
    <mergeCell ref="AT66:AW66"/>
    <mergeCell ref="AX66:AY66"/>
    <mergeCell ref="AT67:AW67"/>
    <mergeCell ref="AX67:AY67"/>
    <mergeCell ref="AT68:AW68"/>
    <mergeCell ref="AX68:AY68"/>
    <mergeCell ref="AT64:AW64"/>
    <mergeCell ref="AX64:AY64"/>
    <mergeCell ref="AT65:AW65"/>
    <mergeCell ref="AX65:AY65"/>
    <mergeCell ref="BS66:BT66"/>
    <mergeCell ref="BO67:BR67"/>
    <mergeCell ref="BS67:BT67"/>
    <mergeCell ref="BO68:BR68"/>
    <mergeCell ref="BS68:BT68"/>
    <mergeCell ref="BO63:BR63"/>
    <mergeCell ref="BS63:BT63"/>
    <mergeCell ref="BO64:BR64"/>
    <mergeCell ref="BS64:BT64"/>
    <mergeCell ref="BO65:BR65"/>
    <mergeCell ref="BS65:BT65"/>
    <mergeCell ref="CJ55:CM55"/>
    <mergeCell ref="CN55:CO55"/>
    <mergeCell ref="CJ56:CO56"/>
    <mergeCell ref="AT63:AW63"/>
    <mergeCell ref="AX63:AY63"/>
    <mergeCell ref="BO56:BT56"/>
    <mergeCell ref="BO69:BR69"/>
    <mergeCell ref="BS69:BT69"/>
    <mergeCell ref="BO60:BR60"/>
    <mergeCell ref="BS60:BT60"/>
    <mergeCell ref="BO61:BR61"/>
    <mergeCell ref="BS57:BT57"/>
    <mergeCell ref="BO58:BR58"/>
    <mergeCell ref="AT69:AW69"/>
    <mergeCell ref="AX69:AY69"/>
    <mergeCell ref="AT60:AW60"/>
    <mergeCell ref="AX60:AY60"/>
    <mergeCell ref="BS59:BT59"/>
    <mergeCell ref="BS61:BT61"/>
    <mergeCell ref="BO62:BR62"/>
    <mergeCell ref="BS62:BT62"/>
    <mergeCell ref="BO57:BR57"/>
    <mergeCell ref="AT61:AW61"/>
    <mergeCell ref="BO66:BR66"/>
    <mergeCell ref="CJ62:CM62"/>
    <mergeCell ref="CN62:CO62"/>
    <mergeCell ref="CJ57:CM57"/>
    <mergeCell ref="BS58:BT58"/>
    <mergeCell ref="BO59:BR59"/>
    <mergeCell ref="CD52:CH52"/>
    <mergeCell ref="CJ52:CM52"/>
    <mergeCell ref="CN52:CO52"/>
    <mergeCell ref="CJ53:CM53"/>
    <mergeCell ref="CN53:CO53"/>
    <mergeCell ref="BO54:BR54"/>
    <mergeCell ref="BS54:BT54"/>
    <mergeCell ref="BO55:BR55"/>
    <mergeCell ref="BS55:BT55"/>
    <mergeCell ref="BS52:BT52"/>
    <mergeCell ref="BS53:BT53"/>
    <mergeCell ref="BY52:CC52"/>
    <mergeCell ref="CN57:CO57"/>
    <mergeCell ref="CJ58:CM58"/>
    <mergeCell ref="CN58:CO58"/>
    <mergeCell ref="CJ59:CM59"/>
    <mergeCell ref="CN59:CO59"/>
    <mergeCell ref="CJ54:CM54"/>
    <mergeCell ref="CN54:CO54"/>
    <mergeCell ref="CJ69:CM69"/>
    <mergeCell ref="CN69:CO69"/>
    <mergeCell ref="DE69:DH69"/>
    <mergeCell ref="DI69:DJ69"/>
    <mergeCell ref="DE67:DH67"/>
    <mergeCell ref="DI67:DJ67"/>
    <mergeCell ref="DE68:DH68"/>
    <mergeCell ref="CT52:CX52"/>
    <mergeCell ref="CJ66:CM66"/>
    <mergeCell ref="CN66:CO66"/>
    <mergeCell ref="CJ67:CM67"/>
    <mergeCell ref="CN67:CO67"/>
    <mergeCell ref="CJ68:CM68"/>
    <mergeCell ref="CN68:CO68"/>
    <mergeCell ref="CJ63:CM63"/>
    <mergeCell ref="CN63:CO63"/>
    <mergeCell ref="CJ64:CM64"/>
    <mergeCell ref="CN64:CO64"/>
    <mergeCell ref="CJ65:CM65"/>
    <mergeCell ref="CN65:CO65"/>
    <mergeCell ref="CJ60:CM60"/>
    <mergeCell ref="CN60:CO60"/>
    <mergeCell ref="CJ61:CM61"/>
    <mergeCell ref="CN61:CO61"/>
    <mergeCell ref="DI68:DJ68"/>
    <mergeCell ref="DE63:DH63"/>
    <mergeCell ref="DI63:DJ63"/>
    <mergeCell ref="DE64:DH64"/>
    <mergeCell ref="DI64:DJ64"/>
    <mergeCell ref="DE65:DH65"/>
    <mergeCell ref="DI65:DJ65"/>
    <mergeCell ref="DE61:DH61"/>
    <mergeCell ref="DI61:DJ61"/>
    <mergeCell ref="DE62:DH62"/>
    <mergeCell ref="DI62:DJ62"/>
    <mergeCell ref="DE66:DH66"/>
    <mergeCell ref="DI66:DJ66"/>
    <mergeCell ref="FJ60:FL63"/>
    <mergeCell ref="FN60:FU60"/>
    <mergeCell ref="FN61:FU61"/>
    <mergeCell ref="FN62:FU62"/>
    <mergeCell ref="FN63:FU63"/>
    <mergeCell ref="DE54:DH54"/>
    <mergeCell ref="DI54:DJ54"/>
    <mergeCell ref="DE55:DH55"/>
    <mergeCell ref="DI55:DJ55"/>
    <mergeCell ref="DE56:DJ56"/>
    <mergeCell ref="DE60:DH60"/>
    <mergeCell ref="DI60:DJ60"/>
    <mergeCell ref="DE57:DH57"/>
    <mergeCell ref="DI57:DJ57"/>
    <mergeCell ref="DE58:DH58"/>
    <mergeCell ref="DI58:DJ58"/>
    <mergeCell ref="AN72:AR72"/>
    <mergeCell ref="AT72:AW72"/>
    <mergeCell ref="AX72:AY72"/>
    <mergeCell ref="DT70:DU70"/>
    <mergeCell ref="FV54:GC56"/>
    <mergeCell ref="FM52:FZ53"/>
    <mergeCell ref="FV64:GC70"/>
    <mergeCell ref="FJ64:FL70"/>
    <mergeCell ref="FN70:FQ70"/>
    <mergeCell ref="FR70:FU70"/>
    <mergeCell ref="FN69:FQ69"/>
    <mergeCell ref="FR69:FU69"/>
    <mergeCell ref="FM64:FM68"/>
    <mergeCell ref="FN64:FQ68"/>
    <mergeCell ref="FR64:FU68"/>
    <mergeCell ref="DE59:DH59"/>
    <mergeCell ref="DI59:DJ59"/>
    <mergeCell ref="FJ52:FL55"/>
    <mergeCell ref="FM54:FM63"/>
    <mergeCell ref="FN54:FU56"/>
    <mergeCell ref="FJ56:FL59"/>
    <mergeCell ref="FN57:FU57"/>
    <mergeCell ref="FN58:FU58"/>
    <mergeCell ref="FN59:FU59"/>
    <mergeCell ref="AX81:AY81"/>
    <mergeCell ref="AT82:AW82"/>
    <mergeCell ref="AX82:AY82"/>
    <mergeCell ref="AT83:AW83"/>
    <mergeCell ref="AX83:AY83"/>
    <mergeCell ref="AT84:AW84"/>
    <mergeCell ref="AX84:AY84"/>
    <mergeCell ref="AT85:AW85"/>
    <mergeCell ref="AX85:AY85"/>
    <mergeCell ref="AT86:AW86"/>
    <mergeCell ref="AX86:AY86"/>
    <mergeCell ref="AT87:AW87"/>
    <mergeCell ref="AX87:AY87"/>
    <mergeCell ref="AT88:AW88"/>
    <mergeCell ref="AX88:AY88"/>
    <mergeCell ref="AT89:AW89"/>
    <mergeCell ref="AX89:AY89"/>
    <mergeCell ref="AH90:AS90"/>
    <mergeCell ref="AT90:AW90"/>
    <mergeCell ref="AX90:AY90"/>
    <mergeCell ref="AG3:BB3"/>
    <mergeCell ref="AI63:AM63"/>
    <mergeCell ref="AN63:AR63"/>
    <mergeCell ref="DO3:DV3"/>
    <mergeCell ref="DO4:DS4"/>
    <mergeCell ref="DP72:DS72"/>
    <mergeCell ref="DT72:DU72"/>
    <mergeCell ref="DP73:DS73"/>
    <mergeCell ref="DT73:DU73"/>
    <mergeCell ref="DT63:DU63"/>
    <mergeCell ref="DP64:DS64"/>
    <mergeCell ref="DT64:DU64"/>
    <mergeCell ref="DP65:DS65"/>
    <mergeCell ref="DT65:DU65"/>
    <mergeCell ref="DP66:DS66"/>
    <mergeCell ref="DT66:DU66"/>
    <mergeCell ref="DP67:DS67"/>
    <mergeCell ref="DT67:DU67"/>
    <mergeCell ref="DP68:DS68"/>
    <mergeCell ref="DT68:DU68"/>
    <mergeCell ref="DP69:DS69"/>
    <mergeCell ref="DT69:DU69"/>
    <mergeCell ref="DP70:DS70"/>
    <mergeCell ref="AI72:AM72"/>
    <mergeCell ref="DP74:DS74"/>
    <mergeCell ref="DT74:DU74"/>
    <mergeCell ref="DP75:DS75"/>
    <mergeCell ref="DT75:DU75"/>
    <mergeCell ref="DP76:DU76"/>
    <mergeCell ref="DP77:DS77"/>
    <mergeCell ref="DT77:DU77"/>
    <mergeCell ref="DP78:DS78"/>
    <mergeCell ref="DT78:DU78"/>
    <mergeCell ref="DP79:DS79"/>
    <mergeCell ref="DT79:DU79"/>
    <mergeCell ref="DP80:DS80"/>
    <mergeCell ref="DT80:DU80"/>
    <mergeCell ref="DP81:DS81"/>
    <mergeCell ref="DT81:DU81"/>
    <mergeCell ref="DP82:DS82"/>
    <mergeCell ref="DT82:DU82"/>
    <mergeCell ref="DP83:DS83"/>
    <mergeCell ref="DT83:DU83"/>
    <mergeCell ref="DP84:DS84"/>
    <mergeCell ref="DT84:DU84"/>
    <mergeCell ref="DP85:DS85"/>
    <mergeCell ref="DT85:DU85"/>
    <mergeCell ref="DP86:DS86"/>
    <mergeCell ref="DT86:DU86"/>
    <mergeCell ref="DP87:DS87"/>
    <mergeCell ref="DT87:DU87"/>
    <mergeCell ref="DP88:DS88"/>
    <mergeCell ref="DT88:DU88"/>
    <mergeCell ref="DP89:DS89"/>
    <mergeCell ref="DT89:DU89"/>
    <mergeCell ref="DP90:DS90"/>
    <mergeCell ref="DT90:DU90"/>
    <mergeCell ref="DP92:DS92"/>
    <mergeCell ref="DT92:DU92"/>
    <mergeCell ref="DP93:DS93"/>
    <mergeCell ref="DT93:DU93"/>
    <mergeCell ref="DP94:DS94"/>
    <mergeCell ref="DT94:DU94"/>
    <mergeCell ref="DP95:DS95"/>
    <mergeCell ref="DT95:DU95"/>
    <mergeCell ref="DP96:DU96"/>
    <mergeCell ref="DP97:DS97"/>
    <mergeCell ref="DT97:DU97"/>
    <mergeCell ref="DP98:DS98"/>
    <mergeCell ref="DT98:DU98"/>
    <mergeCell ref="DP99:DS99"/>
    <mergeCell ref="DT99:DU99"/>
    <mergeCell ref="DP100:DS100"/>
    <mergeCell ref="DT100:DU100"/>
    <mergeCell ref="DP101:DS101"/>
    <mergeCell ref="DT101:DU101"/>
    <mergeCell ref="DP102:DS102"/>
    <mergeCell ref="DT102:DU102"/>
    <mergeCell ref="DP103:DS103"/>
    <mergeCell ref="DT103:DU103"/>
    <mergeCell ref="DP104:DS104"/>
    <mergeCell ref="DT104:DU104"/>
    <mergeCell ref="DP105:DS105"/>
    <mergeCell ref="DT105:DU105"/>
    <mergeCell ref="DP106:DS106"/>
    <mergeCell ref="DT106:DU106"/>
    <mergeCell ref="DP107:DS107"/>
    <mergeCell ref="DT107:DU107"/>
    <mergeCell ref="DP108:DS108"/>
    <mergeCell ref="DT108:DU108"/>
    <mergeCell ref="DP109:DS109"/>
    <mergeCell ref="DT109:DU109"/>
    <mergeCell ref="DP110:DS110"/>
    <mergeCell ref="DT110:DU110"/>
    <mergeCell ref="DP52:DS52"/>
    <mergeCell ref="DT52:DU52"/>
    <mergeCell ref="DP53:DS53"/>
    <mergeCell ref="DT53:DU53"/>
    <mergeCell ref="DP54:DS54"/>
    <mergeCell ref="DT54:DU54"/>
    <mergeCell ref="DP55:DS55"/>
    <mergeCell ref="DT55:DU55"/>
    <mergeCell ref="DP56:DU56"/>
    <mergeCell ref="DP57:DS57"/>
    <mergeCell ref="DT57:DU57"/>
    <mergeCell ref="DP58:DS58"/>
    <mergeCell ref="DT58:DU58"/>
    <mergeCell ref="DP59:DS59"/>
    <mergeCell ref="DT59:DU59"/>
    <mergeCell ref="DP60:DS60"/>
    <mergeCell ref="DT60:DU60"/>
    <mergeCell ref="DP61:DS61"/>
    <mergeCell ref="DT61:DU61"/>
    <mergeCell ref="DP62:DS62"/>
    <mergeCell ref="DT62:DU62"/>
    <mergeCell ref="DP63:DS63"/>
  </mergeCells>
  <hyperlinks>
    <hyperlink ref="A2" location="DASHBOARD!A1" display="D"/>
  </hyperlinks>
  <pageMargins left="0.55000000000000004" right="7158278.8200000003" top="0.17" bottom="0.13" header="0.3" footer="0.2"/>
  <pageSetup paperSize="5" scale="63" orientation="landscape" r:id="rId1"/>
  <rowBreaks count="1" manualBreakCount="1">
    <brk id="51" max="16383" man="1"/>
  </rowBreaks>
  <colBreaks count="5" manualBreakCount="5">
    <brk id="11" max="1048575" man="1"/>
    <brk id="54" max="1048575" man="1"/>
    <brk id="96" max="1048575" man="1"/>
    <brk id="151" max="1048575" man="1"/>
    <brk id="168" max="1048575" man="1"/>
  </colBreaks>
  <ignoredErrors>
    <ignoredError sqref="CH62 Q68 V68 BH68 CC68 CX68" 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0070C0"/>
    <pageSetUpPr fitToPage="1"/>
  </sheetPr>
  <dimension ref="A1:KN101"/>
  <sheetViews>
    <sheetView view="pageBreakPreview" zoomScale="90" zoomScaleNormal="100" zoomScaleSheetLayoutView="90" workbookViewId="0">
      <pane xSplit="3" topLeftCell="D1" activePane="topRight" state="frozen"/>
      <selection activeCell="K14" sqref="K14:Y14"/>
      <selection pane="topRight" activeCell="E8" sqref="E8"/>
    </sheetView>
  </sheetViews>
  <sheetFormatPr defaultColWidth="0" defaultRowHeight="0" customHeight="1" zeroHeight="1" x14ac:dyDescent="0.25"/>
  <cols>
    <col min="1" max="1" width="2" style="70" customWidth="1"/>
    <col min="2" max="2" width="5.6640625" style="70" bestFit="1" customWidth="1"/>
    <col min="3" max="3" width="11" style="60" bestFit="1" customWidth="1"/>
    <col min="4" max="4" width="8.21875" style="60" bestFit="1" customWidth="1"/>
    <col min="5" max="5" width="39" style="60" customWidth="1"/>
    <col min="6" max="6" width="22.44140625" style="60" bestFit="1" customWidth="1"/>
    <col min="7" max="7" width="26" style="60" customWidth="1"/>
    <col min="8" max="8" width="21" style="60" customWidth="1"/>
    <col min="9" max="9" width="37" style="60" customWidth="1"/>
    <col min="10" max="11" width="9.77734375" style="60" bestFit="1" customWidth="1"/>
    <col min="12" max="12" width="3.5546875" style="70" customWidth="1"/>
    <col min="13" max="80" width="9.109375" style="205" hidden="1" customWidth="1"/>
    <col min="81" max="81" width="9.33203125" style="205" hidden="1" customWidth="1"/>
    <col min="82" max="82" width="7" style="205" hidden="1" customWidth="1"/>
    <col min="83" max="83" width="10.109375" style="205" hidden="1" customWidth="1"/>
    <col min="84" max="84" width="7.88671875" style="205" hidden="1" customWidth="1"/>
    <col min="85" max="85" width="8.6640625" style="205" hidden="1" customWidth="1"/>
    <col min="86" max="86" width="15.88671875" style="205" hidden="1" customWidth="1"/>
    <col min="87" max="87" width="9.88671875" style="205" hidden="1" customWidth="1"/>
    <col min="88" max="88" width="7.44140625" style="205" hidden="1" customWidth="1"/>
    <col min="89" max="89" width="10.6640625" style="205" hidden="1" customWidth="1"/>
    <col min="90" max="90" width="8.44140625" style="205" hidden="1" customWidth="1"/>
    <col min="91" max="91" width="9.33203125" style="205" hidden="1" customWidth="1"/>
    <col min="92" max="92" width="16.44140625" style="205" hidden="1" customWidth="1"/>
    <col min="93" max="95" width="9.109375" style="205" hidden="1" customWidth="1"/>
    <col min="96" max="96" width="16.44140625" style="205" hidden="1" customWidth="1"/>
    <col min="97" max="99" width="9.109375" style="205" hidden="1" customWidth="1"/>
    <col min="100" max="100" width="7.88671875" style="205" hidden="1" customWidth="1"/>
    <col min="101" max="101" width="8.6640625" style="205" hidden="1" customWidth="1"/>
    <col min="102" max="102" width="15.88671875" style="205" hidden="1" customWidth="1"/>
    <col min="103" max="103" width="9.88671875" style="205" hidden="1" customWidth="1"/>
    <col min="104" max="104" width="7.44140625" style="205" hidden="1" customWidth="1"/>
    <col min="105" max="105" width="10.6640625" style="205" hidden="1" customWidth="1"/>
    <col min="106" max="106" width="8.44140625" style="205" hidden="1" customWidth="1"/>
    <col min="107" max="107" width="9.33203125" style="205" hidden="1" customWidth="1"/>
    <col min="108" max="108" width="16.44140625" style="205" hidden="1" customWidth="1"/>
    <col min="109" max="111" width="9.109375" style="205" hidden="1" customWidth="1"/>
    <col min="112" max="144" width="16.44140625" style="205" hidden="1" customWidth="1"/>
    <col min="145" max="145" width="9" style="205" hidden="1" customWidth="1"/>
    <col min="146" max="146" width="8.88671875" style="205" hidden="1" customWidth="1"/>
    <col min="147" max="147" width="15.33203125" style="205" hidden="1" customWidth="1"/>
    <col min="148" max="148" width="8.109375" style="205" hidden="1" customWidth="1"/>
    <col min="149" max="149" width="6.5546875" style="205" hidden="1" customWidth="1"/>
    <col min="150" max="150" width="9.6640625" style="205" hidden="1" customWidth="1"/>
    <col min="151" max="151" width="11" style="205" hidden="1" customWidth="1"/>
    <col min="152" max="152" width="32.109375" style="205" hidden="1" customWidth="1"/>
    <col min="153" max="153" width="0" style="205" hidden="1" customWidth="1"/>
    <col min="154" max="221" width="9.109375" style="205" hidden="1" customWidth="1"/>
    <col min="222" max="222" width="9.33203125" style="205" hidden="1" customWidth="1"/>
    <col min="223" max="223" width="7" style="205" hidden="1" customWidth="1"/>
    <col min="224" max="224" width="10.109375" style="205" hidden="1" customWidth="1"/>
    <col min="225" max="225" width="7.88671875" style="205" hidden="1" customWidth="1"/>
    <col min="226" max="226" width="8.6640625" style="205" hidden="1" customWidth="1"/>
    <col min="227" max="227" width="15.88671875" style="205" hidden="1" customWidth="1"/>
    <col min="228" max="228" width="9.88671875" style="205" hidden="1" customWidth="1"/>
    <col min="229" max="229" width="7.44140625" style="205" hidden="1" customWidth="1"/>
    <col min="230" max="230" width="10.6640625" style="205" hidden="1" customWidth="1"/>
    <col min="231" max="231" width="8.44140625" style="205" hidden="1" customWidth="1"/>
    <col min="232" max="232" width="9.33203125" style="205" hidden="1" customWidth="1"/>
    <col min="233" max="233" width="16.44140625" style="205" hidden="1" customWidth="1"/>
    <col min="234" max="236" width="9.109375" style="205" hidden="1" customWidth="1"/>
    <col min="237" max="237" width="16.44140625" style="205" hidden="1" customWidth="1"/>
    <col min="238" max="240" width="9.109375" style="205" hidden="1" customWidth="1"/>
    <col min="241" max="241" width="7.88671875" style="205" hidden="1" customWidth="1"/>
    <col min="242" max="242" width="8.6640625" style="205" hidden="1" customWidth="1"/>
    <col min="243" max="243" width="15.88671875" style="205" hidden="1" customWidth="1"/>
    <col min="244" max="244" width="9.88671875" style="205" hidden="1" customWidth="1"/>
    <col min="245" max="245" width="7.44140625" style="205" hidden="1" customWidth="1"/>
    <col min="246" max="246" width="10.6640625" style="205" hidden="1" customWidth="1"/>
    <col min="247" max="247" width="8.44140625" style="205" hidden="1" customWidth="1"/>
    <col min="248" max="248" width="9.33203125" style="205" hidden="1" customWidth="1"/>
    <col min="249" max="249" width="16.44140625" style="205" hidden="1" customWidth="1"/>
    <col min="250" max="252" width="9.109375" style="205" hidden="1" customWidth="1"/>
    <col min="253" max="300" width="16.44140625" style="205" hidden="1" customWidth="1"/>
    <col min="301" max="16384" width="9.109375" style="205" hidden="1"/>
  </cols>
  <sheetData>
    <row r="1" spans="1:12" ht="11.25" customHeight="1" thickBot="1" x14ac:dyDescent="0.3">
      <c r="A1" s="143" t="s">
        <v>24</v>
      </c>
      <c r="B1" s="60"/>
      <c r="L1" s="60"/>
    </row>
    <row r="2" spans="1:12" s="194" customFormat="1" ht="40.950000000000003" customHeight="1" x14ac:dyDescent="0.55000000000000004">
      <c r="A2" s="60"/>
      <c r="B2" s="1054" t="str">
        <f>IF(DASHBOARD!B2="","",DASHBOARD!B2)</f>
        <v xml:space="preserve">          SWAMI VIVEKANAND GOVT. MODEL SCHOOL,                                                                 </v>
      </c>
      <c r="C2" s="1055"/>
      <c r="D2" s="1055"/>
      <c r="E2" s="1055"/>
      <c r="F2" s="1055"/>
      <c r="G2" s="1055"/>
      <c r="H2" s="1055"/>
      <c r="I2" s="1055"/>
      <c r="J2" s="1055"/>
      <c r="K2" s="1056"/>
      <c r="L2" s="60"/>
    </row>
    <row r="3" spans="1:12" s="194" customFormat="1" ht="39.6" customHeight="1" x14ac:dyDescent="0.25">
      <c r="A3" s="60"/>
      <c r="B3" s="1060" t="str">
        <f>IF(DASHBOARD!C3="","",DASHBOARD!C3)</f>
        <v>XXXX,  BLOCK-XXXX (RAJSAMAND)</v>
      </c>
      <c r="C3" s="1061"/>
      <c r="D3" s="1061"/>
      <c r="E3" s="1061"/>
      <c r="F3" s="1061"/>
      <c r="G3" s="1061"/>
      <c r="H3" s="1061"/>
      <c r="I3" s="1061"/>
      <c r="J3" s="1061"/>
      <c r="K3" s="1062"/>
      <c r="L3" s="60"/>
    </row>
    <row r="4" spans="1:12" s="194" customFormat="1" ht="29.4" customHeight="1" thickBot="1" x14ac:dyDescent="0.3">
      <c r="A4" s="60"/>
      <c r="B4" s="1057" t="str">
        <f>DASHBOARD!B4</f>
        <v>SESSION  -  2025-26</v>
      </c>
      <c r="C4" s="1058"/>
      <c r="D4" s="1058"/>
      <c r="E4" s="1058"/>
      <c r="F4" s="1058"/>
      <c r="G4" s="1058"/>
      <c r="H4" s="1058"/>
      <c r="I4" s="1058"/>
      <c r="J4" s="1058"/>
      <c r="K4" s="1059"/>
      <c r="L4" s="60"/>
    </row>
    <row r="5" spans="1:12" s="194" customFormat="1" ht="33.6" customHeight="1" thickBot="1" x14ac:dyDescent="0.3">
      <c r="A5" s="60"/>
      <c r="B5" s="1076" t="s">
        <v>276</v>
      </c>
      <c r="C5" s="1077"/>
      <c r="D5" s="1077"/>
      <c r="E5" s="1077"/>
      <c r="F5" s="1077"/>
      <c r="G5" s="1077"/>
      <c r="H5" s="1077"/>
      <c r="I5" s="1077"/>
      <c r="J5" s="1077" t="str">
        <f>DASHBOARD!C23</f>
        <v>30.03.2026</v>
      </c>
      <c r="K5" s="1078"/>
      <c r="L5" s="60"/>
    </row>
    <row r="6" spans="1:12" s="194" customFormat="1" ht="55.5" customHeight="1" thickBot="1" x14ac:dyDescent="0.3">
      <c r="A6" s="60"/>
      <c r="B6" s="1010" t="str">
        <f>CONCATENATE("CLASS :   ",DASHBOARD!B8,DASHBOARD!C8)</f>
        <v>CLASS :   9A</v>
      </c>
      <c r="C6" s="1011"/>
      <c r="D6" s="1011"/>
      <c r="E6" s="1011"/>
      <c r="F6" s="1011"/>
      <c r="G6" s="1071"/>
      <c r="H6" s="366" t="s">
        <v>132</v>
      </c>
      <c r="I6" s="366" t="s">
        <v>235</v>
      </c>
      <c r="J6" s="367" t="s">
        <v>109</v>
      </c>
      <c r="K6" s="389" t="s">
        <v>191</v>
      </c>
      <c r="L6" s="60"/>
    </row>
    <row r="7" spans="1:12" s="194" customFormat="1" ht="17.25" customHeight="1" thickBot="1" x14ac:dyDescent="0.3">
      <c r="A7" s="60"/>
      <c r="B7" s="387" t="s">
        <v>4</v>
      </c>
      <c r="C7" s="388" t="s">
        <v>5</v>
      </c>
      <c r="D7" s="388" t="s">
        <v>6</v>
      </c>
      <c r="E7" s="388" t="s">
        <v>7</v>
      </c>
      <c r="F7" s="388" t="s">
        <v>8</v>
      </c>
      <c r="G7" s="388" t="s">
        <v>9</v>
      </c>
      <c r="H7" s="1072" t="s">
        <v>273</v>
      </c>
      <c r="I7" s="1073"/>
      <c r="J7" s="1074"/>
      <c r="K7" s="1075"/>
      <c r="L7" s="60"/>
    </row>
    <row r="8" spans="1:12" s="194" customFormat="1" ht="22.2" customHeight="1" x14ac:dyDescent="0.25">
      <c r="A8" s="60"/>
      <c r="B8" s="384">
        <f>IF(DATA!B5="","",DATA!B5)</f>
        <v>1</v>
      </c>
      <c r="C8" s="72">
        <f>IF(DATA!C5="","",DATA!C5)</f>
        <v>901</v>
      </c>
      <c r="D8" s="72">
        <f>IF(DATA!D5="","",DATA!D5)</f>
        <v>974</v>
      </c>
      <c r="E8" s="385" t="str">
        <f>IF(DATA!E5="","",DATA!E5)</f>
        <v>ARTI PRAJAPAT</v>
      </c>
      <c r="F8" s="385" t="str">
        <f>IF(DATA!F5="","",DATA!F5)</f>
        <v>MR PRABHU LAL</v>
      </c>
      <c r="G8" s="385" t="str">
        <f>IF(DATA!G5="","",DATA!G5)</f>
        <v>MRS PREM DEVI</v>
      </c>
      <c r="H8" s="385" t="str">
        <f>INDEX('GREEN SHEET'!$B$6:$GB$51, MATCH('MAIN EXAM RESULT'!D8,'GREEN SHEET'!$D$6:$D$51,0),165)</f>
        <v>PASS</v>
      </c>
      <c r="I8" s="597" t="str">
        <f>INDEX('GREEN SHEET'!$B$6:$GB$51, MATCH('MAIN EXAM RESULT'!D8,'GREEN SHEET'!$D$6:$D$51,0),167)</f>
        <v/>
      </c>
      <c r="J8" s="600">
        <f>INDEX('GREEN SHEET'!$B$6:$GB$51, MATCH('MAIN EXAM RESULT'!D8,'GREEN SHEET'!$D$6:$D$51,0),174)</f>
        <v>58.8</v>
      </c>
      <c r="K8" s="386" t="str">
        <f>INDEX('GREEN SHEET'!$B$6:$GB$51, MATCH('MAIN EXAM RESULT'!D8,'GREEN SHEET'!$D$6:$D$51,0),175)</f>
        <v>C1</v>
      </c>
      <c r="L8" s="60"/>
    </row>
    <row r="9" spans="1:12" s="194" customFormat="1" ht="22.2" customHeight="1" x14ac:dyDescent="0.25">
      <c r="A9" s="60"/>
      <c r="B9" s="376">
        <f>IF(DATA!B6="","",DATA!B6)</f>
        <v>2</v>
      </c>
      <c r="C9" s="96">
        <f>IF(DATA!C6="","",DATA!C6)</f>
        <v>902</v>
      </c>
      <c r="D9" s="96">
        <f>IF(DATA!D6="","",DATA!D6)</f>
        <v>971</v>
      </c>
      <c r="E9" s="303" t="str">
        <f>IF(DATA!E6="","",DATA!E6)</f>
        <v>ARVIND SINGH BALLA</v>
      </c>
      <c r="F9" s="303" t="str">
        <f>IF(DATA!F6="","",DATA!F6)</f>
        <v>INDRA SINGH BALLA</v>
      </c>
      <c r="G9" s="303" t="str">
        <f>IF(DATA!G6="","",DATA!G6)</f>
        <v>MEENA KANWAR BALLA</v>
      </c>
      <c r="H9" s="303" t="str">
        <f>INDEX('GREEN SHEET'!$B$6:$GB$51, MATCH('MAIN EXAM RESULT'!D9,'GREEN SHEET'!$D$6:$D$51,0),165)</f>
        <v>COMPARTMENT</v>
      </c>
      <c r="I9" s="598" t="str">
        <f>INDEX('GREEN SHEET'!$B$6:$GB$51, MATCH('MAIN EXAM RESULT'!D9,'GREEN SHEET'!$D$6:$D$51,0),167)</f>
        <v xml:space="preserve">SST, </v>
      </c>
      <c r="J9" s="601" t="str">
        <f>INDEX('GREEN SHEET'!$B$6:$GB$51, MATCH('MAIN EXAM RESULT'!D9,'GREEN SHEET'!$D$6:$D$51,0),174)</f>
        <v/>
      </c>
      <c r="K9" s="377" t="str">
        <f>INDEX('GREEN SHEET'!$B$6:$GB$51, MATCH('MAIN EXAM RESULT'!D9,'GREEN SHEET'!$D$6:$D$51,0),175)</f>
        <v/>
      </c>
      <c r="L9" s="60"/>
    </row>
    <row r="10" spans="1:12" s="194" customFormat="1" ht="22.2" customHeight="1" x14ac:dyDescent="0.25">
      <c r="A10" s="60"/>
      <c r="B10" s="376">
        <f>IF(DATA!B7="","",DATA!B7)</f>
        <v>3</v>
      </c>
      <c r="C10" s="96" t="str">
        <f>IF(DATA!C7="","",DATA!C7)</f>
        <v>TC</v>
      </c>
      <c r="D10" s="96">
        <f>IF(DATA!D7="","",DATA!D7)</f>
        <v>1370</v>
      </c>
      <c r="E10" s="303" t="str">
        <f>IF(DATA!E7="","",DATA!E7)</f>
        <v>BHAVESH SINGH RAO</v>
      </c>
      <c r="F10" s="303" t="str">
        <f>IF(DATA!F7="","",DATA!F7)</f>
        <v>FATEH SINGH RAO</v>
      </c>
      <c r="G10" s="303" t="str">
        <f>IF(DATA!G7="","",DATA!G7)</f>
        <v>GANGA KUNWAR</v>
      </c>
      <c r="H10" s="303" t="str">
        <f>INDEX('GREEN SHEET'!$B$6:$GB$51, MATCH('MAIN EXAM RESULT'!D10,'GREEN SHEET'!$D$6:$D$51,0),165)</f>
        <v/>
      </c>
      <c r="I10" s="598" t="str">
        <f>INDEX('GREEN SHEET'!$B$6:$GB$51, MATCH('MAIN EXAM RESULT'!D10,'GREEN SHEET'!$D$6:$D$51,0),167)</f>
        <v/>
      </c>
      <c r="J10" s="601" t="str">
        <f>INDEX('GREEN SHEET'!$B$6:$GB$51, MATCH('MAIN EXAM RESULT'!D10,'GREEN SHEET'!$D$6:$D$51,0),174)</f>
        <v/>
      </c>
      <c r="K10" s="377" t="str">
        <f>INDEX('GREEN SHEET'!$B$6:$GB$51, MATCH('MAIN EXAM RESULT'!D10,'GREEN SHEET'!$D$6:$D$51,0),175)</f>
        <v/>
      </c>
      <c r="L10" s="60"/>
    </row>
    <row r="11" spans="1:12" s="194" customFormat="1" ht="22.2" customHeight="1" x14ac:dyDescent="0.25">
      <c r="A11" s="60"/>
      <c r="B11" s="376">
        <f>IF(DATA!B8="","",DATA!B8)</f>
        <v>4</v>
      </c>
      <c r="C11" s="96" t="str">
        <f>IF(DATA!C8="","",DATA!C8)</f>
        <v/>
      </c>
      <c r="D11" s="96" t="str">
        <f>IF(DATA!D8="","",DATA!D8)</f>
        <v/>
      </c>
      <c r="E11" s="303" t="str">
        <f>IF(DATA!E8="","",DATA!E8)</f>
        <v/>
      </c>
      <c r="F11" s="303" t="str">
        <f>IF(DATA!F8="","",DATA!F8)</f>
        <v/>
      </c>
      <c r="G11" s="303" t="str">
        <f>IF(DATA!G8="","",DATA!G8)</f>
        <v/>
      </c>
      <c r="H11" s="303" t="str">
        <f>INDEX('GREEN SHEET'!$B$6:$GB$51, MATCH('MAIN EXAM RESULT'!D11,'GREEN SHEET'!$D$6:$D$51,0),165)</f>
        <v/>
      </c>
      <c r="I11" s="598" t="str">
        <f>INDEX('GREEN SHEET'!$B$6:$GB$51, MATCH('MAIN EXAM RESULT'!D11,'GREEN SHEET'!$D$6:$D$51,0),167)</f>
        <v/>
      </c>
      <c r="J11" s="601" t="str">
        <f>INDEX('GREEN SHEET'!$B$6:$GB$51, MATCH('MAIN EXAM RESULT'!D11,'GREEN SHEET'!$D$6:$D$51,0),174)</f>
        <v/>
      </c>
      <c r="K11" s="377" t="str">
        <f>INDEX('GREEN SHEET'!$B$6:$GB$51, MATCH('MAIN EXAM RESULT'!D11,'GREEN SHEET'!$D$6:$D$51,0),175)</f>
        <v/>
      </c>
      <c r="L11" s="60"/>
    </row>
    <row r="12" spans="1:12" s="194" customFormat="1" ht="22.2" customHeight="1" x14ac:dyDescent="0.25">
      <c r="A12" s="60"/>
      <c r="B12" s="376">
        <f>IF(DATA!B9="","",DATA!B9)</f>
        <v>5</v>
      </c>
      <c r="C12" s="96" t="str">
        <f>IF(DATA!C9="","",DATA!C9)</f>
        <v/>
      </c>
      <c r="D12" s="96" t="str">
        <f>IF(DATA!D9="","",DATA!D9)</f>
        <v/>
      </c>
      <c r="E12" s="303" t="str">
        <f>IF(DATA!E9="","",DATA!E9)</f>
        <v/>
      </c>
      <c r="F12" s="303" t="str">
        <f>IF(DATA!F9="","",DATA!F9)</f>
        <v/>
      </c>
      <c r="G12" s="303" t="str">
        <f>IF(DATA!G9="","",DATA!G9)</f>
        <v/>
      </c>
      <c r="H12" s="303" t="str">
        <f>INDEX('GREEN SHEET'!$B$6:$GB$51, MATCH('MAIN EXAM RESULT'!D12,'GREEN SHEET'!$D$6:$D$51,0),165)</f>
        <v/>
      </c>
      <c r="I12" s="598" t="str">
        <f>INDEX('GREEN SHEET'!$B$6:$GB$51, MATCH('MAIN EXAM RESULT'!D12,'GREEN SHEET'!$D$6:$D$51,0),167)</f>
        <v/>
      </c>
      <c r="J12" s="601" t="str">
        <f>INDEX('GREEN SHEET'!$B$6:$GB$51, MATCH('MAIN EXAM RESULT'!D12,'GREEN SHEET'!$D$6:$D$51,0),174)</f>
        <v/>
      </c>
      <c r="K12" s="377" t="str">
        <f>INDEX('GREEN SHEET'!$B$6:$GB$51, MATCH('MAIN EXAM RESULT'!D12,'GREEN SHEET'!$D$6:$D$51,0),175)</f>
        <v/>
      </c>
      <c r="L12" s="60"/>
    </row>
    <row r="13" spans="1:12" s="194" customFormat="1" ht="22.2" customHeight="1" x14ac:dyDescent="0.25">
      <c r="A13" s="60"/>
      <c r="B13" s="376">
        <f>IF(DATA!B10="","",DATA!B10)</f>
        <v>6</v>
      </c>
      <c r="C13" s="96" t="str">
        <f>IF(DATA!C10="","",DATA!C10)</f>
        <v/>
      </c>
      <c r="D13" s="96" t="str">
        <f>IF(DATA!D10="","",DATA!D10)</f>
        <v/>
      </c>
      <c r="E13" s="303" t="str">
        <f>IF(DATA!E10="","",DATA!E10)</f>
        <v/>
      </c>
      <c r="F13" s="303" t="str">
        <f>IF(DATA!F10="","",DATA!F10)</f>
        <v/>
      </c>
      <c r="G13" s="303" t="str">
        <f>IF(DATA!G10="","",DATA!G10)</f>
        <v/>
      </c>
      <c r="H13" s="303" t="str">
        <f>INDEX('GREEN SHEET'!$B$6:$GB$51, MATCH('MAIN EXAM RESULT'!D13,'GREEN SHEET'!$D$6:$D$51,0),165)</f>
        <v/>
      </c>
      <c r="I13" s="598" t="str">
        <f>INDEX('GREEN SHEET'!$B$6:$GB$51, MATCH('MAIN EXAM RESULT'!D13,'GREEN SHEET'!$D$6:$D$51,0),167)</f>
        <v/>
      </c>
      <c r="J13" s="601" t="str">
        <f>INDEX('GREEN SHEET'!$B$6:$GB$51, MATCH('MAIN EXAM RESULT'!D13,'GREEN SHEET'!$D$6:$D$51,0),174)</f>
        <v/>
      </c>
      <c r="K13" s="377" t="str">
        <f>INDEX('GREEN SHEET'!$B$6:$GB$51, MATCH('MAIN EXAM RESULT'!D13,'GREEN SHEET'!$D$6:$D$51,0),175)</f>
        <v/>
      </c>
      <c r="L13" s="60"/>
    </row>
    <row r="14" spans="1:12" s="194" customFormat="1" ht="22.2" customHeight="1" x14ac:dyDescent="0.25">
      <c r="A14" s="60"/>
      <c r="B14" s="376">
        <f>IF(DATA!B11="","",DATA!B11)</f>
        <v>7</v>
      </c>
      <c r="C14" s="96" t="str">
        <f>IF(DATA!C11="","",DATA!C11)</f>
        <v/>
      </c>
      <c r="D14" s="96" t="str">
        <f>IF(DATA!D11="","",DATA!D11)</f>
        <v/>
      </c>
      <c r="E14" s="303" t="str">
        <f>IF(DATA!E11="","",DATA!E11)</f>
        <v/>
      </c>
      <c r="F14" s="303" t="str">
        <f>IF(DATA!F11="","",DATA!F11)</f>
        <v/>
      </c>
      <c r="G14" s="303" t="str">
        <f>IF(DATA!G11="","",DATA!G11)</f>
        <v/>
      </c>
      <c r="H14" s="303" t="str">
        <f>INDEX('GREEN SHEET'!$B$6:$GB$51, MATCH('MAIN EXAM RESULT'!D14,'GREEN SHEET'!$D$6:$D$51,0),165)</f>
        <v/>
      </c>
      <c r="I14" s="598" t="str">
        <f>INDEX('GREEN SHEET'!$B$6:$GB$51, MATCH('MAIN EXAM RESULT'!D14,'GREEN SHEET'!$D$6:$D$51,0),167)</f>
        <v/>
      </c>
      <c r="J14" s="601" t="str">
        <f>INDEX('GREEN SHEET'!$B$6:$GB$51, MATCH('MAIN EXAM RESULT'!D14,'GREEN SHEET'!$D$6:$D$51,0),174)</f>
        <v/>
      </c>
      <c r="K14" s="377" t="str">
        <f>INDEX('GREEN SHEET'!$B$6:$GB$51, MATCH('MAIN EXAM RESULT'!D14,'GREEN SHEET'!$D$6:$D$51,0),175)</f>
        <v/>
      </c>
      <c r="L14" s="60"/>
    </row>
    <row r="15" spans="1:12" s="194" customFormat="1" ht="22.2" customHeight="1" x14ac:dyDescent="0.25">
      <c r="A15" s="60"/>
      <c r="B15" s="376">
        <f>IF(DATA!B12="","",DATA!B12)</f>
        <v>8</v>
      </c>
      <c r="C15" s="96" t="str">
        <f>IF(DATA!C12="","",DATA!C12)</f>
        <v/>
      </c>
      <c r="D15" s="96" t="str">
        <f>IF(DATA!D12="","",DATA!D12)</f>
        <v/>
      </c>
      <c r="E15" s="303" t="str">
        <f>IF(DATA!E12="","",DATA!E12)</f>
        <v/>
      </c>
      <c r="F15" s="303" t="str">
        <f>IF(DATA!F12="","",DATA!F12)</f>
        <v/>
      </c>
      <c r="G15" s="303" t="str">
        <f>IF(DATA!G12="","",DATA!G12)</f>
        <v/>
      </c>
      <c r="H15" s="303" t="str">
        <f>INDEX('GREEN SHEET'!$B$6:$GB$51, MATCH('MAIN EXAM RESULT'!D15,'GREEN SHEET'!$D$6:$D$51,0),165)</f>
        <v/>
      </c>
      <c r="I15" s="598" t="str">
        <f>INDEX('GREEN SHEET'!$B$6:$GB$51, MATCH('MAIN EXAM RESULT'!D15,'GREEN SHEET'!$D$6:$D$51,0),167)</f>
        <v/>
      </c>
      <c r="J15" s="601" t="str">
        <f>INDEX('GREEN SHEET'!$B$6:$GB$51, MATCH('MAIN EXAM RESULT'!D15,'GREEN SHEET'!$D$6:$D$51,0),174)</f>
        <v/>
      </c>
      <c r="K15" s="377" t="str">
        <f>INDEX('GREEN SHEET'!$B$6:$GB$51, MATCH('MAIN EXAM RESULT'!D15,'GREEN SHEET'!$D$6:$D$51,0),175)</f>
        <v/>
      </c>
      <c r="L15" s="60"/>
    </row>
    <row r="16" spans="1:12" s="194" customFormat="1" ht="22.2" customHeight="1" x14ac:dyDescent="0.25">
      <c r="A16" s="60"/>
      <c r="B16" s="376">
        <f>IF(DATA!B13="","",DATA!B13)</f>
        <v>9</v>
      </c>
      <c r="C16" s="96" t="str">
        <f>IF(DATA!C13="","",DATA!C13)</f>
        <v/>
      </c>
      <c r="D16" s="96" t="str">
        <f>IF(DATA!D13="","",DATA!D13)</f>
        <v/>
      </c>
      <c r="E16" s="303" t="str">
        <f>IF(DATA!E13="","",DATA!E13)</f>
        <v/>
      </c>
      <c r="F16" s="303" t="str">
        <f>IF(DATA!F13="","",DATA!F13)</f>
        <v/>
      </c>
      <c r="G16" s="303" t="str">
        <f>IF(DATA!G13="","",DATA!G13)</f>
        <v/>
      </c>
      <c r="H16" s="303" t="str">
        <f>INDEX('GREEN SHEET'!$B$6:$GB$51, MATCH('MAIN EXAM RESULT'!D16,'GREEN SHEET'!$D$6:$D$51,0),165)</f>
        <v/>
      </c>
      <c r="I16" s="598" t="str">
        <f>INDEX('GREEN SHEET'!$B$6:$GB$51, MATCH('MAIN EXAM RESULT'!D16,'GREEN SHEET'!$D$6:$D$51,0),167)</f>
        <v/>
      </c>
      <c r="J16" s="601" t="str">
        <f>INDEX('GREEN SHEET'!$B$6:$GB$51, MATCH('MAIN EXAM RESULT'!D16,'GREEN SHEET'!$D$6:$D$51,0),174)</f>
        <v/>
      </c>
      <c r="K16" s="377" t="str">
        <f>INDEX('GREEN SHEET'!$B$6:$GB$51, MATCH('MAIN EXAM RESULT'!D16,'GREEN SHEET'!$D$6:$D$51,0),175)</f>
        <v/>
      </c>
      <c r="L16" s="60"/>
    </row>
    <row r="17" spans="1:12" s="194" customFormat="1" ht="22.2" customHeight="1" x14ac:dyDescent="0.25">
      <c r="A17" s="60"/>
      <c r="B17" s="376">
        <f>IF(DATA!B14="","",DATA!B14)</f>
        <v>10</v>
      </c>
      <c r="C17" s="96" t="str">
        <f>IF(DATA!C14="","",DATA!C14)</f>
        <v/>
      </c>
      <c r="D17" s="96" t="str">
        <f>IF(DATA!D14="","",DATA!D14)</f>
        <v/>
      </c>
      <c r="E17" s="303" t="str">
        <f>IF(DATA!E14="","",DATA!E14)</f>
        <v/>
      </c>
      <c r="F17" s="303" t="str">
        <f>IF(DATA!F14="","",DATA!F14)</f>
        <v/>
      </c>
      <c r="G17" s="303" t="str">
        <f>IF(DATA!G14="","",DATA!G14)</f>
        <v/>
      </c>
      <c r="H17" s="303" t="str">
        <f>INDEX('GREEN SHEET'!$B$6:$GB$51, MATCH('MAIN EXAM RESULT'!D17,'GREEN SHEET'!$D$6:$D$51,0),165)</f>
        <v/>
      </c>
      <c r="I17" s="598" t="str">
        <f>INDEX('GREEN SHEET'!$B$6:$GB$51, MATCH('MAIN EXAM RESULT'!D17,'GREEN SHEET'!$D$6:$D$51,0),167)</f>
        <v/>
      </c>
      <c r="J17" s="601" t="str">
        <f>INDEX('GREEN SHEET'!$B$6:$GB$51, MATCH('MAIN EXAM RESULT'!D17,'GREEN SHEET'!$D$6:$D$51,0),174)</f>
        <v/>
      </c>
      <c r="K17" s="377" t="str">
        <f>INDEX('GREEN SHEET'!$B$6:$GB$51, MATCH('MAIN EXAM RESULT'!D17,'GREEN SHEET'!$D$6:$D$51,0),175)</f>
        <v/>
      </c>
      <c r="L17" s="60"/>
    </row>
    <row r="18" spans="1:12" s="194" customFormat="1" ht="22.2" customHeight="1" x14ac:dyDescent="0.25">
      <c r="A18" s="60"/>
      <c r="B18" s="376">
        <f>IF(DATA!B15="","",DATA!B15)</f>
        <v>11</v>
      </c>
      <c r="C18" s="96" t="str">
        <f>IF(DATA!C15="","",DATA!C15)</f>
        <v/>
      </c>
      <c r="D18" s="96" t="str">
        <f>IF(DATA!D15="","",DATA!D15)</f>
        <v/>
      </c>
      <c r="E18" s="303" t="str">
        <f>IF(DATA!E15="","",DATA!E15)</f>
        <v/>
      </c>
      <c r="F18" s="303" t="str">
        <f>IF(DATA!F15="","",DATA!F15)</f>
        <v/>
      </c>
      <c r="G18" s="303" t="str">
        <f>IF(DATA!G15="","",DATA!G15)</f>
        <v/>
      </c>
      <c r="H18" s="303" t="str">
        <f>INDEX('GREEN SHEET'!$B$6:$GB$51, MATCH('MAIN EXAM RESULT'!D18,'GREEN SHEET'!$D$6:$D$51,0),165)</f>
        <v/>
      </c>
      <c r="I18" s="598" t="str">
        <f>INDEX('GREEN SHEET'!$B$6:$GB$51, MATCH('MAIN EXAM RESULT'!D18,'GREEN SHEET'!$D$6:$D$51,0),167)</f>
        <v/>
      </c>
      <c r="J18" s="601" t="str">
        <f>INDEX('GREEN SHEET'!$B$6:$GB$51, MATCH('MAIN EXAM RESULT'!D18,'GREEN SHEET'!$D$6:$D$51,0),174)</f>
        <v/>
      </c>
      <c r="K18" s="377" t="str">
        <f>INDEX('GREEN SHEET'!$B$6:$GB$51, MATCH('MAIN EXAM RESULT'!D18,'GREEN SHEET'!$D$6:$D$51,0),175)</f>
        <v/>
      </c>
      <c r="L18" s="60"/>
    </row>
    <row r="19" spans="1:12" s="194" customFormat="1" ht="22.2" customHeight="1" x14ac:dyDescent="0.25">
      <c r="A19" s="60"/>
      <c r="B19" s="376">
        <f>IF(DATA!B16="","",DATA!B16)</f>
        <v>12</v>
      </c>
      <c r="C19" s="96" t="str">
        <f>IF(DATA!C16="","",DATA!C16)</f>
        <v/>
      </c>
      <c r="D19" s="96" t="str">
        <f>IF(DATA!D16="","",DATA!D16)</f>
        <v/>
      </c>
      <c r="E19" s="303" t="str">
        <f>IF(DATA!E16="","",DATA!E16)</f>
        <v/>
      </c>
      <c r="F19" s="303" t="str">
        <f>IF(DATA!F16="","",DATA!F16)</f>
        <v/>
      </c>
      <c r="G19" s="303" t="str">
        <f>IF(DATA!G16="","",DATA!G16)</f>
        <v/>
      </c>
      <c r="H19" s="303" t="str">
        <f>INDEX('GREEN SHEET'!$B$6:$GB$51, MATCH('MAIN EXAM RESULT'!D19,'GREEN SHEET'!$D$6:$D$51,0),165)</f>
        <v/>
      </c>
      <c r="I19" s="598" t="str">
        <f>INDEX('GREEN SHEET'!$B$6:$GB$51, MATCH('MAIN EXAM RESULT'!D19,'GREEN SHEET'!$D$6:$D$51,0),167)</f>
        <v/>
      </c>
      <c r="J19" s="601" t="str">
        <f>INDEX('GREEN SHEET'!$B$6:$GB$51, MATCH('MAIN EXAM RESULT'!D19,'GREEN SHEET'!$D$6:$D$51,0),174)</f>
        <v/>
      </c>
      <c r="K19" s="377" t="str">
        <f>INDEX('GREEN SHEET'!$B$6:$GB$51, MATCH('MAIN EXAM RESULT'!D19,'GREEN SHEET'!$D$6:$D$51,0),175)</f>
        <v/>
      </c>
      <c r="L19" s="60"/>
    </row>
    <row r="20" spans="1:12" s="194" customFormat="1" ht="22.2" customHeight="1" x14ac:dyDescent="0.25">
      <c r="A20" s="60"/>
      <c r="B20" s="376">
        <f>IF(DATA!B17="","",DATA!B17)</f>
        <v>13</v>
      </c>
      <c r="C20" s="96" t="str">
        <f>IF(DATA!C17="","",DATA!C17)</f>
        <v/>
      </c>
      <c r="D20" s="96" t="str">
        <f>IF(DATA!D17="","",DATA!D17)</f>
        <v/>
      </c>
      <c r="E20" s="303" t="str">
        <f>IF(DATA!E17="","",DATA!E17)</f>
        <v/>
      </c>
      <c r="F20" s="303" t="str">
        <f>IF(DATA!F17="","",DATA!F17)</f>
        <v/>
      </c>
      <c r="G20" s="303" t="str">
        <f>IF(DATA!G17="","",DATA!G17)</f>
        <v/>
      </c>
      <c r="H20" s="303" t="str">
        <f>INDEX('GREEN SHEET'!$B$6:$GB$51, MATCH('MAIN EXAM RESULT'!D20,'GREEN SHEET'!$D$6:$D$51,0),165)</f>
        <v/>
      </c>
      <c r="I20" s="598" t="str">
        <f>INDEX('GREEN SHEET'!$B$6:$GB$51, MATCH('MAIN EXAM RESULT'!D20,'GREEN SHEET'!$D$6:$D$51,0),167)</f>
        <v/>
      </c>
      <c r="J20" s="601" t="str">
        <f>INDEX('GREEN SHEET'!$B$6:$GB$51, MATCH('MAIN EXAM RESULT'!D20,'GREEN SHEET'!$D$6:$D$51,0),174)</f>
        <v/>
      </c>
      <c r="K20" s="377" t="str">
        <f>INDEX('GREEN SHEET'!$B$6:$GB$51, MATCH('MAIN EXAM RESULT'!D20,'GREEN SHEET'!$D$6:$D$51,0),175)</f>
        <v/>
      </c>
      <c r="L20" s="60"/>
    </row>
    <row r="21" spans="1:12" s="194" customFormat="1" ht="22.2" customHeight="1" x14ac:dyDescent="0.25">
      <c r="A21" s="60"/>
      <c r="B21" s="376">
        <f>IF(DATA!B18="","",DATA!B18)</f>
        <v>14</v>
      </c>
      <c r="C21" s="96" t="str">
        <f>IF(DATA!C18="","",DATA!C18)</f>
        <v/>
      </c>
      <c r="D21" s="96" t="str">
        <f>IF(DATA!D18="","",DATA!D18)</f>
        <v/>
      </c>
      <c r="E21" s="303" t="str">
        <f>IF(DATA!E18="","",DATA!E18)</f>
        <v/>
      </c>
      <c r="F21" s="303" t="str">
        <f>IF(DATA!F18="","",DATA!F18)</f>
        <v/>
      </c>
      <c r="G21" s="303" t="str">
        <f>IF(DATA!G18="","",DATA!G18)</f>
        <v/>
      </c>
      <c r="H21" s="303" t="str">
        <f>INDEX('GREEN SHEET'!$B$6:$GB$51, MATCH('MAIN EXAM RESULT'!D21,'GREEN SHEET'!$D$6:$D$51,0),165)</f>
        <v/>
      </c>
      <c r="I21" s="598" t="str">
        <f>INDEX('GREEN SHEET'!$B$6:$GB$51, MATCH('MAIN EXAM RESULT'!D21,'GREEN SHEET'!$D$6:$D$51,0),167)</f>
        <v/>
      </c>
      <c r="J21" s="601" t="str">
        <f>INDEX('GREEN SHEET'!$B$6:$GB$51, MATCH('MAIN EXAM RESULT'!D21,'GREEN SHEET'!$D$6:$D$51,0),174)</f>
        <v/>
      </c>
      <c r="K21" s="377" t="str">
        <f>INDEX('GREEN SHEET'!$B$6:$GB$51, MATCH('MAIN EXAM RESULT'!D21,'GREEN SHEET'!$D$6:$D$51,0),175)</f>
        <v/>
      </c>
      <c r="L21" s="60"/>
    </row>
    <row r="22" spans="1:12" s="194" customFormat="1" ht="22.2" customHeight="1" x14ac:dyDescent="0.25">
      <c r="A22" s="60"/>
      <c r="B22" s="376">
        <f>IF(DATA!B19="","",DATA!B19)</f>
        <v>15</v>
      </c>
      <c r="C22" s="96" t="str">
        <f>IF(DATA!C19="","",DATA!C19)</f>
        <v/>
      </c>
      <c r="D22" s="96" t="str">
        <f>IF(DATA!D19="","",DATA!D19)</f>
        <v/>
      </c>
      <c r="E22" s="303" t="str">
        <f>IF(DATA!E19="","",DATA!E19)</f>
        <v/>
      </c>
      <c r="F22" s="303" t="str">
        <f>IF(DATA!F19="","",DATA!F19)</f>
        <v/>
      </c>
      <c r="G22" s="303" t="str">
        <f>IF(DATA!G19="","",DATA!G19)</f>
        <v/>
      </c>
      <c r="H22" s="303" t="str">
        <f>INDEX('GREEN SHEET'!$B$6:$GB$51, MATCH('MAIN EXAM RESULT'!D22,'GREEN SHEET'!$D$6:$D$51,0),165)</f>
        <v/>
      </c>
      <c r="I22" s="598" t="str">
        <f>INDEX('GREEN SHEET'!$B$6:$GB$51, MATCH('MAIN EXAM RESULT'!D22,'GREEN SHEET'!$D$6:$D$51,0),167)</f>
        <v/>
      </c>
      <c r="J22" s="601" t="str">
        <f>INDEX('GREEN SHEET'!$B$6:$GB$51, MATCH('MAIN EXAM RESULT'!D22,'GREEN SHEET'!$D$6:$D$51,0),174)</f>
        <v/>
      </c>
      <c r="K22" s="377" t="str">
        <f>INDEX('GREEN SHEET'!$B$6:$GB$51, MATCH('MAIN EXAM RESULT'!D22,'GREEN SHEET'!$D$6:$D$51,0),175)</f>
        <v/>
      </c>
      <c r="L22" s="60"/>
    </row>
    <row r="23" spans="1:12" s="194" customFormat="1" ht="22.2" customHeight="1" x14ac:dyDescent="0.25">
      <c r="A23" s="60"/>
      <c r="B23" s="376">
        <f>IF(DATA!B20="","",DATA!B20)</f>
        <v>16</v>
      </c>
      <c r="C23" s="96" t="str">
        <f>IF(DATA!C20="","",DATA!C20)</f>
        <v/>
      </c>
      <c r="D23" s="96" t="str">
        <f>IF(DATA!D20="","",DATA!D20)</f>
        <v/>
      </c>
      <c r="E23" s="303" t="str">
        <f>IF(DATA!E20="","",DATA!E20)</f>
        <v/>
      </c>
      <c r="F23" s="303" t="str">
        <f>IF(DATA!F20="","",DATA!F20)</f>
        <v/>
      </c>
      <c r="G23" s="303" t="str">
        <f>IF(DATA!G20="","",DATA!G20)</f>
        <v/>
      </c>
      <c r="H23" s="303" t="str">
        <f>INDEX('GREEN SHEET'!$B$6:$GB$51, MATCH('MAIN EXAM RESULT'!D23,'GREEN SHEET'!$D$6:$D$51,0),165)</f>
        <v/>
      </c>
      <c r="I23" s="598" t="str">
        <f>INDEX('GREEN SHEET'!$B$6:$GB$51, MATCH('MAIN EXAM RESULT'!D23,'GREEN SHEET'!$D$6:$D$51,0),167)</f>
        <v/>
      </c>
      <c r="J23" s="601" t="str">
        <f>INDEX('GREEN SHEET'!$B$6:$GB$51, MATCH('MAIN EXAM RESULT'!D23,'GREEN SHEET'!$D$6:$D$51,0),174)</f>
        <v/>
      </c>
      <c r="K23" s="377" t="str">
        <f>INDEX('GREEN SHEET'!$B$6:$GB$51, MATCH('MAIN EXAM RESULT'!D23,'GREEN SHEET'!$D$6:$D$51,0),175)</f>
        <v/>
      </c>
      <c r="L23" s="60"/>
    </row>
    <row r="24" spans="1:12" s="194" customFormat="1" ht="22.2" customHeight="1" x14ac:dyDescent="0.25">
      <c r="A24" s="60"/>
      <c r="B24" s="376">
        <f>IF(DATA!B21="","",DATA!B21)</f>
        <v>17</v>
      </c>
      <c r="C24" s="96" t="str">
        <f>IF(DATA!C21="","",DATA!C21)</f>
        <v/>
      </c>
      <c r="D24" s="96" t="str">
        <f>IF(DATA!D21="","",DATA!D21)</f>
        <v/>
      </c>
      <c r="E24" s="303" t="str">
        <f>IF(DATA!E21="","",DATA!E21)</f>
        <v/>
      </c>
      <c r="F24" s="303" t="str">
        <f>IF(DATA!F21="","",DATA!F21)</f>
        <v/>
      </c>
      <c r="G24" s="303" t="str">
        <f>IF(DATA!G21="","",DATA!G21)</f>
        <v/>
      </c>
      <c r="H24" s="303" t="str">
        <f>INDEX('GREEN SHEET'!$B$6:$GB$51, MATCH('MAIN EXAM RESULT'!D24,'GREEN SHEET'!$D$6:$D$51,0),165)</f>
        <v/>
      </c>
      <c r="I24" s="598" t="str">
        <f>INDEX('GREEN SHEET'!$B$6:$GB$51, MATCH('MAIN EXAM RESULT'!D24,'GREEN SHEET'!$D$6:$D$51,0),167)</f>
        <v/>
      </c>
      <c r="J24" s="601" t="str">
        <f>INDEX('GREEN SHEET'!$B$6:$GB$51, MATCH('MAIN EXAM RESULT'!D24,'GREEN SHEET'!$D$6:$D$51,0),174)</f>
        <v/>
      </c>
      <c r="K24" s="377" t="str">
        <f>INDEX('GREEN SHEET'!$B$6:$GB$51, MATCH('MAIN EXAM RESULT'!D24,'GREEN SHEET'!$D$6:$D$51,0),175)</f>
        <v/>
      </c>
      <c r="L24" s="60"/>
    </row>
    <row r="25" spans="1:12" s="194" customFormat="1" ht="22.2" customHeight="1" x14ac:dyDescent="0.25">
      <c r="A25" s="60"/>
      <c r="B25" s="376">
        <f>IF(DATA!B22="","",DATA!B22)</f>
        <v>18</v>
      </c>
      <c r="C25" s="96" t="str">
        <f>IF(DATA!C22="","",DATA!C22)</f>
        <v/>
      </c>
      <c r="D25" s="96" t="str">
        <f>IF(DATA!D22="","",DATA!D22)</f>
        <v/>
      </c>
      <c r="E25" s="303" t="str">
        <f>IF(DATA!E22="","",DATA!E22)</f>
        <v/>
      </c>
      <c r="F25" s="303" t="str">
        <f>IF(DATA!F22="","",DATA!F22)</f>
        <v/>
      </c>
      <c r="G25" s="303" t="str">
        <f>IF(DATA!G22="","",DATA!G22)</f>
        <v/>
      </c>
      <c r="H25" s="303" t="str">
        <f>INDEX('GREEN SHEET'!$B$6:$GB$51, MATCH('MAIN EXAM RESULT'!D25,'GREEN SHEET'!$D$6:$D$51,0),165)</f>
        <v/>
      </c>
      <c r="I25" s="598" t="str">
        <f>INDEX('GREEN SHEET'!$B$6:$GB$51, MATCH('MAIN EXAM RESULT'!D25,'GREEN SHEET'!$D$6:$D$51,0),167)</f>
        <v/>
      </c>
      <c r="J25" s="601" t="str">
        <f>INDEX('GREEN SHEET'!$B$6:$GB$51, MATCH('MAIN EXAM RESULT'!D25,'GREEN SHEET'!$D$6:$D$51,0),174)</f>
        <v/>
      </c>
      <c r="K25" s="377" t="str">
        <f>INDEX('GREEN SHEET'!$B$6:$GB$51, MATCH('MAIN EXAM RESULT'!D25,'GREEN SHEET'!$D$6:$D$51,0),175)</f>
        <v/>
      </c>
      <c r="L25" s="60"/>
    </row>
    <row r="26" spans="1:12" s="194" customFormat="1" ht="22.2" customHeight="1" x14ac:dyDescent="0.25">
      <c r="A26" s="60"/>
      <c r="B26" s="376">
        <f>IF(DATA!B23="","",DATA!B23)</f>
        <v>19</v>
      </c>
      <c r="C26" s="96" t="str">
        <f>IF(DATA!C23="","",DATA!C23)</f>
        <v/>
      </c>
      <c r="D26" s="96" t="str">
        <f>IF(DATA!D23="","",DATA!D23)</f>
        <v/>
      </c>
      <c r="E26" s="303" t="str">
        <f>IF(DATA!E23="","",DATA!E23)</f>
        <v/>
      </c>
      <c r="F26" s="303" t="str">
        <f>IF(DATA!F23="","",DATA!F23)</f>
        <v/>
      </c>
      <c r="G26" s="303" t="str">
        <f>IF(DATA!G23="","",DATA!G23)</f>
        <v/>
      </c>
      <c r="H26" s="303" t="str">
        <f>INDEX('GREEN SHEET'!$B$6:$GB$51, MATCH('MAIN EXAM RESULT'!D26,'GREEN SHEET'!$D$6:$D$51,0),165)</f>
        <v/>
      </c>
      <c r="I26" s="598" t="str">
        <f>INDEX('GREEN SHEET'!$B$6:$GB$51, MATCH('MAIN EXAM RESULT'!D26,'GREEN SHEET'!$D$6:$D$51,0),167)</f>
        <v/>
      </c>
      <c r="J26" s="601" t="str">
        <f>INDEX('GREEN SHEET'!$B$6:$GB$51, MATCH('MAIN EXAM RESULT'!D26,'GREEN SHEET'!$D$6:$D$51,0),174)</f>
        <v/>
      </c>
      <c r="K26" s="377" t="str">
        <f>INDEX('GREEN SHEET'!$B$6:$GB$51, MATCH('MAIN EXAM RESULT'!D26,'GREEN SHEET'!$D$6:$D$51,0),175)</f>
        <v/>
      </c>
      <c r="L26" s="60"/>
    </row>
    <row r="27" spans="1:12" s="194" customFormat="1" ht="22.2" customHeight="1" x14ac:dyDescent="0.25">
      <c r="A27" s="60"/>
      <c r="B27" s="376">
        <f>IF(DATA!B24="","",DATA!B24)</f>
        <v>20</v>
      </c>
      <c r="C27" s="96" t="str">
        <f>IF(DATA!C24="","",DATA!C24)</f>
        <v/>
      </c>
      <c r="D27" s="96" t="str">
        <f>IF(DATA!D24="","",DATA!D24)</f>
        <v/>
      </c>
      <c r="E27" s="303" t="str">
        <f>IF(DATA!E24="","",DATA!E24)</f>
        <v/>
      </c>
      <c r="F27" s="303" t="str">
        <f>IF(DATA!F24="","",DATA!F24)</f>
        <v/>
      </c>
      <c r="G27" s="303" t="str">
        <f>IF(DATA!G24="","",DATA!G24)</f>
        <v/>
      </c>
      <c r="H27" s="303" t="str">
        <f>INDEX('GREEN SHEET'!$B$6:$GB$51, MATCH('MAIN EXAM RESULT'!D27,'GREEN SHEET'!$D$6:$D$51,0),165)</f>
        <v/>
      </c>
      <c r="I27" s="598" t="str">
        <f>INDEX('GREEN SHEET'!$B$6:$GB$51, MATCH('MAIN EXAM RESULT'!D27,'GREEN SHEET'!$D$6:$D$51,0),167)</f>
        <v/>
      </c>
      <c r="J27" s="601" t="str">
        <f>INDEX('GREEN SHEET'!$B$6:$GB$51, MATCH('MAIN EXAM RESULT'!D27,'GREEN SHEET'!$D$6:$D$51,0),174)</f>
        <v/>
      </c>
      <c r="K27" s="377" t="str">
        <f>INDEX('GREEN SHEET'!$B$6:$GB$51, MATCH('MAIN EXAM RESULT'!D27,'GREEN SHEET'!$D$6:$D$51,0),175)</f>
        <v/>
      </c>
      <c r="L27" s="60"/>
    </row>
    <row r="28" spans="1:12" s="194" customFormat="1" ht="22.2" customHeight="1" x14ac:dyDescent="0.25">
      <c r="A28" s="60"/>
      <c r="B28" s="376">
        <f>IF(DATA!B25="","",DATA!B25)</f>
        <v>21</v>
      </c>
      <c r="C28" s="96" t="str">
        <f>IF(DATA!C25="","",DATA!C25)</f>
        <v/>
      </c>
      <c r="D28" s="96" t="str">
        <f>IF(DATA!D25="","",DATA!D25)</f>
        <v/>
      </c>
      <c r="E28" s="303" t="str">
        <f>IF(DATA!E25="","",DATA!E25)</f>
        <v/>
      </c>
      <c r="F28" s="303" t="str">
        <f>IF(DATA!F25="","",DATA!F25)</f>
        <v/>
      </c>
      <c r="G28" s="303" t="str">
        <f>IF(DATA!G25="","",DATA!G25)</f>
        <v/>
      </c>
      <c r="H28" s="303" t="str">
        <f>INDEX('GREEN SHEET'!$B$6:$GB$51, MATCH('MAIN EXAM RESULT'!D28,'GREEN SHEET'!$D$6:$D$51,0),165)</f>
        <v/>
      </c>
      <c r="I28" s="598" t="str">
        <f>INDEX('GREEN SHEET'!$B$6:$GB$51, MATCH('MAIN EXAM RESULT'!D28,'GREEN SHEET'!$D$6:$D$51,0),167)</f>
        <v/>
      </c>
      <c r="J28" s="601" t="str">
        <f>INDEX('GREEN SHEET'!$B$6:$GB$51, MATCH('MAIN EXAM RESULT'!D28,'GREEN SHEET'!$D$6:$D$51,0),174)</f>
        <v/>
      </c>
      <c r="K28" s="377" t="str">
        <f>INDEX('GREEN SHEET'!$B$6:$GB$51, MATCH('MAIN EXAM RESULT'!D28,'GREEN SHEET'!$D$6:$D$51,0),175)</f>
        <v/>
      </c>
      <c r="L28" s="60"/>
    </row>
    <row r="29" spans="1:12" s="194" customFormat="1" ht="22.2" customHeight="1" x14ac:dyDescent="0.25">
      <c r="A29" s="60"/>
      <c r="B29" s="376">
        <f>IF(DATA!B26="","",DATA!B26)</f>
        <v>22</v>
      </c>
      <c r="C29" s="96" t="str">
        <f>IF(DATA!C26="","",DATA!C26)</f>
        <v/>
      </c>
      <c r="D29" s="96" t="str">
        <f>IF(DATA!D26="","",DATA!D26)</f>
        <v/>
      </c>
      <c r="E29" s="303" t="str">
        <f>IF(DATA!E26="","",DATA!E26)</f>
        <v/>
      </c>
      <c r="F29" s="303" t="str">
        <f>IF(DATA!F26="","",DATA!F26)</f>
        <v/>
      </c>
      <c r="G29" s="303" t="str">
        <f>IF(DATA!G26="","",DATA!G26)</f>
        <v/>
      </c>
      <c r="H29" s="303" t="str">
        <f>INDEX('GREEN SHEET'!$B$6:$GB$51, MATCH('MAIN EXAM RESULT'!D29,'GREEN SHEET'!$D$6:$D$51,0),165)</f>
        <v/>
      </c>
      <c r="I29" s="598" t="str">
        <f>INDEX('GREEN SHEET'!$B$6:$GB$51, MATCH('MAIN EXAM RESULT'!D29,'GREEN SHEET'!$D$6:$D$51,0),167)</f>
        <v/>
      </c>
      <c r="J29" s="601" t="str">
        <f>INDEX('GREEN SHEET'!$B$6:$GB$51, MATCH('MAIN EXAM RESULT'!D29,'GREEN SHEET'!$D$6:$D$51,0),174)</f>
        <v/>
      </c>
      <c r="K29" s="377" t="str">
        <f>INDEX('GREEN SHEET'!$B$6:$GB$51, MATCH('MAIN EXAM RESULT'!D29,'GREEN SHEET'!$D$6:$D$51,0),175)</f>
        <v/>
      </c>
      <c r="L29" s="60"/>
    </row>
    <row r="30" spans="1:12" s="194" customFormat="1" ht="22.2" customHeight="1" x14ac:dyDescent="0.25">
      <c r="A30" s="60"/>
      <c r="B30" s="376">
        <f>IF(DATA!B27="","",DATA!B27)</f>
        <v>23</v>
      </c>
      <c r="C30" s="96" t="str">
        <f>IF(DATA!C27="","",DATA!C27)</f>
        <v/>
      </c>
      <c r="D30" s="96" t="str">
        <f>IF(DATA!D27="","",DATA!D27)</f>
        <v/>
      </c>
      <c r="E30" s="303" t="str">
        <f>IF(DATA!E27="","",DATA!E27)</f>
        <v/>
      </c>
      <c r="F30" s="303" t="str">
        <f>IF(DATA!F27="","",DATA!F27)</f>
        <v/>
      </c>
      <c r="G30" s="303" t="str">
        <f>IF(DATA!G27="","",DATA!G27)</f>
        <v/>
      </c>
      <c r="H30" s="303" t="str">
        <f>INDEX('GREEN SHEET'!$B$6:$GB$51, MATCH('MAIN EXAM RESULT'!D30,'GREEN SHEET'!$D$6:$D$51,0),165)</f>
        <v/>
      </c>
      <c r="I30" s="598" t="str">
        <f>INDEX('GREEN SHEET'!$B$6:$GB$51, MATCH('MAIN EXAM RESULT'!D30,'GREEN SHEET'!$D$6:$D$51,0),167)</f>
        <v/>
      </c>
      <c r="J30" s="601" t="str">
        <f>INDEX('GREEN SHEET'!$B$6:$GB$51, MATCH('MAIN EXAM RESULT'!D30,'GREEN SHEET'!$D$6:$D$51,0),174)</f>
        <v/>
      </c>
      <c r="K30" s="377" t="str">
        <f>INDEX('GREEN SHEET'!$B$6:$GB$51, MATCH('MAIN EXAM RESULT'!D30,'GREEN SHEET'!$D$6:$D$51,0),175)</f>
        <v/>
      </c>
      <c r="L30" s="60"/>
    </row>
    <row r="31" spans="1:12" s="194" customFormat="1" ht="22.2" customHeight="1" x14ac:dyDescent="0.25">
      <c r="A31" s="60"/>
      <c r="B31" s="376">
        <f>IF(DATA!B28="","",DATA!B28)</f>
        <v>24</v>
      </c>
      <c r="C31" s="96" t="str">
        <f>IF(DATA!C28="","",DATA!C28)</f>
        <v/>
      </c>
      <c r="D31" s="96" t="str">
        <f>IF(DATA!D28="","",DATA!D28)</f>
        <v/>
      </c>
      <c r="E31" s="303" t="str">
        <f>IF(DATA!E28="","",DATA!E28)</f>
        <v/>
      </c>
      <c r="F31" s="303" t="str">
        <f>IF(DATA!F28="","",DATA!F28)</f>
        <v/>
      </c>
      <c r="G31" s="303" t="str">
        <f>IF(DATA!G28="","",DATA!G28)</f>
        <v/>
      </c>
      <c r="H31" s="303" t="str">
        <f>INDEX('GREEN SHEET'!$B$6:$GB$51, MATCH('MAIN EXAM RESULT'!D31,'GREEN SHEET'!$D$6:$D$51,0),165)</f>
        <v/>
      </c>
      <c r="I31" s="598" t="str">
        <f>INDEX('GREEN SHEET'!$B$6:$GB$51, MATCH('MAIN EXAM RESULT'!D31,'GREEN SHEET'!$D$6:$D$51,0),167)</f>
        <v/>
      </c>
      <c r="J31" s="601" t="str">
        <f>INDEX('GREEN SHEET'!$B$6:$GB$51, MATCH('MAIN EXAM RESULT'!D31,'GREEN SHEET'!$D$6:$D$51,0),174)</f>
        <v/>
      </c>
      <c r="K31" s="377" t="str">
        <f>INDEX('GREEN SHEET'!$B$6:$GB$51, MATCH('MAIN EXAM RESULT'!D31,'GREEN SHEET'!$D$6:$D$51,0),175)</f>
        <v/>
      </c>
      <c r="L31" s="60"/>
    </row>
    <row r="32" spans="1:12" s="194" customFormat="1" ht="22.2" customHeight="1" x14ac:dyDescent="0.25">
      <c r="A32" s="60"/>
      <c r="B32" s="376">
        <f>IF(DATA!B29="","",DATA!B29)</f>
        <v>25</v>
      </c>
      <c r="C32" s="96" t="str">
        <f>IF(DATA!C29="","",DATA!C29)</f>
        <v/>
      </c>
      <c r="D32" s="96" t="str">
        <f>IF(DATA!D29="","",DATA!D29)</f>
        <v/>
      </c>
      <c r="E32" s="303" t="str">
        <f>IF(DATA!E29="","",DATA!E29)</f>
        <v/>
      </c>
      <c r="F32" s="303" t="str">
        <f>IF(DATA!F29="","",DATA!F29)</f>
        <v/>
      </c>
      <c r="G32" s="303" t="str">
        <f>IF(DATA!G29="","",DATA!G29)</f>
        <v/>
      </c>
      <c r="H32" s="303" t="str">
        <f>INDEX('GREEN SHEET'!$B$6:$GB$51, MATCH('MAIN EXAM RESULT'!D32,'GREEN SHEET'!$D$6:$D$51,0),165)</f>
        <v/>
      </c>
      <c r="I32" s="598" t="str">
        <f>INDEX('GREEN SHEET'!$B$6:$GB$51, MATCH('MAIN EXAM RESULT'!D32,'GREEN SHEET'!$D$6:$D$51,0),167)</f>
        <v/>
      </c>
      <c r="J32" s="601" t="str">
        <f>INDEX('GREEN SHEET'!$B$6:$GB$51, MATCH('MAIN EXAM RESULT'!D32,'GREEN SHEET'!$D$6:$D$51,0),174)</f>
        <v/>
      </c>
      <c r="K32" s="377" t="str">
        <f>INDEX('GREEN SHEET'!$B$6:$GB$51, MATCH('MAIN EXAM RESULT'!D32,'GREEN SHEET'!$D$6:$D$51,0),175)</f>
        <v/>
      </c>
      <c r="L32" s="60"/>
    </row>
    <row r="33" spans="1:12" s="194" customFormat="1" ht="22.2" customHeight="1" x14ac:dyDescent="0.25">
      <c r="A33" s="60"/>
      <c r="B33" s="376">
        <f>IF(DATA!B30="","",DATA!B30)</f>
        <v>26</v>
      </c>
      <c r="C33" s="96" t="str">
        <f>IF(DATA!C30="","",DATA!C30)</f>
        <v/>
      </c>
      <c r="D33" s="96" t="str">
        <f>IF(DATA!D30="","",DATA!D30)</f>
        <v/>
      </c>
      <c r="E33" s="303" t="str">
        <f>IF(DATA!E30="","",DATA!E30)</f>
        <v/>
      </c>
      <c r="F33" s="303" t="str">
        <f>IF(DATA!F30="","",DATA!F30)</f>
        <v/>
      </c>
      <c r="G33" s="303" t="str">
        <f>IF(DATA!G30="","",DATA!G30)</f>
        <v/>
      </c>
      <c r="H33" s="303" t="str">
        <f>INDEX('GREEN SHEET'!$B$6:$GB$51, MATCH('MAIN EXAM RESULT'!D33,'GREEN SHEET'!$D$6:$D$51,0),165)</f>
        <v/>
      </c>
      <c r="I33" s="598" t="str">
        <f>INDEX('GREEN SHEET'!$B$6:$GB$51, MATCH('MAIN EXAM RESULT'!D33,'GREEN SHEET'!$D$6:$D$51,0),167)</f>
        <v/>
      </c>
      <c r="J33" s="601" t="str">
        <f>INDEX('GREEN SHEET'!$B$6:$GB$51, MATCH('MAIN EXAM RESULT'!D33,'GREEN SHEET'!$D$6:$D$51,0),174)</f>
        <v/>
      </c>
      <c r="K33" s="377" t="str">
        <f>INDEX('GREEN SHEET'!$B$6:$GB$51, MATCH('MAIN EXAM RESULT'!D33,'GREEN SHEET'!$D$6:$D$51,0),175)</f>
        <v/>
      </c>
      <c r="L33" s="60"/>
    </row>
    <row r="34" spans="1:12" s="194" customFormat="1" ht="22.2" customHeight="1" x14ac:dyDescent="0.25">
      <c r="A34" s="60"/>
      <c r="B34" s="376">
        <f>IF(DATA!B31="","",DATA!B31)</f>
        <v>27</v>
      </c>
      <c r="C34" s="96" t="str">
        <f>IF(DATA!C31="","",DATA!C31)</f>
        <v/>
      </c>
      <c r="D34" s="96" t="str">
        <f>IF(DATA!D31="","",DATA!D31)</f>
        <v/>
      </c>
      <c r="E34" s="303" t="str">
        <f>IF(DATA!E31="","",DATA!E31)</f>
        <v/>
      </c>
      <c r="F34" s="303" t="str">
        <f>IF(DATA!F31="","",DATA!F31)</f>
        <v/>
      </c>
      <c r="G34" s="303" t="str">
        <f>IF(DATA!G31="","",DATA!G31)</f>
        <v/>
      </c>
      <c r="H34" s="303" t="str">
        <f>INDEX('GREEN SHEET'!$B$6:$GB$51, MATCH('MAIN EXAM RESULT'!D34,'GREEN SHEET'!$D$6:$D$51,0),165)</f>
        <v/>
      </c>
      <c r="I34" s="598" t="str">
        <f>INDEX('GREEN SHEET'!$B$6:$GB$51, MATCH('MAIN EXAM RESULT'!D34,'GREEN SHEET'!$D$6:$D$51,0),167)</f>
        <v/>
      </c>
      <c r="J34" s="601" t="str">
        <f>INDEX('GREEN SHEET'!$B$6:$GB$51, MATCH('MAIN EXAM RESULT'!D34,'GREEN SHEET'!$D$6:$D$51,0),174)</f>
        <v/>
      </c>
      <c r="K34" s="377" t="str">
        <f>INDEX('GREEN SHEET'!$B$6:$GB$51, MATCH('MAIN EXAM RESULT'!D34,'GREEN SHEET'!$D$6:$D$51,0),175)</f>
        <v/>
      </c>
      <c r="L34" s="60"/>
    </row>
    <row r="35" spans="1:12" s="194" customFormat="1" ht="22.2" customHeight="1" x14ac:dyDescent="0.25">
      <c r="A35" s="60"/>
      <c r="B35" s="376">
        <f>IF(DATA!B32="","",DATA!B32)</f>
        <v>28</v>
      </c>
      <c r="C35" s="96" t="str">
        <f>IF(DATA!C32="","",DATA!C32)</f>
        <v/>
      </c>
      <c r="D35" s="96" t="str">
        <f>IF(DATA!D32="","",DATA!D32)</f>
        <v/>
      </c>
      <c r="E35" s="303" t="str">
        <f>IF(DATA!E32="","",DATA!E32)</f>
        <v/>
      </c>
      <c r="F35" s="303" t="str">
        <f>IF(DATA!F32="","",DATA!F32)</f>
        <v/>
      </c>
      <c r="G35" s="303" t="str">
        <f>IF(DATA!G32="","",DATA!G32)</f>
        <v/>
      </c>
      <c r="H35" s="303" t="str">
        <f>INDEX('GREEN SHEET'!$B$6:$GB$51, MATCH('MAIN EXAM RESULT'!D35,'GREEN SHEET'!$D$6:$D$51,0),165)</f>
        <v/>
      </c>
      <c r="I35" s="598" t="str">
        <f>INDEX('GREEN SHEET'!$B$6:$GB$51, MATCH('MAIN EXAM RESULT'!D35,'GREEN SHEET'!$D$6:$D$51,0),167)</f>
        <v/>
      </c>
      <c r="J35" s="601" t="str">
        <f>INDEX('GREEN SHEET'!$B$6:$GB$51, MATCH('MAIN EXAM RESULT'!D35,'GREEN SHEET'!$D$6:$D$51,0),174)</f>
        <v/>
      </c>
      <c r="K35" s="377" t="str">
        <f>INDEX('GREEN SHEET'!$B$6:$GB$51, MATCH('MAIN EXAM RESULT'!D35,'GREEN SHEET'!$D$6:$D$51,0),175)</f>
        <v/>
      </c>
      <c r="L35" s="60"/>
    </row>
    <row r="36" spans="1:12" s="194" customFormat="1" ht="22.2" customHeight="1" x14ac:dyDescent="0.25">
      <c r="A36" s="60"/>
      <c r="B36" s="376">
        <f>IF(DATA!B33="","",DATA!B33)</f>
        <v>29</v>
      </c>
      <c r="C36" s="96" t="str">
        <f>IF(DATA!C33="","",DATA!C33)</f>
        <v/>
      </c>
      <c r="D36" s="96" t="str">
        <f>IF(DATA!D33="","",DATA!D33)</f>
        <v/>
      </c>
      <c r="E36" s="303" t="str">
        <f>IF(DATA!E33="","",DATA!E33)</f>
        <v/>
      </c>
      <c r="F36" s="303" t="str">
        <f>IF(DATA!F33="","",DATA!F33)</f>
        <v/>
      </c>
      <c r="G36" s="303" t="str">
        <f>IF(DATA!G33="","",DATA!G33)</f>
        <v/>
      </c>
      <c r="H36" s="303" t="str">
        <f>INDEX('GREEN SHEET'!$B$6:$GB$51, MATCH('MAIN EXAM RESULT'!D36,'GREEN SHEET'!$D$6:$D$51,0),165)</f>
        <v/>
      </c>
      <c r="I36" s="598" t="str">
        <f>INDEX('GREEN SHEET'!$B$6:$GB$51, MATCH('MAIN EXAM RESULT'!D36,'GREEN SHEET'!$D$6:$D$51,0),167)</f>
        <v/>
      </c>
      <c r="J36" s="601" t="str">
        <f>INDEX('GREEN SHEET'!$B$6:$GB$51, MATCH('MAIN EXAM RESULT'!D36,'GREEN SHEET'!$D$6:$D$51,0),174)</f>
        <v/>
      </c>
      <c r="K36" s="377" t="str">
        <f>INDEX('GREEN SHEET'!$B$6:$GB$51, MATCH('MAIN EXAM RESULT'!D36,'GREEN SHEET'!$D$6:$D$51,0),175)</f>
        <v/>
      </c>
      <c r="L36" s="60"/>
    </row>
    <row r="37" spans="1:12" s="194" customFormat="1" ht="22.2" customHeight="1" x14ac:dyDescent="0.25">
      <c r="A37" s="60"/>
      <c r="B37" s="376">
        <f>IF(DATA!B34="","",DATA!B34)</f>
        <v>30</v>
      </c>
      <c r="C37" s="96" t="str">
        <f>IF(DATA!C34="","",DATA!C34)</f>
        <v/>
      </c>
      <c r="D37" s="96" t="str">
        <f>IF(DATA!D34="","",DATA!D34)</f>
        <v/>
      </c>
      <c r="E37" s="303" t="str">
        <f>IF(DATA!E34="","",DATA!E34)</f>
        <v/>
      </c>
      <c r="F37" s="303" t="str">
        <f>IF(DATA!F34="","",DATA!F34)</f>
        <v/>
      </c>
      <c r="G37" s="303" t="str">
        <f>IF(DATA!G34="","",DATA!G34)</f>
        <v/>
      </c>
      <c r="H37" s="303" t="str">
        <f>INDEX('GREEN SHEET'!$B$6:$GB$51, MATCH('MAIN EXAM RESULT'!D37,'GREEN SHEET'!$D$6:$D$51,0),165)</f>
        <v/>
      </c>
      <c r="I37" s="598" t="str">
        <f>INDEX('GREEN SHEET'!$B$6:$GB$51, MATCH('MAIN EXAM RESULT'!D37,'GREEN SHEET'!$D$6:$D$51,0),167)</f>
        <v/>
      </c>
      <c r="J37" s="601" t="str">
        <f>INDEX('GREEN SHEET'!$B$6:$GB$51, MATCH('MAIN EXAM RESULT'!D37,'GREEN SHEET'!$D$6:$D$51,0),174)</f>
        <v/>
      </c>
      <c r="K37" s="377" t="str">
        <f>INDEX('GREEN SHEET'!$B$6:$GB$51, MATCH('MAIN EXAM RESULT'!D37,'GREEN SHEET'!$D$6:$D$51,0),175)</f>
        <v/>
      </c>
      <c r="L37" s="60"/>
    </row>
    <row r="38" spans="1:12" s="194" customFormat="1" ht="22.2" customHeight="1" x14ac:dyDescent="0.25">
      <c r="A38" s="60"/>
      <c r="B38" s="376">
        <f>IF(DATA!B35="","",DATA!B35)</f>
        <v>31</v>
      </c>
      <c r="C38" s="96" t="str">
        <f>IF(DATA!C35="","",DATA!C35)</f>
        <v/>
      </c>
      <c r="D38" s="96" t="str">
        <f>IF(DATA!D35="","",DATA!D35)</f>
        <v/>
      </c>
      <c r="E38" s="303" t="str">
        <f>IF(DATA!E35="","",DATA!E35)</f>
        <v/>
      </c>
      <c r="F38" s="303" t="str">
        <f>IF(DATA!F35="","",DATA!F35)</f>
        <v/>
      </c>
      <c r="G38" s="303" t="str">
        <f>IF(DATA!G35="","",DATA!G35)</f>
        <v/>
      </c>
      <c r="H38" s="303" t="str">
        <f>INDEX('GREEN SHEET'!$B$6:$GB$51, MATCH('MAIN EXAM RESULT'!D38,'GREEN SHEET'!$D$6:$D$51,0),165)</f>
        <v/>
      </c>
      <c r="I38" s="598" t="str">
        <f>INDEX('GREEN SHEET'!$B$6:$GB$51, MATCH('MAIN EXAM RESULT'!D38,'GREEN SHEET'!$D$6:$D$51,0),167)</f>
        <v/>
      </c>
      <c r="J38" s="601" t="str">
        <f>INDEX('GREEN SHEET'!$B$6:$GB$51, MATCH('MAIN EXAM RESULT'!D38,'GREEN SHEET'!$D$6:$D$51,0),174)</f>
        <v/>
      </c>
      <c r="K38" s="377" t="str">
        <f>INDEX('GREEN SHEET'!$B$6:$GB$51, MATCH('MAIN EXAM RESULT'!D38,'GREEN SHEET'!$D$6:$D$51,0),175)</f>
        <v/>
      </c>
      <c r="L38" s="60"/>
    </row>
    <row r="39" spans="1:12" s="194" customFormat="1" ht="22.2" customHeight="1" x14ac:dyDescent="0.25">
      <c r="A39" s="60"/>
      <c r="B39" s="376">
        <f>IF(DATA!B36="","",DATA!B36)</f>
        <v>32</v>
      </c>
      <c r="C39" s="96" t="str">
        <f>IF(DATA!C36="","",DATA!C36)</f>
        <v/>
      </c>
      <c r="D39" s="96" t="str">
        <f>IF(DATA!D36="","",DATA!D36)</f>
        <v/>
      </c>
      <c r="E39" s="303" t="str">
        <f>IF(DATA!E36="","",DATA!E36)</f>
        <v/>
      </c>
      <c r="F39" s="303" t="str">
        <f>IF(DATA!F36="","",DATA!F36)</f>
        <v/>
      </c>
      <c r="G39" s="303" t="str">
        <f>IF(DATA!G36="","",DATA!G36)</f>
        <v/>
      </c>
      <c r="H39" s="303" t="str">
        <f>INDEX('GREEN SHEET'!$B$6:$GB$51, MATCH('MAIN EXAM RESULT'!D39,'GREEN SHEET'!$D$6:$D$51,0),165)</f>
        <v/>
      </c>
      <c r="I39" s="598" t="str">
        <f>INDEX('GREEN SHEET'!$B$6:$GB$51, MATCH('MAIN EXAM RESULT'!D39,'GREEN SHEET'!$D$6:$D$51,0),167)</f>
        <v/>
      </c>
      <c r="J39" s="601" t="str">
        <f>INDEX('GREEN SHEET'!$B$6:$GB$51, MATCH('MAIN EXAM RESULT'!D39,'GREEN SHEET'!$D$6:$D$51,0),174)</f>
        <v/>
      </c>
      <c r="K39" s="377" t="str">
        <f>INDEX('GREEN SHEET'!$B$6:$GB$51, MATCH('MAIN EXAM RESULT'!D39,'GREEN SHEET'!$D$6:$D$51,0),175)</f>
        <v/>
      </c>
      <c r="L39" s="60"/>
    </row>
    <row r="40" spans="1:12" s="194" customFormat="1" ht="22.2" customHeight="1" x14ac:dyDescent="0.25">
      <c r="A40" s="60"/>
      <c r="B40" s="376">
        <f>IF(DATA!B37="","",DATA!B37)</f>
        <v>33</v>
      </c>
      <c r="C40" s="96" t="str">
        <f>IF(DATA!C37="","",DATA!C37)</f>
        <v/>
      </c>
      <c r="D40" s="96" t="str">
        <f>IF(DATA!D37="","",DATA!D37)</f>
        <v/>
      </c>
      <c r="E40" s="303" t="str">
        <f>IF(DATA!E37="","",DATA!E37)</f>
        <v/>
      </c>
      <c r="F40" s="303" t="str">
        <f>IF(DATA!F37="","",DATA!F37)</f>
        <v/>
      </c>
      <c r="G40" s="303" t="str">
        <f>IF(DATA!G37="","",DATA!G37)</f>
        <v/>
      </c>
      <c r="H40" s="303" t="str">
        <f>INDEX('GREEN SHEET'!$B$6:$GB$51, MATCH('MAIN EXAM RESULT'!D40,'GREEN SHEET'!$D$6:$D$51,0),165)</f>
        <v/>
      </c>
      <c r="I40" s="598" t="str">
        <f>INDEX('GREEN SHEET'!$B$6:$GB$51, MATCH('MAIN EXAM RESULT'!D40,'GREEN SHEET'!$D$6:$D$51,0),167)</f>
        <v/>
      </c>
      <c r="J40" s="601" t="str">
        <f>INDEX('GREEN SHEET'!$B$6:$GB$51, MATCH('MAIN EXAM RESULT'!D40,'GREEN SHEET'!$D$6:$D$51,0),174)</f>
        <v/>
      </c>
      <c r="K40" s="377" t="str">
        <f>INDEX('GREEN SHEET'!$B$6:$GB$51, MATCH('MAIN EXAM RESULT'!D40,'GREEN SHEET'!$D$6:$D$51,0),175)</f>
        <v/>
      </c>
      <c r="L40" s="60"/>
    </row>
    <row r="41" spans="1:12" s="194" customFormat="1" ht="22.2" customHeight="1" x14ac:dyDescent="0.25">
      <c r="A41" s="60"/>
      <c r="B41" s="376">
        <f>IF(DATA!B38="","",DATA!B38)</f>
        <v>34</v>
      </c>
      <c r="C41" s="96" t="str">
        <f>IF(DATA!C38="","",DATA!C38)</f>
        <v/>
      </c>
      <c r="D41" s="96" t="str">
        <f>IF(DATA!D38="","",DATA!D38)</f>
        <v/>
      </c>
      <c r="E41" s="303" t="str">
        <f>IF(DATA!E38="","",DATA!E38)</f>
        <v/>
      </c>
      <c r="F41" s="303" t="str">
        <f>IF(DATA!F38="","",DATA!F38)</f>
        <v/>
      </c>
      <c r="G41" s="303" t="str">
        <f>IF(DATA!G38="","",DATA!G38)</f>
        <v/>
      </c>
      <c r="H41" s="303" t="str">
        <f>INDEX('GREEN SHEET'!$B$6:$GB$51, MATCH('MAIN EXAM RESULT'!D41,'GREEN SHEET'!$D$6:$D$51,0),165)</f>
        <v/>
      </c>
      <c r="I41" s="598" t="str">
        <f>INDEX('GREEN SHEET'!$B$6:$GB$51, MATCH('MAIN EXAM RESULT'!D41,'GREEN SHEET'!$D$6:$D$51,0),167)</f>
        <v/>
      </c>
      <c r="J41" s="601" t="str">
        <f>INDEX('GREEN SHEET'!$B$6:$GB$51, MATCH('MAIN EXAM RESULT'!D41,'GREEN SHEET'!$D$6:$D$51,0),174)</f>
        <v/>
      </c>
      <c r="K41" s="377" t="str">
        <f>INDEX('GREEN SHEET'!$B$6:$GB$51, MATCH('MAIN EXAM RESULT'!D41,'GREEN SHEET'!$D$6:$D$51,0),175)</f>
        <v/>
      </c>
      <c r="L41" s="60"/>
    </row>
    <row r="42" spans="1:12" s="194" customFormat="1" ht="22.2" customHeight="1" x14ac:dyDescent="0.25">
      <c r="A42" s="60"/>
      <c r="B42" s="376">
        <f>IF(DATA!B39="","",DATA!B39)</f>
        <v>35</v>
      </c>
      <c r="C42" s="96" t="str">
        <f>IF(DATA!C39="","",DATA!C39)</f>
        <v/>
      </c>
      <c r="D42" s="96" t="str">
        <f>IF(DATA!D39="","",DATA!D39)</f>
        <v/>
      </c>
      <c r="E42" s="303" t="str">
        <f>IF(DATA!E39="","",DATA!E39)</f>
        <v/>
      </c>
      <c r="F42" s="303" t="str">
        <f>IF(DATA!F39="","",DATA!F39)</f>
        <v/>
      </c>
      <c r="G42" s="303" t="str">
        <f>IF(DATA!G39="","",DATA!G39)</f>
        <v/>
      </c>
      <c r="H42" s="303" t="str">
        <f>INDEX('GREEN SHEET'!$B$6:$GB$51, MATCH('MAIN EXAM RESULT'!D42,'GREEN SHEET'!$D$6:$D$51,0),165)</f>
        <v/>
      </c>
      <c r="I42" s="598" t="str">
        <f>INDEX('GREEN SHEET'!$B$6:$GB$51, MATCH('MAIN EXAM RESULT'!D42,'GREEN SHEET'!$D$6:$D$51,0),167)</f>
        <v/>
      </c>
      <c r="J42" s="601" t="str">
        <f>INDEX('GREEN SHEET'!$B$6:$GB$51, MATCH('MAIN EXAM RESULT'!D42,'GREEN SHEET'!$D$6:$D$51,0),174)</f>
        <v/>
      </c>
      <c r="K42" s="377" t="str">
        <f>INDEX('GREEN SHEET'!$B$6:$GB$51, MATCH('MAIN EXAM RESULT'!D42,'GREEN SHEET'!$D$6:$D$51,0),175)</f>
        <v/>
      </c>
      <c r="L42" s="60"/>
    </row>
    <row r="43" spans="1:12" s="194" customFormat="1" ht="22.2" customHeight="1" x14ac:dyDescent="0.25">
      <c r="A43" s="60"/>
      <c r="B43" s="376">
        <f>IF(DATA!B40="","",DATA!B40)</f>
        <v>36</v>
      </c>
      <c r="C43" s="96" t="str">
        <f>IF(DATA!C40="","",DATA!C40)</f>
        <v/>
      </c>
      <c r="D43" s="96" t="str">
        <f>IF(DATA!D40="","",DATA!D40)</f>
        <v/>
      </c>
      <c r="E43" s="303" t="str">
        <f>IF(DATA!E40="","",DATA!E40)</f>
        <v/>
      </c>
      <c r="F43" s="303" t="str">
        <f>IF(DATA!F40="","",DATA!F40)</f>
        <v/>
      </c>
      <c r="G43" s="303" t="str">
        <f>IF(DATA!G40="","",DATA!G40)</f>
        <v/>
      </c>
      <c r="H43" s="303" t="str">
        <f>INDEX('GREEN SHEET'!$B$6:$GB$51, MATCH('MAIN EXAM RESULT'!D43,'GREEN SHEET'!$D$6:$D$51,0),165)</f>
        <v/>
      </c>
      <c r="I43" s="598" t="str">
        <f>INDEX('GREEN SHEET'!$B$6:$GB$51, MATCH('MAIN EXAM RESULT'!D43,'GREEN SHEET'!$D$6:$D$51,0),167)</f>
        <v/>
      </c>
      <c r="J43" s="601" t="str">
        <f>INDEX('GREEN SHEET'!$B$6:$GB$51, MATCH('MAIN EXAM RESULT'!D43,'GREEN SHEET'!$D$6:$D$51,0),174)</f>
        <v/>
      </c>
      <c r="K43" s="377" t="str">
        <f>INDEX('GREEN SHEET'!$B$6:$GB$51, MATCH('MAIN EXAM RESULT'!D43,'GREEN SHEET'!$D$6:$D$51,0),175)</f>
        <v/>
      </c>
      <c r="L43" s="60"/>
    </row>
    <row r="44" spans="1:12" s="194" customFormat="1" ht="22.2" customHeight="1" x14ac:dyDescent="0.25">
      <c r="A44" s="60"/>
      <c r="B44" s="376">
        <f>IF(DATA!B41="","",DATA!B41)</f>
        <v>37</v>
      </c>
      <c r="C44" s="96" t="str">
        <f>IF(DATA!C41="","",DATA!C41)</f>
        <v/>
      </c>
      <c r="D44" s="96" t="str">
        <f>IF(DATA!D41="","",DATA!D41)</f>
        <v/>
      </c>
      <c r="E44" s="303" t="str">
        <f>IF(DATA!E41="","",DATA!E41)</f>
        <v/>
      </c>
      <c r="F44" s="303" t="str">
        <f>IF(DATA!F41="","",DATA!F41)</f>
        <v/>
      </c>
      <c r="G44" s="303" t="str">
        <f>IF(DATA!G41="","",DATA!G41)</f>
        <v/>
      </c>
      <c r="H44" s="303" t="str">
        <f>INDEX('GREEN SHEET'!$B$6:$GB$51, MATCH('MAIN EXAM RESULT'!D44,'GREEN SHEET'!$D$6:$D$51,0),165)</f>
        <v/>
      </c>
      <c r="I44" s="598" t="str">
        <f>INDEX('GREEN SHEET'!$B$6:$GB$51, MATCH('MAIN EXAM RESULT'!D44,'GREEN SHEET'!$D$6:$D$51,0),167)</f>
        <v/>
      </c>
      <c r="J44" s="601" t="str">
        <f>INDEX('GREEN SHEET'!$B$6:$GB$51, MATCH('MAIN EXAM RESULT'!D44,'GREEN SHEET'!$D$6:$D$51,0),174)</f>
        <v/>
      </c>
      <c r="K44" s="377" t="str">
        <f>INDEX('GREEN SHEET'!$B$6:$GB$51, MATCH('MAIN EXAM RESULT'!D44,'GREEN SHEET'!$D$6:$D$51,0),175)</f>
        <v/>
      </c>
      <c r="L44" s="60"/>
    </row>
    <row r="45" spans="1:12" s="194" customFormat="1" ht="22.2" customHeight="1" x14ac:dyDescent="0.25">
      <c r="A45" s="60"/>
      <c r="B45" s="376">
        <f>IF(DATA!B42="","",DATA!B42)</f>
        <v>38</v>
      </c>
      <c r="C45" s="96" t="str">
        <f>IF(DATA!C42="","",DATA!C42)</f>
        <v/>
      </c>
      <c r="D45" s="96" t="str">
        <f>IF(DATA!D42="","",DATA!D42)</f>
        <v/>
      </c>
      <c r="E45" s="303" t="str">
        <f>IF(DATA!E42="","",DATA!E42)</f>
        <v/>
      </c>
      <c r="F45" s="303" t="str">
        <f>IF(DATA!F42="","",DATA!F42)</f>
        <v/>
      </c>
      <c r="G45" s="303" t="str">
        <f>IF(DATA!G42="","",DATA!G42)</f>
        <v/>
      </c>
      <c r="H45" s="303" t="str">
        <f>INDEX('GREEN SHEET'!$B$6:$GB$51, MATCH('MAIN EXAM RESULT'!D45,'GREEN SHEET'!$D$6:$D$51,0),165)</f>
        <v/>
      </c>
      <c r="I45" s="598" t="str">
        <f>INDEX('GREEN SHEET'!$B$6:$GB$51, MATCH('MAIN EXAM RESULT'!D45,'GREEN SHEET'!$D$6:$D$51,0),167)</f>
        <v/>
      </c>
      <c r="J45" s="601" t="str">
        <f>INDEX('GREEN SHEET'!$B$6:$GB$51, MATCH('MAIN EXAM RESULT'!D45,'GREEN SHEET'!$D$6:$D$51,0),174)</f>
        <v/>
      </c>
      <c r="K45" s="377" t="str">
        <f>INDEX('GREEN SHEET'!$B$6:$GB$51, MATCH('MAIN EXAM RESULT'!D45,'GREEN SHEET'!$D$6:$D$51,0),175)</f>
        <v/>
      </c>
      <c r="L45" s="60"/>
    </row>
    <row r="46" spans="1:12" s="194" customFormat="1" ht="22.2" customHeight="1" x14ac:dyDescent="0.25">
      <c r="A46" s="60"/>
      <c r="B46" s="376">
        <f>IF(DATA!B43="","",DATA!B43)</f>
        <v>39</v>
      </c>
      <c r="C46" s="96" t="str">
        <f>IF(DATA!C43="","",DATA!C43)</f>
        <v/>
      </c>
      <c r="D46" s="96" t="str">
        <f>IF(DATA!D43="","",DATA!D43)</f>
        <v/>
      </c>
      <c r="E46" s="303" t="str">
        <f>IF(DATA!E43="","",DATA!E43)</f>
        <v/>
      </c>
      <c r="F46" s="303" t="str">
        <f>IF(DATA!F43="","",DATA!F43)</f>
        <v/>
      </c>
      <c r="G46" s="303" t="str">
        <f>IF(DATA!G43="","",DATA!G43)</f>
        <v/>
      </c>
      <c r="H46" s="303" t="str">
        <f>INDEX('GREEN SHEET'!$B$6:$GB$51, MATCH('MAIN EXAM RESULT'!D46,'GREEN SHEET'!$D$6:$D$51,0),165)</f>
        <v/>
      </c>
      <c r="I46" s="598" t="str">
        <f>INDEX('GREEN SHEET'!$B$6:$GB$51, MATCH('MAIN EXAM RESULT'!D46,'GREEN SHEET'!$D$6:$D$51,0),167)</f>
        <v/>
      </c>
      <c r="J46" s="601" t="str">
        <f>INDEX('GREEN SHEET'!$B$6:$GB$51, MATCH('MAIN EXAM RESULT'!D46,'GREEN SHEET'!$D$6:$D$51,0),174)</f>
        <v/>
      </c>
      <c r="K46" s="377" t="str">
        <f>INDEX('GREEN SHEET'!$B$6:$GB$51, MATCH('MAIN EXAM RESULT'!D46,'GREEN SHEET'!$D$6:$D$51,0),175)</f>
        <v/>
      </c>
      <c r="L46" s="60"/>
    </row>
    <row r="47" spans="1:12" s="194" customFormat="1" ht="22.2" customHeight="1" x14ac:dyDescent="0.25">
      <c r="A47" s="60"/>
      <c r="B47" s="376">
        <f>IF(DATA!B44="","",DATA!B44)</f>
        <v>40</v>
      </c>
      <c r="C47" s="96" t="str">
        <f>IF(DATA!C44="","",DATA!C44)</f>
        <v/>
      </c>
      <c r="D47" s="96" t="str">
        <f>IF(DATA!D44="","",DATA!D44)</f>
        <v/>
      </c>
      <c r="E47" s="303" t="str">
        <f>IF(DATA!E44="","",DATA!E44)</f>
        <v/>
      </c>
      <c r="F47" s="303" t="str">
        <f>IF(DATA!F44="","",DATA!F44)</f>
        <v/>
      </c>
      <c r="G47" s="303" t="str">
        <f>IF(DATA!G44="","",DATA!G44)</f>
        <v/>
      </c>
      <c r="H47" s="303" t="str">
        <f>INDEX('GREEN SHEET'!$B$6:$GB$51, MATCH('MAIN EXAM RESULT'!D47,'GREEN SHEET'!$D$6:$D$51,0),165)</f>
        <v/>
      </c>
      <c r="I47" s="598" t="str">
        <f>INDEX('GREEN SHEET'!$B$6:$GB$51, MATCH('MAIN EXAM RESULT'!D47,'GREEN SHEET'!$D$6:$D$51,0),167)</f>
        <v/>
      </c>
      <c r="J47" s="601" t="str">
        <f>INDEX('GREEN SHEET'!$B$6:$GB$51, MATCH('MAIN EXAM RESULT'!D47,'GREEN SHEET'!$D$6:$D$51,0),174)</f>
        <v/>
      </c>
      <c r="K47" s="377" t="str">
        <f>INDEX('GREEN SHEET'!$B$6:$GB$51, MATCH('MAIN EXAM RESULT'!D47,'GREEN SHEET'!$D$6:$D$51,0),175)</f>
        <v/>
      </c>
      <c r="L47" s="60"/>
    </row>
    <row r="48" spans="1:12" s="194" customFormat="1" ht="22.2" customHeight="1" x14ac:dyDescent="0.25">
      <c r="A48" s="60"/>
      <c r="B48" s="376">
        <f>IF(DATA!B45="","",DATA!B45)</f>
        <v>41</v>
      </c>
      <c r="C48" s="96" t="str">
        <f>IF(DATA!C45="","",DATA!C45)</f>
        <v/>
      </c>
      <c r="D48" s="96" t="str">
        <f>IF(DATA!D45="","",DATA!D45)</f>
        <v/>
      </c>
      <c r="E48" s="303" t="str">
        <f>IF(DATA!E45="","",DATA!E45)</f>
        <v/>
      </c>
      <c r="F48" s="303" t="str">
        <f>IF(DATA!F45="","",DATA!F45)</f>
        <v/>
      </c>
      <c r="G48" s="303" t="str">
        <f>IF(DATA!G45="","",DATA!G45)</f>
        <v/>
      </c>
      <c r="H48" s="303" t="str">
        <f>INDEX('GREEN SHEET'!$B$6:$GB$51, MATCH('MAIN EXAM RESULT'!D48,'GREEN SHEET'!$D$6:$D$51,0),165)</f>
        <v/>
      </c>
      <c r="I48" s="598" t="str">
        <f>INDEX('GREEN SHEET'!$B$6:$GB$51, MATCH('MAIN EXAM RESULT'!D48,'GREEN SHEET'!$D$6:$D$51,0),167)</f>
        <v/>
      </c>
      <c r="J48" s="601" t="str">
        <f>INDEX('GREEN SHEET'!$B$6:$GB$51, MATCH('MAIN EXAM RESULT'!D48,'GREEN SHEET'!$D$6:$D$51,0),174)</f>
        <v/>
      </c>
      <c r="K48" s="377" t="str">
        <f>INDEX('GREEN SHEET'!$B$6:$GB$51, MATCH('MAIN EXAM RESULT'!D48,'GREEN SHEET'!$D$6:$D$51,0),175)</f>
        <v/>
      </c>
      <c r="L48" s="60"/>
    </row>
    <row r="49" spans="1:13" s="194" customFormat="1" ht="22.2" customHeight="1" x14ac:dyDescent="0.25">
      <c r="A49" s="60"/>
      <c r="B49" s="376">
        <f>IF(DATA!B46="","",DATA!B46)</f>
        <v>42</v>
      </c>
      <c r="C49" s="96" t="str">
        <f>IF(DATA!C46="","",DATA!C46)</f>
        <v/>
      </c>
      <c r="D49" s="96" t="str">
        <f>IF(DATA!D46="","",DATA!D46)</f>
        <v/>
      </c>
      <c r="E49" s="303" t="str">
        <f>IF(DATA!E46="","",DATA!E46)</f>
        <v/>
      </c>
      <c r="F49" s="303" t="str">
        <f>IF(DATA!F46="","",DATA!F46)</f>
        <v/>
      </c>
      <c r="G49" s="303" t="str">
        <f>IF(DATA!G46="","",DATA!G46)</f>
        <v/>
      </c>
      <c r="H49" s="303" t="str">
        <f>INDEX('GREEN SHEET'!$B$6:$GB$51, MATCH('MAIN EXAM RESULT'!D49,'GREEN SHEET'!$D$6:$D$51,0),165)</f>
        <v/>
      </c>
      <c r="I49" s="598" t="str">
        <f>INDEX('GREEN SHEET'!$B$6:$GB$51, MATCH('MAIN EXAM RESULT'!D49,'GREEN SHEET'!$D$6:$D$51,0),167)</f>
        <v/>
      </c>
      <c r="J49" s="601" t="str">
        <f>INDEX('GREEN SHEET'!$B$6:$GB$51, MATCH('MAIN EXAM RESULT'!D49,'GREEN SHEET'!$D$6:$D$51,0),174)</f>
        <v/>
      </c>
      <c r="K49" s="377" t="str">
        <f>INDEX('GREEN SHEET'!$B$6:$GB$51, MATCH('MAIN EXAM RESULT'!D49,'GREEN SHEET'!$D$6:$D$51,0),175)</f>
        <v/>
      </c>
      <c r="L49" s="60"/>
    </row>
    <row r="50" spans="1:13" s="194" customFormat="1" ht="22.2" customHeight="1" x14ac:dyDescent="0.25">
      <c r="A50" s="60"/>
      <c r="B50" s="376">
        <f>IF(DATA!B47="","",DATA!B47)</f>
        <v>43</v>
      </c>
      <c r="C50" s="96" t="str">
        <f>IF(DATA!C47="","",DATA!C47)</f>
        <v/>
      </c>
      <c r="D50" s="96" t="str">
        <f>IF(DATA!D47="","",DATA!D47)</f>
        <v/>
      </c>
      <c r="E50" s="303" t="str">
        <f>IF(DATA!E47="","",DATA!E47)</f>
        <v/>
      </c>
      <c r="F50" s="303" t="str">
        <f>IF(DATA!F47="","",DATA!F47)</f>
        <v/>
      </c>
      <c r="G50" s="303" t="str">
        <f>IF(DATA!G47="","",DATA!G47)</f>
        <v/>
      </c>
      <c r="H50" s="303" t="str">
        <f>INDEX('GREEN SHEET'!$B$6:$GB$51, MATCH('MAIN EXAM RESULT'!D50,'GREEN SHEET'!$D$6:$D$51,0),165)</f>
        <v/>
      </c>
      <c r="I50" s="598" t="str">
        <f>INDEX('GREEN SHEET'!$B$6:$GB$51, MATCH('MAIN EXAM RESULT'!D50,'GREEN SHEET'!$D$6:$D$51,0),167)</f>
        <v/>
      </c>
      <c r="J50" s="601" t="str">
        <f>INDEX('GREEN SHEET'!$B$6:$GB$51, MATCH('MAIN EXAM RESULT'!D50,'GREEN SHEET'!$D$6:$D$51,0),174)</f>
        <v/>
      </c>
      <c r="K50" s="377" t="str">
        <f>INDEX('GREEN SHEET'!$B$6:$GB$51, MATCH('MAIN EXAM RESULT'!D50,'GREEN SHEET'!$D$6:$D$51,0),175)</f>
        <v/>
      </c>
      <c r="L50" s="60"/>
    </row>
    <row r="51" spans="1:13" s="194" customFormat="1" ht="22.2" customHeight="1" thickBot="1" x14ac:dyDescent="0.3">
      <c r="A51" s="60"/>
      <c r="B51" s="378">
        <f>IF(DATA!B48="","",DATA!B48)</f>
        <v>44</v>
      </c>
      <c r="C51" s="379" t="str">
        <f>IF(DATA!C48="","",DATA!C48)</f>
        <v/>
      </c>
      <c r="D51" s="379" t="str">
        <f>IF(DATA!D48="","",DATA!D48)</f>
        <v/>
      </c>
      <c r="E51" s="380" t="str">
        <f>IF(DATA!E48="","",DATA!E48)</f>
        <v/>
      </c>
      <c r="F51" s="380" t="str">
        <f>IF(DATA!F48="","",DATA!F48)</f>
        <v/>
      </c>
      <c r="G51" s="380" t="str">
        <f>IF(DATA!G48="","",DATA!G48)</f>
        <v/>
      </c>
      <c r="H51" s="380" t="str">
        <f>INDEX('GREEN SHEET'!$B$6:$GB$51, MATCH('MAIN EXAM RESULT'!D51,'GREEN SHEET'!$D$6:$D$51,0),165)</f>
        <v/>
      </c>
      <c r="I51" s="599" t="str">
        <f>INDEX('GREEN SHEET'!$B$6:$GB$51, MATCH('MAIN EXAM RESULT'!D51,'GREEN SHEET'!$D$6:$D$51,0),167)</f>
        <v/>
      </c>
      <c r="J51" s="602" t="str">
        <f>INDEX('GREEN SHEET'!$B$6:$GB$51, MATCH('MAIN EXAM RESULT'!D51,'GREEN SHEET'!$D$6:$D$51,0),174)</f>
        <v/>
      </c>
      <c r="K51" s="381" t="str">
        <f>INDEX('GREEN SHEET'!$B$6:$GB$51, MATCH('MAIN EXAM RESULT'!D51,'GREEN SHEET'!$D$6:$D$51,0),175)</f>
        <v/>
      </c>
      <c r="L51" s="60"/>
    </row>
    <row r="52" spans="1:13" ht="75.75" customHeight="1" thickBot="1" x14ac:dyDescent="0.5">
      <c r="A52" s="60"/>
      <c r="B52" s="1063" t="s">
        <v>236</v>
      </c>
      <c r="C52" s="1064"/>
      <c r="D52" s="1064"/>
      <c r="E52" s="1065"/>
      <c r="F52" s="1066" t="s">
        <v>237</v>
      </c>
      <c r="G52" s="1067"/>
      <c r="H52" s="1068"/>
      <c r="I52" s="1066" t="s">
        <v>177</v>
      </c>
      <c r="J52" s="1069"/>
      <c r="K52" s="1070"/>
      <c r="L52" s="60"/>
      <c r="M52" s="382" t="str">
        <f>IF(L52="","",IF(L52&lt;33,"E",IF(AND(L52&gt;=33,L52&lt;41),"D",IF(AND(L52&gt;=41,L52&lt;51),"C2",IF(AND(L52&gt;=51,L52&lt;61),"C1",IF(AND(L52&gt;=61,L52&lt;71),"B2",IF(AND(L52&gt;=71,L52&lt;81),"B1",IF(AND(L52&gt;=81,L52&lt;91),"A2",IF(AND(L52&gt;=91,L52&lt;=100),"A1")))))))))</f>
        <v/>
      </c>
    </row>
    <row r="53" spans="1:13" s="194" customFormat="1" ht="22.2" customHeight="1" thickBot="1" x14ac:dyDescent="0.3">
      <c r="A53" s="60"/>
      <c r="B53" s="1047" t="str">
        <f>CONCATENATE("(",DASHBOARD!G8,")")</f>
        <v>()</v>
      </c>
      <c r="C53" s="1048"/>
      <c r="D53" s="1048"/>
      <c r="E53" s="1049"/>
      <c r="F53" s="1050" t="str">
        <f>CONCATENATE("(",DASHBOARD!H8,")")</f>
        <v>()</v>
      </c>
      <c r="G53" s="1051"/>
      <c r="H53" s="1052"/>
      <c r="I53" s="1050" t="str">
        <f>CONCATENATE("(",DASHBOARD!D8,")")</f>
        <v>()</v>
      </c>
      <c r="J53" s="1051"/>
      <c r="K53" s="1053"/>
      <c r="L53" s="60"/>
      <c r="M53" s="383"/>
    </row>
    <row r="54" spans="1:13" s="200" customFormat="1" ht="16.95" hidden="1" customHeight="1" x14ac:dyDescent="0.3">
      <c r="A54" s="199"/>
      <c r="B54" s="276"/>
      <c r="C54" s="276"/>
      <c r="D54" s="276"/>
      <c r="E54" s="124"/>
      <c r="F54" s="140"/>
      <c r="G54" s="140"/>
      <c r="H54" s="960" t="e">
        <f>IF(#REF!="0","","SVGMS")</f>
        <v>#REF!</v>
      </c>
      <c r="I54" s="962"/>
      <c r="J54" s="133"/>
      <c r="K54" s="134"/>
      <c r="L54" s="199"/>
    </row>
    <row r="55" spans="1:13" ht="16.95" hidden="1" customHeight="1" thickBot="1" x14ac:dyDescent="0.3">
      <c r="A55" s="60"/>
      <c r="B55" s="96"/>
      <c r="C55" s="96"/>
      <c r="D55" s="96"/>
      <c r="E55" s="97"/>
      <c r="F55" s="141"/>
      <c r="G55" s="139" t="s">
        <v>203</v>
      </c>
      <c r="H55" s="943"/>
      <c r="I55" s="963"/>
      <c r="J55" s="120"/>
      <c r="K55" s="121"/>
      <c r="L55" s="60"/>
    </row>
    <row r="56" spans="1:13" ht="16.95" hidden="1" customHeight="1" x14ac:dyDescent="0.25">
      <c r="A56" s="60"/>
      <c r="B56" s="96"/>
      <c r="C56" s="96"/>
      <c r="D56" s="96"/>
      <c r="E56" s="97"/>
      <c r="F56" s="141"/>
      <c r="G56" s="137" t="s">
        <v>166</v>
      </c>
      <c r="H56" s="943"/>
      <c r="I56" s="963"/>
      <c r="J56" s="968"/>
      <c r="K56" s="968"/>
      <c r="L56" s="60"/>
    </row>
    <row r="57" spans="1:13" ht="16.95" hidden="1" customHeight="1" x14ac:dyDescent="0.25">
      <c r="A57" s="60"/>
      <c r="B57" s="96"/>
      <c r="C57" s="96"/>
      <c r="D57" s="96"/>
      <c r="E57" s="97"/>
      <c r="F57" s="141"/>
      <c r="G57" s="137" t="s">
        <v>165</v>
      </c>
      <c r="H57" s="943"/>
      <c r="I57" s="963"/>
      <c r="J57" s="970"/>
      <c r="K57" s="970"/>
      <c r="L57" s="60"/>
    </row>
    <row r="58" spans="1:13" ht="17.399999999999999" hidden="1" customHeight="1" thickBot="1" x14ac:dyDescent="0.3">
      <c r="A58" s="60"/>
      <c r="B58" s="96"/>
      <c r="C58" s="96"/>
      <c r="D58" s="96"/>
      <c r="E58" s="97"/>
      <c r="F58" s="141"/>
      <c r="G58" s="137" t="s">
        <v>167</v>
      </c>
      <c r="H58" s="973" t="e">
        <f>IF(#REF!="0","","BLOCK -  "&amp;DASHBOARD!E23)</f>
        <v>#REF!</v>
      </c>
      <c r="I58" s="975"/>
      <c r="J58" s="972"/>
      <c r="K58" s="972"/>
      <c r="L58" s="60"/>
    </row>
    <row r="59" spans="1:13" ht="17.399999999999999" hidden="1" customHeight="1" thickBot="1" x14ac:dyDescent="0.3">
      <c r="A59" s="60"/>
      <c r="B59" s="96"/>
      <c r="C59" s="96"/>
      <c r="D59" s="96"/>
      <c r="E59" s="97"/>
      <c r="F59" s="141"/>
      <c r="G59" s="137" t="s">
        <v>185</v>
      </c>
      <c r="H59" s="973"/>
      <c r="I59" s="975"/>
      <c r="J59" s="1046"/>
      <c r="K59" s="1046"/>
      <c r="L59" s="60"/>
    </row>
    <row r="60" spans="1:13" ht="17.399999999999999" hidden="1" customHeight="1" thickBot="1" x14ac:dyDescent="0.3">
      <c r="A60" s="60"/>
      <c r="B60" s="96"/>
      <c r="C60" s="96"/>
      <c r="D60" s="96"/>
      <c r="E60" s="97"/>
      <c r="F60" s="141"/>
      <c r="G60" s="138" t="s">
        <v>206</v>
      </c>
      <c r="H60" s="973"/>
      <c r="I60" s="975"/>
      <c r="J60" s="1046"/>
      <c r="K60" s="1046"/>
      <c r="L60" s="60"/>
    </row>
    <row r="61" spans="1:13" ht="17.399999999999999" hidden="1" customHeight="1" thickBot="1" x14ac:dyDescent="0.3">
      <c r="A61" s="60"/>
      <c r="B61" s="96"/>
      <c r="C61" s="96"/>
      <c r="D61" s="96"/>
      <c r="E61" s="97"/>
      <c r="F61" s="141"/>
      <c r="G61" s="142" t="s">
        <v>200</v>
      </c>
      <c r="H61" s="973"/>
      <c r="I61" s="975"/>
      <c r="J61" s="1046"/>
      <c r="K61" s="1046"/>
      <c r="L61" s="60"/>
    </row>
    <row r="62" spans="1:13" ht="17.399999999999999" hidden="1" customHeight="1" thickBot="1" x14ac:dyDescent="0.3">
      <c r="A62" s="60"/>
      <c r="B62" s="96"/>
      <c r="C62" s="96"/>
      <c r="D62" s="96"/>
      <c r="E62" s="97"/>
      <c r="F62" s="141"/>
      <c r="G62" s="142" t="s">
        <v>205</v>
      </c>
      <c r="H62" s="978" t="e">
        <f>IF(#REF!="0","","RESULT  "&amp;DASHBOARD!B4)</f>
        <v>#REF!</v>
      </c>
      <c r="I62" s="980"/>
      <c r="J62" s="1046"/>
      <c r="K62" s="1046"/>
      <c r="L62" s="60"/>
    </row>
    <row r="63" spans="1:13" ht="17.399999999999999" hidden="1" customHeight="1" thickBot="1" x14ac:dyDescent="0.3">
      <c r="A63" s="60"/>
      <c r="B63" s="96"/>
      <c r="C63" s="96"/>
      <c r="D63" s="96"/>
      <c r="E63" s="97"/>
      <c r="F63" s="141"/>
      <c r="G63" s="138" t="s">
        <v>204</v>
      </c>
      <c r="H63" s="978"/>
      <c r="I63" s="980"/>
      <c r="J63" s="1046"/>
      <c r="K63" s="1046"/>
      <c r="L63" s="60"/>
    </row>
    <row r="64" spans="1:13" ht="17.399999999999999" hidden="1" customHeight="1" thickBot="1" x14ac:dyDescent="0.3">
      <c r="A64" s="60"/>
      <c r="B64" s="96"/>
      <c r="C64" s="96"/>
      <c r="D64" s="96"/>
      <c r="E64" s="97"/>
      <c r="F64" s="141"/>
      <c r="G64" s="141"/>
      <c r="H64" s="978"/>
      <c r="I64" s="980"/>
      <c r="J64" s="1046"/>
      <c r="K64" s="1046"/>
      <c r="L64" s="60"/>
    </row>
    <row r="65" spans="1:12" ht="17.399999999999999" hidden="1" customHeight="1" thickBot="1" x14ac:dyDescent="0.3">
      <c r="A65" s="60"/>
      <c r="B65" s="96"/>
      <c r="C65" s="96"/>
      <c r="D65" s="96"/>
      <c r="E65" s="97"/>
      <c r="F65" s="97"/>
      <c r="G65" s="97"/>
      <c r="H65" s="978"/>
      <c r="I65" s="980"/>
      <c r="J65" s="1046"/>
      <c r="K65" s="1046"/>
      <c r="L65" s="60"/>
    </row>
    <row r="66" spans="1:12" ht="20.399999999999999" hidden="1" customHeight="1" x14ac:dyDescent="0.25">
      <c r="A66" s="60"/>
      <c r="B66" s="96"/>
      <c r="C66" s="96"/>
      <c r="D66" s="96"/>
      <c r="E66" s="97"/>
      <c r="F66" s="97"/>
      <c r="G66" s="97"/>
      <c r="H66" s="943" t="e">
        <f>IF(#REF!="0","","CLASS  "&amp;DASHBOARD!B8&amp;DASHBOARD!C8)</f>
        <v>#REF!</v>
      </c>
      <c r="I66" s="963"/>
      <c r="J66" s="955"/>
      <c r="K66" s="955"/>
      <c r="L66" s="60"/>
    </row>
    <row r="67" spans="1:12" ht="20.399999999999999" hidden="1" customHeight="1" x14ac:dyDescent="0.25">
      <c r="A67" s="60"/>
      <c r="B67" s="96"/>
      <c r="C67" s="96"/>
      <c r="D67" s="96"/>
      <c r="E67" s="97"/>
      <c r="F67" s="97"/>
      <c r="G67" s="97"/>
      <c r="H67" s="943"/>
      <c r="I67" s="963"/>
      <c r="J67" s="949"/>
      <c r="K67" s="949"/>
      <c r="L67" s="60"/>
    </row>
    <row r="68" spans="1:12" ht="20.399999999999999" hidden="1" customHeight="1" x14ac:dyDescent="0.25">
      <c r="A68" s="60"/>
      <c r="B68" s="96"/>
      <c r="C68" s="96"/>
      <c r="D68" s="96"/>
      <c r="E68" s="97"/>
      <c r="F68" s="97"/>
      <c r="G68" s="97"/>
      <c r="H68" s="943"/>
      <c r="I68" s="963"/>
      <c r="J68" s="949"/>
      <c r="K68" s="949"/>
      <c r="L68" s="60"/>
    </row>
    <row r="69" spans="1:12" ht="20.399999999999999" hidden="1" customHeight="1" x14ac:dyDescent="0.25">
      <c r="A69" s="60"/>
      <c r="B69" s="96"/>
      <c r="C69" s="96"/>
      <c r="D69" s="96"/>
      <c r="E69" s="97"/>
      <c r="F69" s="97"/>
      <c r="G69" s="97"/>
      <c r="H69" s="943"/>
      <c r="I69" s="963"/>
      <c r="J69" s="1041"/>
      <c r="K69" s="1041"/>
      <c r="L69" s="60"/>
    </row>
    <row r="70" spans="1:12" ht="17.399999999999999" hidden="1" customHeight="1" x14ac:dyDescent="0.25">
      <c r="A70" s="60"/>
      <c r="B70" s="96"/>
      <c r="C70" s="96"/>
      <c r="D70" s="96"/>
      <c r="E70" s="97"/>
      <c r="F70" s="97"/>
      <c r="G70" s="97"/>
      <c r="H70" s="943"/>
      <c r="I70" s="963"/>
      <c r="J70" s="1044"/>
      <c r="K70" s="1044"/>
      <c r="L70" s="60"/>
    </row>
    <row r="71" spans="1:12" ht="17.399999999999999" hidden="1" customHeight="1" x14ac:dyDescent="0.25">
      <c r="A71" s="60"/>
      <c r="B71" s="96"/>
      <c r="C71" s="96"/>
      <c r="D71" s="96"/>
      <c r="E71" s="97"/>
      <c r="F71" s="97"/>
      <c r="G71" s="97"/>
      <c r="H71" s="943"/>
      <c r="I71" s="963"/>
      <c r="J71" s="1044"/>
      <c r="K71" s="1044"/>
      <c r="L71" s="60"/>
    </row>
    <row r="72" spans="1:12" s="215" customFormat="1" ht="17.399999999999999" hidden="1" customHeight="1" x14ac:dyDescent="0.3">
      <c r="A72" s="214"/>
      <c r="B72" s="195"/>
      <c r="C72" s="195"/>
      <c r="D72" s="195"/>
      <c r="E72" s="196"/>
      <c r="F72" s="196"/>
      <c r="G72" s="196"/>
      <c r="H72" s="1042"/>
      <c r="I72" s="1043"/>
      <c r="J72" s="1045"/>
      <c r="K72" s="1045"/>
      <c r="L72" s="214"/>
    </row>
    <row r="73" spans="1:12" ht="16.95" hidden="1" customHeight="1" x14ac:dyDescent="0.25">
      <c r="A73" s="60"/>
      <c r="B73" s="96"/>
      <c r="C73" s="96"/>
      <c r="D73" s="96"/>
      <c r="E73" s="97"/>
      <c r="F73" s="97"/>
      <c r="G73" s="97"/>
      <c r="H73" s="256"/>
      <c r="I73" s="256"/>
      <c r="J73" s="256"/>
      <c r="K73" s="108"/>
      <c r="L73" s="60"/>
    </row>
    <row r="74" spans="1:12" ht="16.95" hidden="1" customHeight="1" x14ac:dyDescent="0.25">
      <c r="A74" s="60"/>
      <c r="B74" s="96"/>
      <c r="C74" s="96"/>
      <c r="D74" s="96"/>
      <c r="E74" s="97"/>
      <c r="F74" s="97"/>
      <c r="G74" s="97"/>
      <c r="H74" s="256"/>
      <c r="I74" s="256"/>
      <c r="J74" s="256"/>
      <c r="K74" s="108"/>
      <c r="L74" s="60"/>
    </row>
    <row r="75" spans="1:12" ht="16.95" hidden="1" customHeight="1" x14ac:dyDescent="0.25">
      <c r="A75" s="60"/>
      <c r="B75" s="96"/>
      <c r="C75" s="96"/>
      <c r="D75" s="96"/>
      <c r="E75" s="97"/>
      <c r="F75" s="97"/>
      <c r="G75" s="97"/>
      <c r="H75" s="256"/>
      <c r="I75" s="256"/>
      <c r="J75" s="256"/>
      <c r="K75" s="108"/>
      <c r="L75" s="60"/>
    </row>
    <row r="76" spans="1:12" ht="16.95" hidden="1" customHeight="1" x14ac:dyDescent="0.25">
      <c r="A76" s="60"/>
      <c r="B76" s="96"/>
      <c r="C76" s="96"/>
      <c r="D76" s="96"/>
      <c r="E76" s="97"/>
      <c r="F76" s="97"/>
      <c r="G76" s="97"/>
      <c r="H76" s="256"/>
      <c r="I76" s="256"/>
      <c r="J76" s="256"/>
      <c r="K76" s="108"/>
      <c r="L76" s="60"/>
    </row>
    <row r="77" spans="1:12" ht="16.8" hidden="1" x14ac:dyDescent="0.25">
      <c r="A77" s="60"/>
      <c r="B77" s="96">
        <f>IF(DATA!B49="","",DATA!B49)</f>
        <v>45</v>
      </c>
      <c r="C77" s="96" t="str">
        <f>IF(DATA!C49="","",DATA!C49)</f>
        <v/>
      </c>
      <c r="D77" s="96" t="str">
        <f>IF(DATA!D49="","",DATA!D49)</f>
        <v/>
      </c>
      <c r="E77" s="97" t="str">
        <f>IF(DATA!E49="","",DATA!E49)</f>
        <v/>
      </c>
      <c r="F77" s="97" t="str">
        <f>IF(DATA!F49="","",DATA!F49)</f>
        <v/>
      </c>
      <c r="G77" s="97" t="str">
        <f>IF(DATA!G49="","",DATA!G49)</f>
        <v/>
      </c>
      <c r="H77" s="256" t="e">
        <f>IF(C77="TC","",IF(AND(#REF!="",#REF!=""),"",IF(AND(#REF!=0,#REF!=0),"PASS",IF(AND(#REF!=1,#REF!=0),"COMPARTMENT",IF(AND(#REF!=1,#REF!=1),IF(AND(#REF!&gt;16,#REF!&gt;16),"PASS","COMPARTMENT"),IF(#REF!=2,"COMPARTMENT",IF(#REF!&gt;2,"FAIL","")))))))</f>
        <v>#REF!</v>
      </c>
      <c r="I77" s="256"/>
      <c r="J77" s="256"/>
      <c r="K77" s="256"/>
      <c r="L77" s="60"/>
    </row>
    <row r="78" spans="1:12" ht="13.8" x14ac:dyDescent="0.25">
      <c r="A78" s="60"/>
      <c r="B78" s="60"/>
      <c r="L78" s="60"/>
    </row>
    <row r="79" spans="1:12" ht="15.75" hidden="1" customHeight="1" x14ac:dyDescent="0.25">
      <c r="B79" s="292"/>
      <c r="C79" s="293"/>
      <c r="D79" s="293"/>
      <c r="E79" s="293"/>
      <c r="F79" s="293"/>
      <c r="G79" s="293"/>
    </row>
    <row r="80" spans="1:12" ht="15.75" hidden="1" customHeight="1" x14ac:dyDescent="0.25">
      <c r="B80" s="295"/>
      <c r="C80" s="296"/>
      <c r="D80" s="296"/>
      <c r="E80" s="296"/>
      <c r="F80" s="296"/>
      <c r="G80" s="297"/>
    </row>
    <row r="81" spans="2:7" ht="15.75" hidden="1" customHeight="1" x14ac:dyDescent="0.25">
      <c r="B81" s="295"/>
      <c r="C81" s="296"/>
      <c r="D81" s="296"/>
      <c r="E81" s="296"/>
      <c r="F81" s="296"/>
      <c r="G81" s="297"/>
    </row>
    <row r="82" spans="2:7" ht="15.75" hidden="1" customHeight="1" x14ac:dyDescent="0.25">
      <c r="B82" s="295"/>
      <c r="C82" s="296"/>
      <c r="D82" s="296"/>
      <c r="E82" s="296"/>
      <c r="F82" s="296"/>
      <c r="G82" s="297"/>
    </row>
    <row r="83" spans="2:7" ht="15" hidden="1" customHeight="1" x14ac:dyDescent="0.25">
      <c r="B83" s="295"/>
      <c r="C83" s="296"/>
      <c r="D83" s="296"/>
      <c r="E83" s="296"/>
      <c r="F83" s="296"/>
      <c r="G83" s="297"/>
    </row>
    <row r="84" spans="2:7" ht="15" hidden="1" customHeight="1" x14ac:dyDescent="0.25">
      <c r="B84" s="295"/>
      <c r="C84" s="296"/>
      <c r="D84" s="296"/>
      <c r="E84" s="296"/>
      <c r="F84" s="296"/>
      <c r="G84" s="297"/>
    </row>
    <row r="85" spans="2:7" ht="15" hidden="1" customHeight="1" x14ac:dyDescent="0.25">
      <c r="B85" s="295"/>
      <c r="C85" s="296"/>
      <c r="D85" s="296"/>
      <c r="E85" s="296"/>
      <c r="F85" s="296"/>
      <c r="G85" s="297"/>
    </row>
    <row r="86" spans="2:7" ht="15" hidden="1" customHeight="1" x14ac:dyDescent="0.25">
      <c r="B86" s="295"/>
      <c r="C86" s="296"/>
      <c r="D86" s="296"/>
      <c r="E86" s="296"/>
      <c r="F86" s="296"/>
      <c r="G86" s="297"/>
    </row>
    <row r="87" spans="2:7" ht="15" hidden="1" customHeight="1" x14ac:dyDescent="0.25">
      <c r="B87" s="295"/>
      <c r="C87" s="296"/>
      <c r="D87" s="296"/>
      <c r="E87" s="296"/>
      <c r="F87" s="296"/>
      <c r="G87" s="297"/>
    </row>
    <row r="88" spans="2:7" ht="15" hidden="1" customHeight="1" x14ac:dyDescent="0.25">
      <c r="B88" s="295"/>
      <c r="C88" s="296"/>
      <c r="D88" s="296"/>
      <c r="E88" s="296"/>
      <c r="F88" s="296"/>
      <c r="G88" s="297"/>
    </row>
    <row r="89" spans="2:7" ht="15" hidden="1" customHeight="1" x14ac:dyDescent="0.25">
      <c r="B89" s="295"/>
      <c r="C89" s="296"/>
      <c r="D89" s="296"/>
      <c r="E89" s="296"/>
      <c r="F89" s="296"/>
      <c r="G89" s="297"/>
    </row>
    <row r="90" spans="2:7" ht="15" hidden="1" customHeight="1" x14ac:dyDescent="0.25">
      <c r="B90" s="295"/>
      <c r="C90" s="296"/>
      <c r="D90" s="296"/>
      <c r="E90" s="296"/>
      <c r="F90" s="296"/>
      <c r="G90" s="297"/>
    </row>
    <row r="91" spans="2:7" ht="15" hidden="1" customHeight="1" x14ac:dyDescent="0.25">
      <c r="B91" s="295"/>
      <c r="C91" s="296"/>
      <c r="D91" s="296"/>
      <c r="E91" s="296"/>
      <c r="F91" s="296"/>
      <c r="G91" s="297"/>
    </row>
    <row r="92" spans="2:7" ht="18.75" hidden="1" customHeight="1" x14ac:dyDescent="0.25">
      <c r="B92" s="295"/>
      <c r="C92" s="296"/>
      <c r="D92" s="296"/>
      <c r="E92" s="296"/>
      <c r="F92" s="296"/>
      <c r="G92" s="297"/>
    </row>
    <row r="93" spans="2:7" ht="15" hidden="1" customHeight="1" x14ac:dyDescent="0.25">
      <c r="B93" s="295"/>
      <c r="C93" s="296"/>
      <c r="D93" s="296"/>
      <c r="E93" s="296"/>
      <c r="F93" s="296"/>
      <c r="G93" s="297"/>
    </row>
    <row r="94" spans="2:7" ht="15" hidden="1" customHeight="1" x14ac:dyDescent="0.25">
      <c r="B94" s="295"/>
      <c r="C94" s="296"/>
      <c r="D94" s="296"/>
      <c r="E94" s="296"/>
      <c r="F94" s="296"/>
      <c r="G94" s="297"/>
    </row>
    <row r="95" spans="2:7" ht="15" hidden="1" customHeight="1" x14ac:dyDescent="0.25">
      <c r="B95" s="295"/>
      <c r="C95" s="296"/>
      <c r="D95" s="296"/>
      <c r="E95" s="296"/>
      <c r="F95" s="296"/>
      <c r="G95" s="297"/>
    </row>
    <row r="96" spans="2:7" ht="15" hidden="1" customHeight="1" x14ac:dyDescent="0.25">
      <c r="B96" s="295"/>
      <c r="C96" s="296"/>
      <c r="D96" s="296"/>
      <c r="E96" s="296"/>
      <c r="F96" s="296"/>
      <c r="G96" s="297"/>
    </row>
    <row r="97" spans="2:7" ht="18.75" hidden="1" customHeight="1" x14ac:dyDescent="0.25">
      <c r="B97" s="295"/>
      <c r="C97" s="296"/>
      <c r="D97" s="296"/>
      <c r="E97" s="296"/>
      <c r="F97" s="296"/>
      <c r="G97" s="297"/>
    </row>
    <row r="98" spans="2:7" ht="13.8" hidden="1" x14ac:dyDescent="0.25">
      <c r="G98" s="79"/>
    </row>
    <row r="99" spans="2:7" ht="13.8" hidden="1" x14ac:dyDescent="0.25">
      <c r="G99" s="79"/>
    </row>
    <row r="100" spans="2:7" ht="13.8" hidden="1" x14ac:dyDescent="0.25"/>
    <row r="101" spans="2:7" ht="15" hidden="1" customHeight="1" x14ac:dyDescent="0.25"/>
  </sheetData>
  <sheetProtection algorithmName="SHA-512" hashValue="3aNWxH/jpoSth8g2PVDf0vslEUOg5q7rmEEBO7cclmF6OxaelrrH3s4SDUmWXaqb6ej4rQW2rpIoUDxJoMhbzw==" saltValue="XXIXK0tqNFy5x1jjH6jpyQ==" spinCount="100000" sheet="1" objects="1" scenarios="1" formatColumns="0" formatRows="0" selectLockedCells="1"/>
  <mergeCells count="29">
    <mergeCell ref="B53:E53"/>
    <mergeCell ref="F53:H53"/>
    <mergeCell ref="I53:K53"/>
    <mergeCell ref="B2:K2"/>
    <mergeCell ref="B4:K4"/>
    <mergeCell ref="B3:K3"/>
    <mergeCell ref="B52:E52"/>
    <mergeCell ref="F52:H52"/>
    <mergeCell ref="I52:K52"/>
    <mergeCell ref="B6:G6"/>
    <mergeCell ref="H7:K7"/>
    <mergeCell ref="B5:I5"/>
    <mergeCell ref="J5:K5"/>
    <mergeCell ref="J61:K61"/>
    <mergeCell ref="H62:I65"/>
    <mergeCell ref="J62:K62"/>
    <mergeCell ref="J64:K64"/>
    <mergeCell ref="J56:K58"/>
    <mergeCell ref="H58:I61"/>
    <mergeCell ref="J63:K63"/>
    <mergeCell ref="J59:K59"/>
    <mergeCell ref="J60:K60"/>
    <mergeCell ref="J65:K65"/>
    <mergeCell ref="H54:I57"/>
    <mergeCell ref="J66:K69"/>
    <mergeCell ref="H66:I72"/>
    <mergeCell ref="J70:K70"/>
    <mergeCell ref="J71:K71"/>
    <mergeCell ref="J72:K72"/>
  </mergeCells>
  <hyperlinks>
    <hyperlink ref="A1" location="DASHBOARD!A1" display="D"/>
  </hyperlinks>
  <pageMargins left="0.17" right="7158278.8200000003" top="0.52" bottom="0.13" header="0.95" footer="0.2"/>
  <pageSetup paperSize="9" scale="52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7030A0"/>
    <pageSetUpPr fitToPage="1"/>
  </sheetPr>
  <dimension ref="A1:KO342"/>
  <sheetViews>
    <sheetView view="pageBreakPreview" zoomScale="59" zoomScaleNormal="100" zoomScaleSheetLayoutView="59" workbookViewId="0">
      <pane xSplit="3" topLeftCell="F1" activePane="topRight" state="frozen"/>
      <selection activeCell="K14" sqref="K14:Y14"/>
      <selection pane="topRight" activeCell="G8" sqref="G8"/>
    </sheetView>
  </sheetViews>
  <sheetFormatPr defaultColWidth="0" defaultRowHeight="13.8" zeroHeight="1" x14ac:dyDescent="0.25"/>
  <cols>
    <col min="1" max="1" width="2" style="70" customWidth="1"/>
    <col min="2" max="2" width="6.21875" style="70" bestFit="1" customWidth="1"/>
    <col min="3" max="3" width="10.77734375" style="60" bestFit="1" customWidth="1"/>
    <col min="4" max="4" width="8.21875" style="60" bestFit="1" customWidth="1"/>
    <col min="5" max="5" width="23.77734375" style="60" bestFit="1" customWidth="1"/>
    <col min="6" max="6" width="22.33203125" style="60" bestFit="1" customWidth="1"/>
    <col min="7" max="7" width="25.88671875" style="60" bestFit="1" customWidth="1"/>
    <col min="8" max="8" width="21" style="60" customWidth="1"/>
    <col min="9" max="9" width="42.5546875" style="60" customWidth="1"/>
    <col min="10" max="10" width="40.44140625" style="60" customWidth="1"/>
    <col min="11" max="11" width="43.21875" style="60" customWidth="1"/>
    <col min="12" max="13" width="14" style="60" customWidth="1"/>
    <col min="14" max="14" width="3.5546875" style="70" customWidth="1"/>
    <col min="15" max="82" width="9.109375" style="205" hidden="1" customWidth="1"/>
    <col min="83" max="83" width="9.33203125" style="205" hidden="1" customWidth="1"/>
    <col min="84" max="84" width="7" style="205" hidden="1" customWidth="1"/>
    <col min="85" max="85" width="10.109375" style="205" hidden="1" customWidth="1"/>
    <col min="86" max="86" width="7.88671875" style="205" hidden="1" customWidth="1"/>
    <col min="87" max="87" width="8.6640625" style="205" hidden="1" customWidth="1"/>
    <col min="88" max="88" width="15.88671875" style="205" hidden="1" customWidth="1"/>
    <col min="89" max="89" width="9.88671875" style="205" hidden="1" customWidth="1"/>
    <col min="90" max="90" width="7.44140625" style="205" hidden="1" customWidth="1"/>
    <col min="91" max="91" width="10.6640625" style="205" hidden="1" customWidth="1"/>
    <col min="92" max="92" width="8.44140625" style="205" hidden="1" customWidth="1"/>
    <col min="93" max="93" width="9.33203125" style="205" hidden="1" customWidth="1"/>
    <col min="94" max="94" width="16.44140625" style="205" hidden="1" customWidth="1"/>
    <col min="95" max="97" width="9.109375" style="205" hidden="1" customWidth="1"/>
    <col min="98" max="98" width="16.44140625" style="205" hidden="1" customWidth="1"/>
    <col min="99" max="101" width="9.109375" style="205" hidden="1" customWidth="1"/>
    <col min="102" max="102" width="7.88671875" style="205" hidden="1" customWidth="1"/>
    <col min="103" max="103" width="8.6640625" style="205" hidden="1" customWidth="1"/>
    <col min="104" max="104" width="15.88671875" style="205" hidden="1" customWidth="1"/>
    <col min="105" max="105" width="9.88671875" style="205" hidden="1" customWidth="1"/>
    <col min="106" max="106" width="7.44140625" style="205" hidden="1" customWidth="1"/>
    <col min="107" max="107" width="10.6640625" style="205" hidden="1" customWidth="1"/>
    <col min="108" max="108" width="8.44140625" style="205" hidden="1" customWidth="1"/>
    <col min="109" max="109" width="9.33203125" style="205" hidden="1" customWidth="1"/>
    <col min="110" max="110" width="16.44140625" style="205" hidden="1" customWidth="1"/>
    <col min="111" max="113" width="9.109375" style="205" hidden="1" customWidth="1"/>
    <col min="114" max="147" width="16.44140625" style="205" hidden="1" customWidth="1"/>
    <col min="148" max="148" width="7" style="205" hidden="1" customWidth="1"/>
    <col min="149" max="149" width="9.6640625" style="205" hidden="1" customWidth="1"/>
    <col min="150" max="151" width="0" style="205" hidden="1" customWidth="1"/>
    <col min="152" max="152" width="9.6640625" style="205" hidden="1" customWidth="1"/>
    <col min="153" max="153" width="11" style="205" hidden="1" customWidth="1"/>
    <col min="154" max="154" width="43.44140625" style="205" hidden="1" customWidth="1"/>
    <col min="155" max="155" width="0" style="205" hidden="1" customWidth="1"/>
    <col min="156" max="223" width="9.109375" style="205" hidden="1" customWidth="1"/>
    <col min="224" max="224" width="9.33203125" style="205" hidden="1" customWidth="1"/>
    <col min="225" max="225" width="7" style="205" hidden="1" customWidth="1"/>
    <col min="226" max="226" width="10.109375" style="205" hidden="1" customWidth="1"/>
    <col min="227" max="227" width="7.88671875" style="205" hidden="1" customWidth="1"/>
    <col min="228" max="228" width="8.6640625" style="205" hidden="1" customWidth="1"/>
    <col min="229" max="229" width="15.88671875" style="205" hidden="1" customWidth="1"/>
    <col min="230" max="230" width="9.88671875" style="205" hidden="1" customWidth="1"/>
    <col min="231" max="231" width="7.44140625" style="205" hidden="1" customWidth="1"/>
    <col min="232" max="232" width="10.6640625" style="205" hidden="1" customWidth="1"/>
    <col min="233" max="233" width="8.44140625" style="205" hidden="1" customWidth="1"/>
    <col min="234" max="234" width="9.33203125" style="205" hidden="1" customWidth="1"/>
    <col min="235" max="235" width="16.44140625" style="205" hidden="1" customWidth="1"/>
    <col min="236" max="238" width="9.109375" style="205" hidden="1" customWidth="1"/>
    <col min="239" max="239" width="16.44140625" style="205" hidden="1" customWidth="1"/>
    <col min="240" max="242" width="9.109375" style="205" hidden="1" customWidth="1"/>
    <col min="243" max="243" width="7.88671875" style="205" hidden="1" customWidth="1"/>
    <col min="244" max="244" width="8.6640625" style="205" hidden="1" customWidth="1"/>
    <col min="245" max="245" width="15.88671875" style="205" hidden="1" customWidth="1"/>
    <col min="246" max="246" width="9.88671875" style="205" hidden="1" customWidth="1"/>
    <col min="247" max="247" width="7.44140625" style="205" hidden="1" customWidth="1"/>
    <col min="248" max="248" width="10.6640625" style="205" hidden="1" customWidth="1"/>
    <col min="249" max="249" width="8.44140625" style="205" hidden="1" customWidth="1"/>
    <col min="250" max="250" width="9.33203125" style="205" hidden="1" customWidth="1"/>
    <col min="251" max="251" width="16.44140625" style="205" hidden="1" customWidth="1"/>
    <col min="252" max="254" width="9.109375" style="205" hidden="1" customWidth="1"/>
    <col min="255" max="301" width="16.44140625" style="205" hidden="1" customWidth="1"/>
    <col min="302" max="16384" width="9.109375" style="205" hidden="1"/>
  </cols>
  <sheetData>
    <row r="1" spans="1:14" ht="11.25" customHeight="1" thickBot="1" x14ac:dyDescent="0.3">
      <c r="A1" s="143" t="s">
        <v>24</v>
      </c>
      <c r="B1" s="60"/>
      <c r="N1" s="60"/>
    </row>
    <row r="2" spans="1:14" ht="57" customHeight="1" x14ac:dyDescent="0.25">
      <c r="A2" s="60"/>
      <c r="B2" s="1088" t="str">
        <f>IF(DASHBOARD!B2="","",DASHBOARD!B2)</f>
        <v xml:space="preserve">          SWAMI VIVEKANAND GOVT. MODEL SCHOOL,                                                                 </v>
      </c>
      <c r="C2" s="1089"/>
      <c r="D2" s="1089"/>
      <c r="E2" s="1089"/>
      <c r="F2" s="1089"/>
      <c r="G2" s="1089"/>
      <c r="H2" s="1089"/>
      <c r="I2" s="1089"/>
      <c r="J2" s="1089"/>
      <c r="K2" s="1090"/>
      <c r="L2" s="1079" t="s">
        <v>281</v>
      </c>
      <c r="M2" s="1080"/>
      <c r="N2" s="60"/>
    </row>
    <row r="3" spans="1:14" ht="39.75" customHeight="1" x14ac:dyDescent="0.25">
      <c r="A3" s="60"/>
      <c r="B3" s="1091" t="str">
        <f>IF(DASHBOARD!C3="","",DASHBOARD!C3)</f>
        <v>XXXX,  BLOCK-XXXX (RAJSAMAND)</v>
      </c>
      <c r="C3" s="1092"/>
      <c r="D3" s="1092"/>
      <c r="E3" s="1092"/>
      <c r="F3" s="1092"/>
      <c r="G3" s="1092"/>
      <c r="H3" s="1092"/>
      <c r="I3" s="1092"/>
      <c r="J3" s="1092"/>
      <c r="K3" s="1093"/>
      <c r="L3" s="1081"/>
      <c r="M3" s="1082"/>
      <c r="N3" s="60"/>
    </row>
    <row r="4" spans="1:14" ht="39.75" customHeight="1" thickBot="1" x14ac:dyDescent="0.3">
      <c r="A4" s="60"/>
      <c r="B4" s="1094" t="str">
        <f>"RESULT  "&amp;DASHBOARD!B4</f>
        <v>RESULT  SESSION  -  2025-26</v>
      </c>
      <c r="C4" s="1095"/>
      <c r="D4" s="1095"/>
      <c r="E4" s="1095"/>
      <c r="F4" s="1095"/>
      <c r="G4" s="1095"/>
      <c r="H4" s="1095"/>
      <c r="I4" s="1095"/>
      <c r="J4" s="1095"/>
      <c r="K4" s="1096"/>
      <c r="L4" s="1083" t="str">
        <f>DASHBOARD!C24</f>
        <v>10.04.2026</v>
      </c>
      <c r="M4" s="1084"/>
      <c r="N4" s="60"/>
    </row>
    <row r="5" spans="1:14" ht="33.6" customHeight="1" thickBot="1" x14ac:dyDescent="0.3">
      <c r="A5" s="60"/>
      <c r="B5" s="1098" t="s">
        <v>277</v>
      </c>
      <c r="C5" s="1099"/>
      <c r="D5" s="1099"/>
      <c r="E5" s="1099"/>
      <c r="F5" s="1099"/>
      <c r="G5" s="1099"/>
      <c r="H5" s="1099"/>
      <c r="I5" s="1099"/>
      <c r="J5" s="1099"/>
      <c r="K5" s="1099"/>
      <c r="L5" s="1099"/>
      <c r="M5" s="1100"/>
      <c r="N5" s="60"/>
    </row>
    <row r="6" spans="1:14" ht="76.5" customHeight="1" thickBot="1" x14ac:dyDescent="0.3">
      <c r="A6" s="60"/>
      <c r="B6" s="1010" t="str">
        <f>CONCATENATE("CLASS :   ",DASHBOARD!B8,DASHBOARD!C8)</f>
        <v>CLASS :   9A</v>
      </c>
      <c r="C6" s="1011"/>
      <c r="D6" s="1011"/>
      <c r="E6" s="1011"/>
      <c r="F6" s="1011"/>
      <c r="G6" s="1071"/>
      <c r="H6" s="366" t="s">
        <v>132</v>
      </c>
      <c r="I6" s="366" t="s">
        <v>235</v>
      </c>
      <c r="J6" s="366" t="s">
        <v>132</v>
      </c>
      <c r="K6" s="366" t="s">
        <v>256</v>
      </c>
      <c r="L6" s="367" t="s">
        <v>279</v>
      </c>
      <c r="M6" s="368" t="s">
        <v>280</v>
      </c>
      <c r="N6" s="60"/>
    </row>
    <row r="7" spans="1:14" ht="16.8" customHeight="1" thickBot="1" x14ac:dyDescent="0.3">
      <c r="A7" s="60"/>
      <c r="B7" s="372" t="s">
        <v>4</v>
      </c>
      <c r="C7" s="373" t="s">
        <v>5</v>
      </c>
      <c r="D7" s="373" t="s">
        <v>6</v>
      </c>
      <c r="E7" s="373" t="s">
        <v>7</v>
      </c>
      <c r="F7" s="373" t="s">
        <v>8</v>
      </c>
      <c r="G7" s="373" t="s">
        <v>9</v>
      </c>
      <c r="H7" s="1085" t="s">
        <v>273</v>
      </c>
      <c r="I7" s="1097"/>
      <c r="J7" s="1085" t="s">
        <v>278</v>
      </c>
      <c r="K7" s="1097"/>
      <c r="L7" s="1085" t="s">
        <v>277</v>
      </c>
      <c r="M7" s="1086"/>
      <c r="N7" s="60"/>
    </row>
    <row r="8" spans="1:14" ht="25.5" customHeight="1" x14ac:dyDescent="0.25">
      <c r="A8" s="60"/>
      <c r="B8" s="374">
        <f>IF(DATA!B5="","",DATA!B5)</f>
        <v>1</v>
      </c>
      <c r="C8" s="168">
        <f>IF(DATA!C5="","",DATA!C5)</f>
        <v>901</v>
      </c>
      <c r="D8" s="168">
        <f>IF(DATA!D5="","",DATA!D5)</f>
        <v>974</v>
      </c>
      <c r="E8" s="369" t="str">
        <f>IF(DATA!E5="","",DATA!E5)</f>
        <v>ARTI PRAJAPAT</v>
      </c>
      <c r="F8" s="369" t="str">
        <f>IF(DATA!F5="","",DATA!F5)</f>
        <v>MR PRABHU LAL</v>
      </c>
      <c r="G8" s="369" t="str">
        <f>IF(DATA!G5="","",DATA!G5)</f>
        <v>MRS PREM DEVI</v>
      </c>
      <c r="H8" s="370" t="str">
        <f>INDEX('GREEN SHEET'!$B$6:$GB$51, MATCH('MAIN EXAM RESULT'!D8,'GREEN SHEET'!$D$6:$D$51,0),165)</f>
        <v>PASS</v>
      </c>
      <c r="I8" s="370" t="str">
        <f>INDEX('GREEN SHEET'!$B$6:$GB$51, MATCH('MAIN EXAM RESULT'!D8,'GREEN SHEET'!$D$6:$D$51,0),167)</f>
        <v/>
      </c>
      <c r="J8" s="370" t="str">
        <f>INDEX('GREEN SHEET'!$B$6:$GB$51, MATCH('MAIN EXAM RESULT'!D8,'GREEN SHEET'!$D$6:$D$51,0),166)</f>
        <v/>
      </c>
      <c r="K8" s="370" t="str">
        <f>INDEX('GREEN SHEET'!$B$6:$GB$51, MATCH('MAIN EXAM RESULT'!D8,'GREEN SHEET'!$D$6:$D$51,0),168)</f>
        <v/>
      </c>
      <c r="L8" s="603">
        <f>INDEX('GREEN SHEET'!$B$6:$GB$51, MATCH('MAIN EXAM RESULT'!D8,'GREEN SHEET'!$D$6:$D$51,0),180)</f>
        <v>58.8</v>
      </c>
      <c r="M8" s="375" t="str">
        <f>INDEX('GREEN SHEET'!$B$6:$GB$51, MATCH('MAIN EXAM RESULT'!D8,'GREEN SHEET'!$D$6:$D$51,0),181)</f>
        <v>C1</v>
      </c>
      <c r="N8" s="60"/>
    </row>
    <row r="9" spans="1:14" ht="25.5" customHeight="1" x14ac:dyDescent="0.25">
      <c r="A9" s="60"/>
      <c r="B9" s="376">
        <f>IF(DATA!B6="","",DATA!B6)</f>
        <v>2</v>
      </c>
      <c r="C9" s="96">
        <f>IF(DATA!C6="","",DATA!C6)</f>
        <v>902</v>
      </c>
      <c r="D9" s="96">
        <f>IF(DATA!D6="","",DATA!D6)</f>
        <v>971</v>
      </c>
      <c r="E9" s="303" t="str">
        <f>IF(DATA!E6="","",DATA!E6)</f>
        <v>ARVIND SINGH BALLA</v>
      </c>
      <c r="F9" s="303" t="str">
        <f>IF(DATA!F6="","",DATA!F6)</f>
        <v>INDRA SINGH BALLA</v>
      </c>
      <c r="G9" s="303" t="str">
        <f>IF(DATA!G6="","",DATA!G6)</f>
        <v>MEENA KANWAR BALLA</v>
      </c>
      <c r="H9" s="370" t="str">
        <f>INDEX('GREEN SHEET'!$B$6:$GB$51, MATCH('MAIN EXAM RESULT'!D9,'GREEN SHEET'!$D$6:$D$51,0),165)</f>
        <v>COMPARTMENT</v>
      </c>
      <c r="I9" s="370" t="str">
        <f>INDEX('GREEN SHEET'!$B$6:$GB$51, MATCH('MAIN EXAM RESULT'!D9,'GREEN SHEET'!$D$6:$D$51,0),167)</f>
        <v xml:space="preserve">SST, </v>
      </c>
      <c r="J9" s="370" t="str">
        <f>INDEX('GREEN SHEET'!$B$6:$GB$51, MATCH('MAIN EXAM RESULT'!D9,'GREEN SHEET'!$D$6:$D$51,0),166)</f>
        <v>PASSED AFTER COMPARTMENT</v>
      </c>
      <c r="K9" s="370" t="str">
        <f>INDEX('GREEN SHEET'!$B$6:$GB$51, MATCH('MAIN EXAM RESULT'!D9,'GREEN SHEET'!$D$6:$D$51,0),168)</f>
        <v/>
      </c>
      <c r="L9" s="603">
        <f>INDEX('GREEN SHEET'!$B$6:$GB$51, MATCH('MAIN EXAM RESULT'!D9,'GREEN SHEET'!$D$6:$D$51,0),180)</f>
        <v>59.8</v>
      </c>
      <c r="M9" s="375" t="str">
        <f>INDEX('GREEN SHEET'!$B$6:$GB$51, MATCH('MAIN EXAM RESULT'!D9,'GREEN SHEET'!$D$6:$D$51,0),181)</f>
        <v>C1</v>
      </c>
      <c r="N9" s="60"/>
    </row>
    <row r="10" spans="1:14" ht="25.5" customHeight="1" x14ac:dyDescent="0.25">
      <c r="A10" s="60"/>
      <c r="B10" s="376">
        <f>IF(DATA!B7="","",DATA!B7)</f>
        <v>3</v>
      </c>
      <c r="C10" s="96" t="str">
        <f>IF(DATA!C7="","",DATA!C7)</f>
        <v>TC</v>
      </c>
      <c r="D10" s="96">
        <f>IF(DATA!D7="","",DATA!D7)</f>
        <v>1370</v>
      </c>
      <c r="E10" s="303" t="str">
        <f>IF(DATA!E7="","",DATA!E7)</f>
        <v>BHAVESH SINGH RAO</v>
      </c>
      <c r="F10" s="303" t="str">
        <f>IF(DATA!F7="","",DATA!F7)</f>
        <v>FATEH SINGH RAO</v>
      </c>
      <c r="G10" s="303" t="str">
        <f>IF(DATA!G7="","",DATA!G7)</f>
        <v>GANGA KUNWAR</v>
      </c>
      <c r="H10" s="370" t="str">
        <f>INDEX('GREEN SHEET'!$B$6:$GB$51, MATCH('MAIN EXAM RESULT'!D10,'GREEN SHEET'!$D$6:$D$51,0),165)</f>
        <v/>
      </c>
      <c r="I10" s="370" t="str">
        <f>INDEX('GREEN SHEET'!$B$6:$GB$51, MATCH('MAIN EXAM RESULT'!D10,'GREEN SHEET'!$D$6:$D$51,0),167)</f>
        <v/>
      </c>
      <c r="J10" s="370" t="str">
        <f>INDEX('GREEN SHEET'!$B$6:$GB$51, MATCH('MAIN EXAM RESULT'!D10,'GREEN SHEET'!$D$6:$D$51,0),166)</f>
        <v/>
      </c>
      <c r="K10" s="370" t="str">
        <f>INDEX('GREEN SHEET'!$B$6:$GB$51, MATCH('MAIN EXAM RESULT'!D10,'GREEN SHEET'!$D$6:$D$51,0),168)</f>
        <v/>
      </c>
      <c r="L10" s="603" t="str">
        <f>INDEX('GREEN SHEET'!$B$6:$GB$51, MATCH('MAIN EXAM RESULT'!D10,'GREEN SHEET'!$D$6:$D$51,0),180)</f>
        <v/>
      </c>
      <c r="M10" s="375" t="str">
        <f>INDEX('GREEN SHEET'!$B$6:$GB$51, MATCH('MAIN EXAM RESULT'!D10,'GREEN SHEET'!$D$6:$D$51,0),181)</f>
        <v/>
      </c>
      <c r="N10" s="60"/>
    </row>
    <row r="11" spans="1:14" ht="25.5" customHeight="1" x14ac:dyDescent="0.25">
      <c r="A11" s="60"/>
      <c r="B11" s="376">
        <f>IF(DATA!B8="","",DATA!B8)</f>
        <v>4</v>
      </c>
      <c r="C11" s="96" t="str">
        <f>IF(DATA!C8="","",DATA!C8)</f>
        <v/>
      </c>
      <c r="D11" s="96" t="str">
        <f>IF(DATA!D8="","",DATA!D8)</f>
        <v/>
      </c>
      <c r="E11" s="303" t="str">
        <f>IF(DATA!E8="","",DATA!E8)</f>
        <v/>
      </c>
      <c r="F11" s="303" t="str">
        <f>IF(DATA!F8="","",DATA!F8)</f>
        <v/>
      </c>
      <c r="G11" s="303" t="str">
        <f>IF(DATA!G8="","",DATA!G8)</f>
        <v/>
      </c>
      <c r="H11" s="370" t="str">
        <f>INDEX('GREEN SHEET'!$B$6:$GB$51, MATCH('MAIN EXAM RESULT'!D11,'GREEN SHEET'!$D$6:$D$51,0),165)</f>
        <v/>
      </c>
      <c r="I11" s="370" t="str">
        <f>INDEX('GREEN SHEET'!$B$6:$GB$51, MATCH('MAIN EXAM RESULT'!D11,'GREEN SHEET'!$D$6:$D$51,0),167)</f>
        <v/>
      </c>
      <c r="J11" s="370" t="str">
        <f>INDEX('GREEN SHEET'!$B$6:$GB$51, MATCH('MAIN EXAM RESULT'!D11,'GREEN SHEET'!$D$6:$D$51,0),166)</f>
        <v/>
      </c>
      <c r="K11" s="370" t="str">
        <f>INDEX('GREEN SHEET'!$B$6:$GB$51, MATCH('MAIN EXAM RESULT'!D11,'GREEN SHEET'!$D$6:$D$51,0),168)</f>
        <v/>
      </c>
      <c r="L11" s="603" t="str">
        <f>INDEX('GREEN SHEET'!$B$6:$GB$51, MATCH('MAIN EXAM RESULT'!D11,'GREEN SHEET'!$D$6:$D$51,0),180)</f>
        <v/>
      </c>
      <c r="M11" s="375" t="str">
        <f>INDEX('GREEN SHEET'!$B$6:$GB$51, MATCH('MAIN EXAM RESULT'!D11,'GREEN SHEET'!$D$6:$D$51,0),181)</f>
        <v/>
      </c>
      <c r="N11" s="60"/>
    </row>
    <row r="12" spans="1:14" ht="25.5" customHeight="1" x14ac:dyDescent="0.25">
      <c r="A12" s="60"/>
      <c r="B12" s="376">
        <f>IF(DATA!B9="","",DATA!B9)</f>
        <v>5</v>
      </c>
      <c r="C12" s="96" t="str">
        <f>IF(DATA!C9="","",DATA!C9)</f>
        <v/>
      </c>
      <c r="D12" s="96" t="str">
        <f>IF(DATA!D9="","",DATA!D9)</f>
        <v/>
      </c>
      <c r="E12" s="303" t="str">
        <f>IF(DATA!E9="","",DATA!E9)</f>
        <v/>
      </c>
      <c r="F12" s="303" t="str">
        <f>IF(DATA!F9="","",DATA!F9)</f>
        <v/>
      </c>
      <c r="G12" s="303" t="str">
        <f>IF(DATA!G9="","",DATA!G9)</f>
        <v/>
      </c>
      <c r="H12" s="370" t="str">
        <f>INDEX('GREEN SHEET'!$B$6:$GB$51, MATCH('MAIN EXAM RESULT'!D12,'GREEN SHEET'!$D$6:$D$51,0),165)</f>
        <v/>
      </c>
      <c r="I12" s="370" t="str">
        <f>INDEX('GREEN SHEET'!$B$6:$GB$51, MATCH('MAIN EXAM RESULT'!D12,'GREEN SHEET'!$D$6:$D$51,0),167)</f>
        <v/>
      </c>
      <c r="J12" s="370" t="str">
        <f>INDEX('GREEN SHEET'!$B$6:$GB$51, MATCH('MAIN EXAM RESULT'!D12,'GREEN SHEET'!$D$6:$D$51,0),166)</f>
        <v/>
      </c>
      <c r="K12" s="370" t="str">
        <f>INDEX('GREEN SHEET'!$B$6:$GB$51, MATCH('MAIN EXAM RESULT'!D12,'GREEN SHEET'!$D$6:$D$51,0),168)</f>
        <v/>
      </c>
      <c r="L12" s="603" t="str">
        <f>INDEX('GREEN SHEET'!$B$6:$GB$51, MATCH('MAIN EXAM RESULT'!D12,'GREEN SHEET'!$D$6:$D$51,0),180)</f>
        <v/>
      </c>
      <c r="M12" s="375" t="str">
        <f>INDEX('GREEN SHEET'!$B$6:$GB$51, MATCH('MAIN EXAM RESULT'!D12,'GREEN SHEET'!$D$6:$D$51,0),181)</f>
        <v/>
      </c>
      <c r="N12" s="60"/>
    </row>
    <row r="13" spans="1:14" ht="25.5" customHeight="1" x14ac:dyDescent="0.25">
      <c r="A13" s="60"/>
      <c r="B13" s="376">
        <f>IF(DATA!B10="","",DATA!B10)</f>
        <v>6</v>
      </c>
      <c r="C13" s="96" t="str">
        <f>IF(DATA!C10="","",DATA!C10)</f>
        <v/>
      </c>
      <c r="D13" s="96" t="str">
        <f>IF(DATA!D10="","",DATA!D10)</f>
        <v/>
      </c>
      <c r="E13" s="303" t="str">
        <f>IF(DATA!E10="","",DATA!E10)</f>
        <v/>
      </c>
      <c r="F13" s="303" t="str">
        <f>IF(DATA!F10="","",DATA!F10)</f>
        <v/>
      </c>
      <c r="G13" s="303" t="str">
        <f>IF(DATA!G10="","",DATA!G10)</f>
        <v/>
      </c>
      <c r="H13" s="370" t="str">
        <f>INDEX('GREEN SHEET'!$B$6:$GB$51, MATCH('MAIN EXAM RESULT'!D13,'GREEN SHEET'!$D$6:$D$51,0),165)</f>
        <v/>
      </c>
      <c r="I13" s="370" t="str">
        <f>INDEX('GREEN SHEET'!$B$6:$GB$51, MATCH('MAIN EXAM RESULT'!D13,'GREEN SHEET'!$D$6:$D$51,0),167)</f>
        <v/>
      </c>
      <c r="J13" s="370" t="str">
        <f>INDEX('GREEN SHEET'!$B$6:$GB$51, MATCH('MAIN EXAM RESULT'!D13,'GREEN SHEET'!$D$6:$D$51,0),166)</f>
        <v/>
      </c>
      <c r="K13" s="370" t="str">
        <f>INDEX('GREEN SHEET'!$B$6:$GB$51, MATCH('MAIN EXAM RESULT'!D13,'GREEN SHEET'!$D$6:$D$51,0),168)</f>
        <v/>
      </c>
      <c r="L13" s="603" t="str">
        <f>INDEX('GREEN SHEET'!$B$6:$GB$51, MATCH('MAIN EXAM RESULT'!D13,'GREEN SHEET'!$D$6:$D$51,0),180)</f>
        <v/>
      </c>
      <c r="M13" s="375" t="str">
        <f>INDEX('GREEN SHEET'!$B$6:$GB$51, MATCH('MAIN EXAM RESULT'!D13,'GREEN SHEET'!$D$6:$D$51,0),181)</f>
        <v/>
      </c>
      <c r="N13" s="60"/>
    </row>
    <row r="14" spans="1:14" ht="25.5" customHeight="1" x14ac:dyDescent="0.25">
      <c r="A14" s="60"/>
      <c r="B14" s="376">
        <f>IF(DATA!B11="","",DATA!B11)</f>
        <v>7</v>
      </c>
      <c r="C14" s="96" t="str">
        <f>IF(DATA!C11="","",DATA!C11)</f>
        <v/>
      </c>
      <c r="D14" s="96" t="str">
        <f>IF(DATA!D11="","",DATA!D11)</f>
        <v/>
      </c>
      <c r="E14" s="303" t="str">
        <f>IF(DATA!E11="","",DATA!E11)</f>
        <v/>
      </c>
      <c r="F14" s="303" t="str">
        <f>IF(DATA!F11="","",DATA!F11)</f>
        <v/>
      </c>
      <c r="G14" s="303" t="str">
        <f>IF(DATA!G11="","",DATA!G11)</f>
        <v/>
      </c>
      <c r="H14" s="370" t="str">
        <f>INDEX('GREEN SHEET'!$B$6:$GB$51, MATCH('MAIN EXAM RESULT'!D14,'GREEN SHEET'!$D$6:$D$51,0),165)</f>
        <v/>
      </c>
      <c r="I14" s="370" t="str">
        <f>INDEX('GREEN SHEET'!$B$6:$GB$51, MATCH('MAIN EXAM RESULT'!D14,'GREEN SHEET'!$D$6:$D$51,0),167)</f>
        <v/>
      </c>
      <c r="J14" s="370" t="str">
        <f>INDEX('GREEN SHEET'!$B$6:$GB$51, MATCH('MAIN EXAM RESULT'!D14,'GREEN SHEET'!$D$6:$D$51,0),166)</f>
        <v/>
      </c>
      <c r="K14" s="370" t="str">
        <f>INDEX('GREEN SHEET'!$B$6:$GB$51, MATCH('MAIN EXAM RESULT'!D14,'GREEN SHEET'!$D$6:$D$51,0),168)</f>
        <v/>
      </c>
      <c r="L14" s="603" t="str">
        <f>INDEX('GREEN SHEET'!$B$6:$GB$51, MATCH('MAIN EXAM RESULT'!D14,'GREEN SHEET'!$D$6:$D$51,0),180)</f>
        <v/>
      </c>
      <c r="M14" s="375" t="str">
        <f>INDEX('GREEN SHEET'!$B$6:$GB$51, MATCH('MAIN EXAM RESULT'!D14,'GREEN SHEET'!$D$6:$D$51,0),181)</f>
        <v/>
      </c>
      <c r="N14" s="60"/>
    </row>
    <row r="15" spans="1:14" ht="25.5" customHeight="1" x14ac:dyDescent="0.25">
      <c r="A15" s="60"/>
      <c r="B15" s="376">
        <f>IF(DATA!B12="","",DATA!B12)</f>
        <v>8</v>
      </c>
      <c r="C15" s="96" t="str">
        <f>IF(DATA!C12="","",DATA!C12)</f>
        <v/>
      </c>
      <c r="D15" s="96" t="str">
        <f>IF(DATA!D12="","",DATA!D12)</f>
        <v/>
      </c>
      <c r="E15" s="303" t="str">
        <f>IF(DATA!E12="","",DATA!E12)</f>
        <v/>
      </c>
      <c r="F15" s="303" t="str">
        <f>IF(DATA!F12="","",DATA!F12)</f>
        <v/>
      </c>
      <c r="G15" s="303" t="str">
        <f>IF(DATA!G12="","",DATA!G12)</f>
        <v/>
      </c>
      <c r="H15" s="370" t="str">
        <f>INDEX('GREEN SHEET'!$B$6:$GB$51, MATCH('MAIN EXAM RESULT'!D15,'GREEN SHEET'!$D$6:$D$51,0),165)</f>
        <v/>
      </c>
      <c r="I15" s="370" t="str">
        <f>INDEX('GREEN SHEET'!$B$6:$GB$51, MATCH('MAIN EXAM RESULT'!D15,'GREEN SHEET'!$D$6:$D$51,0),167)</f>
        <v/>
      </c>
      <c r="J15" s="370" t="str">
        <f>INDEX('GREEN SHEET'!$B$6:$GB$51, MATCH('MAIN EXAM RESULT'!D15,'GREEN SHEET'!$D$6:$D$51,0),166)</f>
        <v/>
      </c>
      <c r="K15" s="370" t="str">
        <f>INDEX('GREEN SHEET'!$B$6:$GB$51, MATCH('MAIN EXAM RESULT'!D15,'GREEN SHEET'!$D$6:$D$51,0),168)</f>
        <v/>
      </c>
      <c r="L15" s="603" t="str">
        <f>INDEX('GREEN SHEET'!$B$6:$GB$51, MATCH('MAIN EXAM RESULT'!D15,'GREEN SHEET'!$D$6:$D$51,0),180)</f>
        <v/>
      </c>
      <c r="M15" s="375" t="str">
        <f>INDEX('GREEN SHEET'!$B$6:$GB$51, MATCH('MAIN EXAM RESULT'!D15,'GREEN SHEET'!$D$6:$D$51,0),181)</f>
        <v/>
      </c>
      <c r="N15" s="60"/>
    </row>
    <row r="16" spans="1:14" ht="25.5" customHeight="1" x14ac:dyDescent="0.25">
      <c r="A16" s="60"/>
      <c r="B16" s="376">
        <f>IF(DATA!B13="","",DATA!B13)</f>
        <v>9</v>
      </c>
      <c r="C16" s="96" t="str">
        <f>IF(DATA!C13="","",DATA!C13)</f>
        <v/>
      </c>
      <c r="D16" s="96" t="str">
        <f>IF(DATA!D13="","",DATA!D13)</f>
        <v/>
      </c>
      <c r="E16" s="303" t="str">
        <f>IF(DATA!E13="","",DATA!E13)</f>
        <v/>
      </c>
      <c r="F16" s="303" t="str">
        <f>IF(DATA!F13="","",DATA!F13)</f>
        <v/>
      </c>
      <c r="G16" s="303" t="str">
        <f>IF(DATA!G13="","",DATA!G13)</f>
        <v/>
      </c>
      <c r="H16" s="370" t="str">
        <f>INDEX('GREEN SHEET'!$B$6:$GB$51, MATCH('MAIN EXAM RESULT'!D16,'GREEN SHEET'!$D$6:$D$51,0),165)</f>
        <v/>
      </c>
      <c r="I16" s="370" t="str">
        <f>INDEX('GREEN SHEET'!$B$6:$GB$51, MATCH('MAIN EXAM RESULT'!D16,'GREEN SHEET'!$D$6:$D$51,0),167)</f>
        <v/>
      </c>
      <c r="J16" s="370" t="str">
        <f>INDEX('GREEN SHEET'!$B$6:$GB$51, MATCH('MAIN EXAM RESULT'!D16,'GREEN SHEET'!$D$6:$D$51,0),166)</f>
        <v/>
      </c>
      <c r="K16" s="370" t="str">
        <f>INDEX('GREEN SHEET'!$B$6:$GB$51, MATCH('MAIN EXAM RESULT'!D16,'GREEN SHEET'!$D$6:$D$51,0),168)</f>
        <v/>
      </c>
      <c r="L16" s="603" t="str">
        <f>INDEX('GREEN SHEET'!$B$6:$GB$51, MATCH('MAIN EXAM RESULT'!D16,'GREEN SHEET'!$D$6:$D$51,0),180)</f>
        <v/>
      </c>
      <c r="M16" s="375" t="str">
        <f>INDEX('GREEN SHEET'!$B$6:$GB$51, MATCH('MAIN EXAM RESULT'!D16,'GREEN SHEET'!$D$6:$D$51,0),181)</f>
        <v/>
      </c>
      <c r="N16" s="60"/>
    </row>
    <row r="17" spans="1:14" ht="25.5" customHeight="1" x14ac:dyDescent="0.25">
      <c r="A17" s="60"/>
      <c r="B17" s="376">
        <f>IF(DATA!B14="","",DATA!B14)</f>
        <v>10</v>
      </c>
      <c r="C17" s="96" t="str">
        <f>IF(DATA!C14="","",DATA!C14)</f>
        <v/>
      </c>
      <c r="D17" s="96" t="str">
        <f>IF(DATA!D14="","",DATA!D14)</f>
        <v/>
      </c>
      <c r="E17" s="303" t="str">
        <f>IF(DATA!E14="","",DATA!E14)</f>
        <v/>
      </c>
      <c r="F17" s="303" t="str">
        <f>IF(DATA!F14="","",DATA!F14)</f>
        <v/>
      </c>
      <c r="G17" s="303" t="str">
        <f>IF(DATA!G14="","",DATA!G14)</f>
        <v/>
      </c>
      <c r="H17" s="370" t="str">
        <f>INDEX('GREEN SHEET'!$B$6:$GB$51, MATCH('MAIN EXAM RESULT'!D17,'GREEN SHEET'!$D$6:$D$51,0),165)</f>
        <v/>
      </c>
      <c r="I17" s="370" t="str">
        <f>INDEX('GREEN SHEET'!$B$6:$GB$51, MATCH('MAIN EXAM RESULT'!D17,'GREEN SHEET'!$D$6:$D$51,0),167)</f>
        <v/>
      </c>
      <c r="J17" s="370" t="str">
        <f>INDEX('GREEN SHEET'!$B$6:$GB$51, MATCH('MAIN EXAM RESULT'!D17,'GREEN SHEET'!$D$6:$D$51,0),166)</f>
        <v/>
      </c>
      <c r="K17" s="370" t="str">
        <f>INDEX('GREEN SHEET'!$B$6:$GB$51, MATCH('MAIN EXAM RESULT'!D17,'GREEN SHEET'!$D$6:$D$51,0),168)</f>
        <v/>
      </c>
      <c r="L17" s="603" t="str">
        <f>INDEX('GREEN SHEET'!$B$6:$GB$51, MATCH('MAIN EXAM RESULT'!D17,'GREEN SHEET'!$D$6:$D$51,0),180)</f>
        <v/>
      </c>
      <c r="M17" s="375" t="str">
        <f>INDEX('GREEN SHEET'!$B$6:$GB$51, MATCH('MAIN EXAM RESULT'!D17,'GREEN SHEET'!$D$6:$D$51,0),181)</f>
        <v/>
      </c>
      <c r="N17" s="60"/>
    </row>
    <row r="18" spans="1:14" ht="25.5" customHeight="1" x14ac:dyDescent="0.25">
      <c r="A18" s="60"/>
      <c r="B18" s="376">
        <f>IF(DATA!B15="","",DATA!B15)</f>
        <v>11</v>
      </c>
      <c r="C18" s="96" t="str">
        <f>IF(DATA!C15="","",DATA!C15)</f>
        <v/>
      </c>
      <c r="D18" s="96" t="str">
        <f>IF(DATA!D15="","",DATA!D15)</f>
        <v/>
      </c>
      <c r="E18" s="303" t="str">
        <f>IF(DATA!E15="","",DATA!E15)</f>
        <v/>
      </c>
      <c r="F18" s="303" t="str">
        <f>IF(DATA!F15="","",DATA!F15)</f>
        <v/>
      </c>
      <c r="G18" s="303" t="str">
        <f>IF(DATA!G15="","",DATA!G15)</f>
        <v/>
      </c>
      <c r="H18" s="370" t="str">
        <f>INDEX('GREEN SHEET'!$B$6:$GB$51, MATCH('MAIN EXAM RESULT'!D18,'GREEN SHEET'!$D$6:$D$51,0),165)</f>
        <v/>
      </c>
      <c r="I18" s="370" t="str">
        <f>INDEX('GREEN SHEET'!$B$6:$GB$51, MATCH('MAIN EXAM RESULT'!D18,'GREEN SHEET'!$D$6:$D$51,0),167)</f>
        <v/>
      </c>
      <c r="J18" s="370" t="str">
        <f>INDEX('GREEN SHEET'!$B$6:$GB$51, MATCH('MAIN EXAM RESULT'!D18,'GREEN SHEET'!$D$6:$D$51,0),166)</f>
        <v/>
      </c>
      <c r="K18" s="370" t="str">
        <f>INDEX('GREEN SHEET'!$B$6:$GB$51, MATCH('MAIN EXAM RESULT'!D18,'GREEN SHEET'!$D$6:$D$51,0),168)</f>
        <v/>
      </c>
      <c r="L18" s="603" t="str">
        <f>INDEX('GREEN SHEET'!$B$6:$GB$51, MATCH('MAIN EXAM RESULT'!D18,'GREEN SHEET'!$D$6:$D$51,0),180)</f>
        <v/>
      </c>
      <c r="M18" s="375" t="str">
        <f>INDEX('GREEN SHEET'!$B$6:$GB$51, MATCH('MAIN EXAM RESULT'!D18,'GREEN SHEET'!$D$6:$D$51,0),181)</f>
        <v/>
      </c>
      <c r="N18" s="60"/>
    </row>
    <row r="19" spans="1:14" ht="25.5" customHeight="1" x14ac:dyDescent="0.25">
      <c r="A19" s="60"/>
      <c r="B19" s="376">
        <f>IF(DATA!B16="","",DATA!B16)</f>
        <v>12</v>
      </c>
      <c r="C19" s="96" t="str">
        <f>IF(DATA!C16="","",DATA!C16)</f>
        <v/>
      </c>
      <c r="D19" s="96" t="str">
        <f>IF(DATA!D16="","",DATA!D16)</f>
        <v/>
      </c>
      <c r="E19" s="303" t="str">
        <f>IF(DATA!E16="","",DATA!E16)</f>
        <v/>
      </c>
      <c r="F19" s="303" t="str">
        <f>IF(DATA!F16="","",DATA!F16)</f>
        <v/>
      </c>
      <c r="G19" s="303" t="str">
        <f>IF(DATA!G16="","",DATA!G16)</f>
        <v/>
      </c>
      <c r="H19" s="370" t="str">
        <f>INDEX('GREEN SHEET'!$B$6:$GB$51, MATCH('MAIN EXAM RESULT'!D19,'GREEN SHEET'!$D$6:$D$51,0),165)</f>
        <v/>
      </c>
      <c r="I19" s="370" t="str">
        <f>INDEX('GREEN SHEET'!$B$6:$GB$51, MATCH('MAIN EXAM RESULT'!D19,'GREEN SHEET'!$D$6:$D$51,0),167)</f>
        <v/>
      </c>
      <c r="J19" s="370" t="str">
        <f>INDEX('GREEN SHEET'!$B$6:$GB$51, MATCH('MAIN EXAM RESULT'!D19,'GREEN SHEET'!$D$6:$D$51,0),166)</f>
        <v/>
      </c>
      <c r="K19" s="370" t="str">
        <f>INDEX('GREEN SHEET'!$B$6:$GB$51, MATCH('MAIN EXAM RESULT'!D19,'GREEN SHEET'!$D$6:$D$51,0),168)</f>
        <v/>
      </c>
      <c r="L19" s="603" t="str">
        <f>INDEX('GREEN SHEET'!$B$6:$GB$51, MATCH('MAIN EXAM RESULT'!D19,'GREEN SHEET'!$D$6:$D$51,0),180)</f>
        <v/>
      </c>
      <c r="M19" s="375" t="str">
        <f>INDEX('GREEN SHEET'!$B$6:$GB$51, MATCH('MAIN EXAM RESULT'!D19,'GREEN SHEET'!$D$6:$D$51,0),181)</f>
        <v/>
      </c>
      <c r="N19" s="60"/>
    </row>
    <row r="20" spans="1:14" ht="25.5" customHeight="1" x14ac:dyDescent="0.25">
      <c r="A20" s="60"/>
      <c r="B20" s="376">
        <f>IF(DATA!B17="","",DATA!B17)</f>
        <v>13</v>
      </c>
      <c r="C20" s="96" t="str">
        <f>IF(DATA!C17="","",DATA!C17)</f>
        <v/>
      </c>
      <c r="D20" s="96" t="str">
        <f>IF(DATA!D17="","",DATA!D17)</f>
        <v/>
      </c>
      <c r="E20" s="303" t="str">
        <f>IF(DATA!E17="","",DATA!E17)</f>
        <v/>
      </c>
      <c r="F20" s="303" t="str">
        <f>IF(DATA!F17="","",DATA!F17)</f>
        <v/>
      </c>
      <c r="G20" s="303" t="str">
        <f>IF(DATA!G17="","",DATA!G17)</f>
        <v/>
      </c>
      <c r="H20" s="370" t="str">
        <f>INDEX('GREEN SHEET'!$B$6:$GB$51, MATCH('MAIN EXAM RESULT'!D20,'GREEN SHEET'!$D$6:$D$51,0),165)</f>
        <v/>
      </c>
      <c r="I20" s="370" t="str">
        <f>INDEX('GREEN SHEET'!$B$6:$GB$51, MATCH('MAIN EXAM RESULT'!D20,'GREEN SHEET'!$D$6:$D$51,0),167)</f>
        <v/>
      </c>
      <c r="J20" s="370" t="str">
        <f>INDEX('GREEN SHEET'!$B$6:$GB$51, MATCH('MAIN EXAM RESULT'!D20,'GREEN SHEET'!$D$6:$D$51,0),166)</f>
        <v/>
      </c>
      <c r="K20" s="370" t="str">
        <f>INDEX('GREEN SHEET'!$B$6:$GB$51, MATCH('MAIN EXAM RESULT'!D20,'GREEN SHEET'!$D$6:$D$51,0),168)</f>
        <v/>
      </c>
      <c r="L20" s="603" t="str">
        <f>INDEX('GREEN SHEET'!$B$6:$GB$51, MATCH('MAIN EXAM RESULT'!D20,'GREEN SHEET'!$D$6:$D$51,0),180)</f>
        <v/>
      </c>
      <c r="M20" s="375" t="str">
        <f>INDEX('GREEN SHEET'!$B$6:$GB$51, MATCH('MAIN EXAM RESULT'!D20,'GREEN SHEET'!$D$6:$D$51,0),181)</f>
        <v/>
      </c>
      <c r="N20" s="60"/>
    </row>
    <row r="21" spans="1:14" ht="25.5" customHeight="1" x14ac:dyDescent="0.25">
      <c r="A21" s="60"/>
      <c r="B21" s="376">
        <f>IF(DATA!B18="","",DATA!B18)</f>
        <v>14</v>
      </c>
      <c r="C21" s="96" t="str">
        <f>IF(DATA!C18="","",DATA!C18)</f>
        <v/>
      </c>
      <c r="D21" s="96" t="str">
        <f>IF(DATA!D18="","",DATA!D18)</f>
        <v/>
      </c>
      <c r="E21" s="303" t="str">
        <f>IF(DATA!E18="","",DATA!E18)</f>
        <v/>
      </c>
      <c r="F21" s="303" t="str">
        <f>IF(DATA!F18="","",DATA!F18)</f>
        <v/>
      </c>
      <c r="G21" s="303" t="str">
        <f>IF(DATA!G18="","",DATA!G18)</f>
        <v/>
      </c>
      <c r="H21" s="370" t="str">
        <f>INDEX('GREEN SHEET'!$B$6:$GB$51, MATCH('MAIN EXAM RESULT'!D21,'GREEN SHEET'!$D$6:$D$51,0),165)</f>
        <v/>
      </c>
      <c r="I21" s="370" t="str">
        <f>INDEX('GREEN SHEET'!$B$6:$GB$51, MATCH('MAIN EXAM RESULT'!D21,'GREEN SHEET'!$D$6:$D$51,0),167)</f>
        <v/>
      </c>
      <c r="J21" s="370" t="str">
        <f>INDEX('GREEN SHEET'!$B$6:$GB$51, MATCH('MAIN EXAM RESULT'!D21,'GREEN SHEET'!$D$6:$D$51,0),166)</f>
        <v/>
      </c>
      <c r="K21" s="370" t="str">
        <f>INDEX('GREEN SHEET'!$B$6:$GB$51, MATCH('MAIN EXAM RESULT'!D21,'GREEN SHEET'!$D$6:$D$51,0),168)</f>
        <v/>
      </c>
      <c r="L21" s="603" t="str">
        <f>INDEX('GREEN SHEET'!$B$6:$GB$51, MATCH('MAIN EXAM RESULT'!D21,'GREEN SHEET'!$D$6:$D$51,0),180)</f>
        <v/>
      </c>
      <c r="M21" s="375" t="str">
        <f>INDEX('GREEN SHEET'!$B$6:$GB$51, MATCH('MAIN EXAM RESULT'!D21,'GREEN SHEET'!$D$6:$D$51,0),181)</f>
        <v/>
      </c>
      <c r="N21" s="60"/>
    </row>
    <row r="22" spans="1:14" ht="25.5" customHeight="1" x14ac:dyDescent="0.25">
      <c r="A22" s="60"/>
      <c r="B22" s="376">
        <f>IF(DATA!B19="","",DATA!B19)</f>
        <v>15</v>
      </c>
      <c r="C22" s="96" t="str">
        <f>IF(DATA!C19="","",DATA!C19)</f>
        <v/>
      </c>
      <c r="D22" s="96" t="str">
        <f>IF(DATA!D19="","",DATA!D19)</f>
        <v/>
      </c>
      <c r="E22" s="303" t="str">
        <f>IF(DATA!E19="","",DATA!E19)</f>
        <v/>
      </c>
      <c r="F22" s="303" t="str">
        <f>IF(DATA!F19="","",DATA!F19)</f>
        <v/>
      </c>
      <c r="G22" s="303" t="str">
        <f>IF(DATA!G19="","",DATA!G19)</f>
        <v/>
      </c>
      <c r="H22" s="370" t="str">
        <f>INDEX('GREEN SHEET'!$B$6:$GB$51, MATCH('MAIN EXAM RESULT'!D22,'GREEN SHEET'!$D$6:$D$51,0),165)</f>
        <v/>
      </c>
      <c r="I22" s="370" t="str">
        <f>INDEX('GREEN SHEET'!$B$6:$GB$51, MATCH('MAIN EXAM RESULT'!D22,'GREEN SHEET'!$D$6:$D$51,0),167)</f>
        <v/>
      </c>
      <c r="J22" s="370" t="str">
        <f>INDEX('GREEN SHEET'!$B$6:$GB$51, MATCH('MAIN EXAM RESULT'!D22,'GREEN SHEET'!$D$6:$D$51,0),166)</f>
        <v/>
      </c>
      <c r="K22" s="370" t="str">
        <f>INDEX('GREEN SHEET'!$B$6:$GB$51, MATCH('MAIN EXAM RESULT'!D22,'GREEN SHEET'!$D$6:$D$51,0),168)</f>
        <v/>
      </c>
      <c r="L22" s="603" t="str">
        <f>INDEX('GREEN SHEET'!$B$6:$GB$51, MATCH('MAIN EXAM RESULT'!D22,'GREEN SHEET'!$D$6:$D$51,0),180)</f>
        <v/>
      </c>
      <c r="M22" s="375" t="str">
        <f>INDEX('GREEN SHEET'!$B$6:$GB$51, MATCH('MAIN EXAM RESULT'!D22,'GREEN SHEET'!$D$6:$D$51,0),181)</f>
        <v/>
      </c>
      <c r="N22" s="60"/>
    </row>
    <row r="23" spans="1:14" ht="25.5" customHeight="1" x14ac:dyDescent="0.25">
      <c r="A23" s="60"/>
      <c r="B23" s="376">
        <f>IF(DATA!B20="","",DATA!B20)</f>
        <v>16</v>
      </c>
      <c r="C23" s="96" t="str">
        <f>IF(DATA!C20="","",DATA!C20)</f>
        <v/>
      </c>
      <c r="D23" s="96" t="str">
        <f>IF(DATA!D20="","",DATA!D20)</f>
        <v/>
      </c>
      <c r="E23" s="303" t="str">
        <f>IF(DATA!E20="","",DATA!E20)</f>
        <v/>
      </c>
      <c r="F23" s="303" t="str">
        <f>IF(DATA!F20="","",DATA!F20)</f>
        <v/>
      </c>
      <c r="G23" s="303" t="str">
        <f>IF(DATA!G20="","",DATA!G20)</f>
        <v/>
      </c>
      <c r="H23" s="370" t="str">
        <f>INDEX('GREEN SHEET'!$B$6:$GB$51, MATCH('MAIN EXAM RESULT'!D23,'GREEN SHEET'!$D$6:$D$51,0),165)</f>
        <v/>
      </c>
      <c r="I23" s="370" t="str">
        <f>INDEX('GREEN SHEET'!$B$6:$GB$51, MATCH('MAIN EXAM RESULT'!D23,'GREEN SHEET'!$D$6:$D$51,0),167)</f>
        <v/>
      </c>
      <c r="J23" s="370" t="str">
        <f>INDEX('GREEN SHEET'!$B$6:$GB$51, MATCH('MAIN EXAM RESULT'!D23,'GREEN SHEET'!$D$6:$D$51,0),166)</f>
        <v/>
      </c>
      <c r="K23" s="370" t="str">
        <f>INDEX('GREEN SHEET'!$B$6:$GB$51, MATCH('MAIN EXAM RESULT'!D23,'GREEN SHEET'!$D$6:$D$51,0),168)</f>
        <v/>
      </c>
      <c r="L23" s="603" t="str">
        <f>INDEX('GREEN SHEET'!$B$6:$GB$51, MATCH('MAIN EXAM RESULT'!D23,'GREEN SHEET'!$D$6:$D$51,0),180)</f>
        <v/>
      </c>
      <c r="M23" s="375" t="str">
        <f>INDEX('GREEN SHEET'!$B$6:$GB$51, MATCH('MAIN EXAM RESULT'!D23,'GREEN SHEET'!$D$6:$D$51,0),181)</f>
        <v/>
      </c>
      <c r="N23" s="60"/>
    </row>
    <row r="24" spans="1:14" ht="25.5" customHeight="1" x14ac:dyDescent="0.25">
      <c r="A24" s="60"/>
      <c r="B24" s="376">
        <f>IF(DATA!B21="","",DATA!B21)</f>
        <v>17</v>
      </c>
      <c r="C24" s="96" t="str">
        <f>IF(DATA!C21="","",DATA!C21)</f>
        <v/>
      </c>
      <c r="D24" s="96" t="str">
        <f>IF(DATA!D21="","",DATA!D21)</f>
        <v/>
      </c>
      <c r="E24" s="303" t="str">
        <f>IF(DATA!E21="","",DATA!E21)</f>
        <v/>
      </c>
      <c r="F24" s="303" t="str">
        <f>IF(DATA!F21="","",DATA!F21)</f>
        <v/>
      </c>
      <c r="G24" s="303" t="str">
        <f>IF(DATA!G21="","",DATA!G21)</f>
        <v/>
      </c>
      <c r="H24" s="370" t="str">
        <f>INDEX('GREEN SHEET'!$B$6:$GB$51, MATCH('MAIN EXAM RESULT'!D24,'GREEN SHEET'!$D$6:$D$51,0),165)</f>
        <v/>
      </c>
      <c r="I24" s="370" t="str">
        <f>INDEX('GREEN SHEET'!$B$6:$GB$51, MATCH('MAIN EXAM RESULT'!D24,'GREEN SHEET'!$D$6:$D$51,0),167)</f>
        <v/>
      </c>
      <c r="J24" s="370" t="str">
        <f>INDEX('GREEN SHEET'!$B$6:$GB$51, MATCH('MAIN EXAM RESULT'!D24,'GREEN SHEET'!$D$6:$D$51,0),166)</f>
        <v/>
      </c>
      <c r="K24" s="370" t="str">
        <f>INDEX('GREEN SHEET'!$B$6:$GB$51, MATCH('MAIN EXAM RESULT'!D24,'GREEN SHEET'!$D$6:$D$51,0),168)</f>
        <v/>
      </c>
      <c r="L24" s="603" t="str">
        <f>INDEX('GREEN SHEET'!$B$6:$GB$51, MATCH('MAIN EXAM RESULT'!D24,'GREEN SHEET'!$D$6:$D$51,0),180)</f>
        <v/>
      </c>
      <c r="M24" s="375" t="str">
        <f>INDEX('GREEN SHEET'!$B$6:$GB$51, MATCH('MAIN EXAM RESULT'!D24,'GREEN SHEET'!$D$6:$D$51,0),181)</f>
        <v/>
      </c>
      <c r="N24" s="60"/>
    </row>
    <row r="25" spans="1:14" ht="25.5" customHeight="1" x14ac:dyDescent="0.25">
      <c r="A25" s="60"/>
      <c r="B25" s="376">
        <f>IF(DATA!B22="","",DATA!B22)</f>
        <v>18</v>
      </c>
      <c r="C25" s="96" t="str">
        <f>IF(DATA!C22="","",DATA!C22)</f>
        <v/>
      </c>
      <c r="D25" s="96" t="str">
        <f>IF(DATA!D22="","",DATA!D22)</f>
        <v/>
      </c>
      <c r="E25" s="303" t="str">
        <f>IF(DATA!E22="","",DATA!E22)</f>
        <v/>
      </c>
      <c r="F25" s="303" t="str">
        <f>IF(DATA!F22="","",DATA!F22)</f>
        <v/>
      </c>
      <c r="G25" s="303" t="str">
        <f>IF(DATA!G22="","",DATA!G22)</f>
        <v/>
      </c>
      <c r="H25" s="370" t="str">
        <f>INDEX('GREEN SHEET'!$B$6:$GB$51, MATCH('MAIN EXAM RESULT'!D25,'GREEN SHEET'!$D$6:$D$51,0),165)</f>
        <v/>
      </c>
      <c r="I25" s="370" t="str">
        <f>INDEX('GREEN SHEET'!$B$6:$GB$51, MATCH('MAIN EXAM RESULT'!D25,'GREEN SHEET'!$D$6:$D$51,0),167)</f>
        <v/>
      </c>
      <c r="J25" s="370" t="str">
        <f>INDEX('GREEN SHEET'!$B$6:$GB$51, MATCH('MAIN EXAM RESULT'!D25,'GREEN SHEET'!$D$6:$D$51,0),166)</f>
        <v/>
      </c>
      <c r="K25" s="370" t="str">
        <f>INDEX('GREEN SHEET'!$B$6:$GB$51, MATCH('MAIN EXAM RESULT'!D25,'GREEN SHEET'!$D$6:$D$51,0),168)</f>
        <v/>
      </c>
      <c r="L25" s="603" t="str">
        <f>INDEX('GREEN SHEET'!$B$6:$GB$51, MATCH('MAIN EXAM RESULT'!D25,'GREEN SHEET'!$D$6:$D$51,0),180)</f>
        <v/>
      </c>
      <c r="M25" s="375" t="str">
        <f>INDEX('GREEN SHEET'!$B$6:$GB$51, MATCH('MAIN EXAM RESULT'!D25,'GREEN SHEET'!$D$6:$D$51,0),181)</f>
        <v/>
      </c>
      <c r="N25" s="60"/>
    </row>
    <row r="26" spans="1:14" ht="25.5" customHeight="1" x14ac:dyDescent="0.25">
      <c r="A26" s="60"/>
      <c r="B26" s="376">
        <f>IF(DATA!B23="","",DATA!B23)</f>
        <v>19</v>
      </c>
      <c r="C26" s="96" t="str">
        <f>IF(DATA!C23="","",DATA!C23)</f>
        <v/>
      </c>
      <c r="D26" s="96" t="str">
        <f>IF(DATA!D23="","",DATA!D23)</f>
        <v/>
      </c>
      <c r="E26" s="303" t="str">
        <f>IF(DATA!E23="","",DATA!E23)</f>
        <v/>
      </c>
      <c r="F26" s="303" t="str">
        <f>IF(DATA!F23="","",DATA!F23)</f>
        <v/>
      </c>
      <c r="G26" s="303" t="str">
        <f>IF(DATA!G23="","",DATA!G23)</f>
        <v/>
      </c>
      <c r="H26" s="370" t="str">
        <f>INDEX('GREEN SHEET'!$B$6:$GB$51, MATCH('MAIN EXAM RESULT'!D26,'GREEN SHEET'!$D$6:$D$51,0),165)</f>
        <v/>
      </c>
      <c r="I26" s="370" t="str">
        <f>INDEX('GREEN SHEET'!$B$6:$GB$51, MATCH('MAIN EXAM RESULT'!D26,'GREEN SHEET'!$D$6:$D$51,0),167)</f>
        <v/>
      </c>
      <c r="J26" s="370" t="str">
        <f>INDEX('GREEN SHEET'!$B$6:$GB$51, MATCH('MAIN EXAM RESULT'!D26,'GREEN SHEET'!$D$6:$D$51,0),166)</f>
        <v/>
      </c>
      <c r="K26" s="370" t="str">
        <f>INDEX('GREEN SHEET'!$B$6:$GB$51, MATCH('MAIN EXAM RESULT'!D26,'GREEN SHEET'!$D$6:$D$51,0),168)</f>
        <v/>
      </c>
      <c r="L26" s="603" t="str">
        <f>INDEX('GREEN SHEET'!$B$6:$GB$51, MATCH('MAIN EXAM RESULT'!D26,'GREEN SHEET'!$D$6:$D$51,0),180)</f>
        <v/>
      </c>
      <c r="M26" s="375" t="str">
        <f>INDEX('GREEN SHEET'!$B$6:$GB$51, MATCH('MAIN EXAM RESULT'!D26,'GREEN SHEET'!$D$6:$D$51,0),181)</f>
        <v/>
      </c>
      <c r="N26" s="60"/>
    </row>
    <row r="27" spans="1:14" ht="25.5" customHeight="1" x14ac:dyDescent="0.25">
      <c r="A27" s="60"/>
      <c r="B27" s="376">
        <f>IF(DATA!B24="","",DATA!B24)</f>
        <v>20</v>
      </c>
      <c r="C27" s="96" t="str">
        <f>IF(DATA!C24="","",DATA!C24)</f>
        <v/>
      </c>
      <c r="D27" s="96" t="str">
        <f>IF(DATA!D24="","",DATA!D24)</f>
        <v/>
      </c>
      <c r="E27" s="303" t="str">
        <f>IF(DATA!E24="","",DATA!E24)</f>
        <v/>
      </c>
      <c r="F27" s="303" t="str">
        <f>IF(DATA!F24="","",DATA!F24)</f>
        <v/>
      </c>
      <c r="G27" s="303" t="str">
        <f>IF(DATA!G24="","",DATA!G24)</f>
        <v/>
      </c>
      <c r="H27" s="370" t="str">
        <f>INDEX('GREEN SHEET'!$B$6:$GB$51, MATCH('MAIN EXAM RESULT'!D27,'GREEN SHEET'!$D$6:$D$51,0),165)</f>
        <v/>
      </c>
      <c r="I27" s="370" t="str">
        <f>INDEX('GREEN SHEET'!$B$6:$GB$51, MATCH('MAIN EXAM RESULT'!D27,'GREEN SHEET'!$D$6:$D$51,0),167)</f>
        <v/>
      </c>
      <c r="J27" s="370" t="str">
        <f>INDEX('GREEN SHEET'!$B$6:$GB$51, MATCH('MAIN EXAM RESULT'!D27,'GREEN SHEET'!$D$6:$D$51,0),166)</f>
        <v/>
      </c>
      <c r="K27" s="370" t="str">
        <f>INDEX('GREEN SHEET'!$B$6:$GB$51, MATCH('MAIN EXAM RESULT'!D27,'GREEN SHEET'!$D$6:$D$51,0),168)</f>
        <v/>
      </c>
      <c r="L27" s="603" t="str">
        <f>INDEX('GREEN SHEET'!$B$6:$GB$51, MATCH('MAIN EXAM RESULT'!D27,'GREEN SHEET'!$D$6:$D$51,0),180)</f>
        <v/>
      </c>
      <c r="M27" s="375" t="str">
        <f>INDEX('GREEN SHEET'!$B$6:$GB$51, MATCH('MAIN EXAM RESULT'!D27,'GREEN SHEET'!$D$6:$D$51,0),181)</f>
        <v/>
      </c>
      <c r="N27" s="60"/>
    </row>
    <row r="28" spans="1:14" ht="25.5" customHeight="1" x14ac:dyDescent="0.25">
      <c r="A28" s="60"/>
      <c r="B28" s="376">
        <f>IF(DATA!B25="","",DATA!B25)</f>
        <v>21</v>
      </c>
      <c r="C28" s="96" t="str">
        <f>IF(DATA!C25="","",DATA!C25)</f>
        <v/>
      </c>
      <c r="D28" s="96" t="str">
        <f>IF(DATA!D25="","",DATA!D25)</f>
        <v/>
      </c>
      <c r="E28" s="303" t="str">
        <f>IF(DATA!E25="","",DATA!E25)</f>
        <v/>
      </c>
      <c r="F28" s="303" t="str">
        <f>IF(DATA!F25="","",DATA!F25)</f>
        <v/>
      </c>
      <c r="G28" s="303" t="str">
        <f>IF(DATA!G25="","",DATA!G25)</f>
        <v/>
      </c>
      <c r="H28" s="370" t="str">
        <f>INDEX('GREEN SHEET'!$B$6:$GB$51, MATCH('MAIN EXAM RESULT'!D28,'GREEN SHEET'!$D$6:$D$51,0),165)</f>
        <v/>
      </c>
      <c r="I28" s="370" t="str">
        <f>INDEX('GREEN SHEET'!$B$6:$GB$51, MATCH('MAIN EXAM RESULT'!D28,'GREEN SHEET'!$D$6:$D$51,0),167)</f>
        <v/>
      </c>
      <c r="J28" s="370" t="str">
        <f>INDEX('GREEN SHEET'!$B$6:$GB$51, MATCH('MAIN EXAM RESULT'!D28,'GREEN SHEET'!$D$6:$D$51,0),166)</f>
        <v/>
      </c>
      <c r="K28" s="370" t="str">
        <f>INDEX('GREEN SHEET'!$B$6:$GB$51, MATCH('MAIN EXAM RESULT'!D28,'GREEN SHEET'!$D$6:$D$51,0),168)</f>
        <v/>
      </c>
      <c r="L28" s="603" t="str">
        <f>INDEX('GREEN SHEET'!$B$6:$GB$51, MATCH('MAIN EXAM RESULT'!D28,'GREEN SHEET'!$D$6:$D$51,0),180)</f>
        <v/>
      </c>
      <c r="M28" s="375" t="str">
        <f>INDEX('GREEN SHEET'!$B$6:$GB$51, MATCH('MAIN EXAM RESULT'!D28,'GREEN SHEET'!$D$6:$D$51,0),181)</f>
        <v/>
      </c>
      <c r="N28" s="60"/>
    </row>
    <row r="29" spans="1:14" ht="25.5" customHeight="1" x14ac:dyDescent="0.25">
      <c r="A29" s="60"/>
      <c r="B29" s="376">
        <f>IF(DATA!B26="","",DATA!B26)</f>
        <v>22</v>
      </c>
      <c r="C29" s="96" t="str">
        <f>IF(DATA!C26="","",DATA!C26)</f>
        <v/>
      </c>
      <c r="D29" s="96" t="str">
        <f>IF(DATA!D26="","",DATA!D26)</f>
        <v/>
      </c>
      <c r="E29" s="303" t="str">
        <f>IF(DATA!E26="","",DATA!E26)</f>
        <v/>
      </c>
      <c r="F29" s="303" t="str">
        <f>IF(DATA!F26="","",DATA!F26)</f>
        <v/>
      </c>
      <c r="G29" s="303" t="str">
        <f>IF(DATA!G26="","",DATA!G26)</f>
        <v/>
      </c>
      <c r="H29" s="370" t="str">
        <f>INDEX('GREEN SHEET'!$B$6:$GB$51, MATCH('MAIN EXAM RESULT'!D29,'GREEN SHEET'!$D$6:$D$51,0),165)</f>
        <v/>
      </c>
      <c r="I29" s="370" t="str">
        <f>INDEX('GREEN SHEET'!$B$6:$GB$51, MATCH('MAIN EXAM RESULT'!D29,'GREEN SHEET'!$D$6:$D$51,0),167)</f>
        <v/>
      </c>
      <c r="J29" s="370" t="str">
        <f>INDEX('GREEN SHEET'!$B$6:$GB$51, MATCH('MAIN EXAM RESULT'!D29,'GREEN SHEET'!$D$6:$D$51,0),166)</f>
        <v/>
      </c>
      <c r="K29" s="370" t="str">
        <f>INDEX('GREEN SHEET'!$B$6:$GB$51, MATCH('MAIN EXAM RESULT'!D29,'GREEN SHEET'!$D$6:$D$51,0),168)</f>
        <v/>
      </c>
      <c r="L29" s="603" t="str">
        <f>INDEX('GREEN SHEET'!$B$6:$GB$51, MATCH('MAIN EXAM RESULT'!D29,'GREEN SHEET'!$D$6:$D$51,0),180)</f>
        <v/>
      </c>
      <c r="M29" s="375" t="str">
        <f>INDEX('GREEN SHEET'!$B$6:$GB$51, MATCH('MAIN EXAM RESULT'!D29,'GREEN SHEET'!$D$6:$D$51,0),181)</f>
        <v/>
      </c>
      <c r="N29" s="60"/>
    </row>
    <row r="30" spans="1:14" ht="25.5" customHeight="1" x14ac:dyDescent="0.25">
      <c r="A30" s="60"/>
      <c r="B30" s="376">
        <f>IF(DATA!B27="","",DATA!B27)</f>
        <v>23</v>
      </c>
      <c r="C30" s="96" t="str">
        <f>IF(DATA!C27="","",DATA!C27)</f>
        <v/>
      </c>
      <c r="D30" s="96" t="str">
        <f>IF(DATA!D27="","",DATA!D27)</f>
        <v/>
      </c>
      <c r="E30" s="303" t="str">
        <f>IF(DATA!E27="","",DATA!E27)</f>
        <v/>
      </c>
      <c r="F30" s="303" t="str">
        <f>IF(DATA!F27="","",DATA!F27)</f>
        <v/>
      </c>
      <c r="G30" s="303" t="str">
        <f>IF(DATA!G27="","",DATA!G27)</f>
        <v/>
      </c>
      <c r="H30" s="370" t="str">
        <f>INDEX('GREEN SHEET'!$B$6:$GB$51, MATCH('MAIN EXAM RESULT'!D30,'GREEN SHEET'!$D$6:$D$51,0),165)</f>
        <v/>
      </c>
      <c r="I30" s="370" t="str">
        <f>INDEX('GREEN SHEET'!$B$6:$GB$51, MATCH('MAIN EXAM RESULT'!D30,'GREEN SHEET'!$D$6:$D$51,0),167)</f>
        <v/>
      </c>
      <c r="J30" s="370" t="str">
        <f>INDEX('GREEN SHEET'!$B$6:$GB$51, MATCH('MAIN EXAM RESULT'!D30,'GREEN SHEET'!$D$6:$D$51,0),166)</f>
        <v/>
      </c>
      <c r="K30" s="370" t="str">
        <f>INDEX('GREEN SHEET'!$B$6:$GB$51, MATCH('MAIN EXAM RESULT'!D30,'GREEN SHEET'!$D$6:$D$51,0),168)</f>
        <v/>
      </c>
      <c r="L30" s="603" t="str">
        <f>INDEX('GREEN SHEET'!$B$6:$GB$51, MATCH('MAIN EXAM RESULT'!D30,'GREEN SHEET'!$D$6:$D$51,0),180)</f>
        <v/>
      </c>
      <c r="M30" s="375" t="str">
        <f>INDEX('GREEN SHEET'!$B$6:$GB$51, MATCH('MAIN EXAM RESULT'!D30,'GREEN SHEET'!$D$6:$D$51,0),181)</f>
        <v/>
      </c>
      <c r="N30" s="60"/>
    </row>
    <row r="31" spans="1:14" ht="25.5" customHeight="1" x14ac:dyDescent="0.25">
      <c r="A31" s="60"/>
      <c r="B31" s="376">
        <f>IF(DATA!B28="","",DATA!B28)</f>
        <v>24</v>
      </c>
      <c r="C31" s="96" t="str">
        <f>IF(DATA!C28="","",DATA!C28)</f>
        <v/>
      </c>
      <c r="D31" s="96" t="str">
        <f>IF(DATA!D28="","",DATA!D28)</f>
        <v/>
      </c>
      <c r="E31" s="303" t="str">
        <f>IF(DATA!E28="","",DATA!E28)</f>
        <v/>
      </c>
      <c r="F31" s="303" t="str">
        <f>IF(DATA!F28="","",DATA!F28)</f>
        <v/>
      </c>
      <c r="G31" s="303" t="str">
        <f>IF(DATA!G28="","",DATA!G28)</f>
        <v/>
      </c>
      <c r="H31" s="370" t="str">
        <f>INDEX('GREEN SHEET'!$B$6:$GB$51, MATCH('MAIN EXAM RESULT'!D31,'GREEN SHEET'!$D$6:$D$51,0),165)</f>
        <v/>
      </c>
      <c r="I31" s="370" t="str">
        <f>INDEX('GREEN SHEET'!$B$6:$GB$51, MATCH('MAIN EXAM RESULT'!D31,'GREEN SHEET'!$D$6:$D$51,0),167)</f>
        <v/>
      </c>
      <c r="J31" s="370" t="str">
        <f>INDEX('GREEN SHEET'!$B$6:$GB$51, MATCH('MAIN EXAM RESULT'!D31,'GREEN SHEET'!$D$6:$D$51,0),166)</f>
        <v/>
      </c>
      <c r="K31" s="370" t="str">
        <f>INDEX('GREEN SHEET'!$B$6:$GB$51, MATCH('MAIN EXAM RESULT'!D31,'GREEN SHEET'!$D$6:$D$51,0),168)</f>
        <v/>
      </c>
      <c r="L31" s="603" t="str">
        <f>INDEX('GREEN SHEET'!$B$6:$GB$51, MATCH('MAIN EXAM RESULT'!D31,'GREEN SHEET'!$D$6:$D$51,0),180)</f>
        <v/>
      </c>
      <c r="M31" s="375" t="str">
        <f>INDEX('GREEN SHEET'!$B$6:$GB$51, MATCH('MAIN EXAM RESULT'!D31,'GREEN SHEET'!$D$6:$D$51,0),181)</f>
        <v/>
      </c>
      <c r="N31" s="60"/>
    </row>
    <row r="32" spans="1:14" ht="25.5" customHeight="1" x14ac:dyDescent="0.25">
      <c r="A32" s="60"/>
      <c r="B32" s="376">
        <f>IF(DATA!B29="","",DATA!B29)</f>
        <v>25</v>
      </c>
      <c r="C32" s="96" t="str">
        <f>IF(DATA!C29="","",DATA!C29)</f>
        <v/>
      </c>
      <c r="D32" s="96" t="str">
        <f>IF(DATA!D29="","",DATA!D29)</f>
        <v/>
      </c>
      <c r="E32" s="303" t="str">
        <f>IF(DATA!E29="","",DATA!E29)</f>
        <v/>
      </c>
      <c r="F32" s="303" t="str">
        <f>IF(DATA!F29="","",DATA!F29)</f>
        <v/>
      </c>
      <c r="G32" s="303" t="str">
        <f>IF(DATA!G29="","",DATA!G29)</f>
        <v/>
      </c>
      <c r="H32" s="370" t="str">
        <f>INDEX('GREEN SHEET'!$B$6:$GB$51, MATCH('MAIN EXAM RESULT'!D32,'GREEN SHEET'!$D$6:$D$51,0),165)</f>
        <v/>
      </c>
      <c r="I32" s="370" t="str">
        <f>INDEX('GREEN SHEET'!$B$6:$GB$51, MATCH('MAIN EXAM RESULT'!D32,'GREEN SHEET'!$D$6:$D$51,0),167)</f>
        <v/>
      </c>
      <c r="J32" s="370" t="str">
        <f>INDEX('GREEN SHEET'!$B$6:$GB$51, MATCH('MAIN EXAM RESULT'!D32,'GREEN SHEET'!$D$6:$D$51,0),166)</f>
        <v/>
      </c>
      <c r="K32" s="370" t="str">
        <f>INDEX('GREEN SHEET'!$B$6:$GB$51, MATCH('MAIN EXAM RESULT'!D32,'GREEN SHEET'!$D$6:$D$51,0),168)</f>
        <v/>
      </c>
      <c r="L32" s="603" t="str">
        <f>INDEX('GREEN SHEET'!$B$6:$GB$51, MATCH('MAIN EXAM RESULT'!D32,'GREEN SHEET'!$D$6:$D$51,0),180)</f>
        <v/>
      </c>
      <c r="M32" s="375" t="str">
        <f>INDEX('GREEN SHEET'!$B$6:$GB$51, MATCH('MAIN EXAM RESULT'!D32,'GREEN SHEET'!$D$6:$D$51,0),181)</f>
        <v/>
      </c>
      <c r="N32" s="60"/>
    </row>
    <row r="33" spans="1:14" ht="25.5" customHeight="1" x14ac:dyDescent="0.25">
      <c r="A33" s="60"/>
      <c r="B33" s="376">
        <f>IF(DATA!B30="","",DATA!B30)</f>
        <v>26</v>
      </c>
      <c r="C33" s="96" t="str">
        <f>IF(DATA!C30="","",DATA!C30)</f>
        <v/>
      </c>
      <c r="D33" s="96" t="str">
        <f>IF(DATA!D30="","",DATA!D30)</f>
        <v/>
      </c>
      <c r="E33" s="303" t="str">
        <f>IF(DATA!E30="","",DATA!E30)</f>
        <v/>
      </c>
      <c r="F33" s="303" t="str">
        <f>IF(DATA!F30="","",DATA!F30)</f>
        <v/>
      </c>
      <c r="G33" s="303" t="str">
        <f>IF(DATA!G30="","",DATA!G30)</f>
        <v/>
      </c>
      <c r="H33" s="370" t="str">
        <f>INDEX('GREEN SHEET'!$B$6:$GB$51, MATCH('MAIN EXAM RESULT'!D33,'GREEN SHEET'!$D$6:$D$51,0),165)</f>
        <v/>
      </c>
      <c r="I33" s="370" t="str">
        <f>INDEX('GREEN SHEET'!$B$6:$GB$51, MATCH('MAIN EXAM RESULT'!D33,'GREEN SHEET'!$D$6:$D$51,0),167)</f>
        <v/>
      </c>
      <c r="J33" s="370" t="str">
        <f>INDEX('GREEN SHEET'!$B$6:$GB$51, MATCH('MAIN EXAM RESULT'!D33,'GREEN SHEET'!$D$6:$D$51,0),166)</f>
        <v/>
      </c>
      <c r="K33" s="370" t="str">
        <f>INDEX('GREEN SHEET'!$B$6:$GB$51, MATCH('MAIN EXAM RESULT'!D33,'GREEN SHEET'!$D$6:$D$51,0),168)</f>
        <v/>
      </c>
      <c r="L33" s="603" t="str">
        <f>INDEX('GREEN SHEET'!$B$6:$GB$51, MATCH('MAIN EXAM RESULT'!D33,'GREEN SHEET'!$D$6:$D$51,0),180)</f>
        <v/>
      </c>
      <c r="M33" s="375" t="str">
        <f>INDEX('GREEN SHEET'!$B$6:$GB$51, MATCH('MAIN EXAM RESULT'!D33,'GREEN SHEET'!$D$6:$D$51,0),181)</f>
        <v/>
      </c>
      <c r="N33" s="60"/>
    </row>
    <row r="34" spans="1:14" ht="25.5" customHeight="1" x14ac:dyDescent="0.25">
      <c r="A34" s="60"/>
      <c r="B34" s="376">
        <f>IF(DATA!B31="","",DATA!B31)</f>
        <v>27</v>
      </c>
      <c r="C34" s="96" t="str">
        <f>IF(DATA!C31="","",DATA!C31)</f>
        <v/>
      </c>
      <c r="D34" s="96" t="str">
        <f>IF(DATA!D31="","",DATA!D31)</f>
        <v/>
      </c>
      <c r="E34" s="303" t="str">
        <f>IF(DATA!E31="","",DATA!E31)</f>
        <v/>
      </c>
      <c r="F34" s="303" t="str">
        <f>IF(DATA!F31="","",DATA!F31)</f>
        <v/>
      </c>
      <c r="G34" s="303" t="str">
        <f>IF(DATA!G31="","",DATA!G31)</f>
        <v/>
      </c>
      <c r="H34" s="370" t="str">
        <f>INDEX('GREEN SHEET'!$B$6:$GB$51, MATCH('MAIN EXAM RESULT'!D34,'GREEN SHEET'!$D$6:$D$51,0),165)</f>
        <v/>
      </c>
      <c r="I34" s="370" t="str">
        <f>INDEX('GREEN SHEET'!$B$6:$GB$51, MATCH('MAIN EXAM RESULT'!D34,'GREEN SHEET'!$D$6:$D$51,0),167)</f>
        <v/>
      </c>
      <c r="J34" s="370" t="str">
        <f>INDEX('GREEN SHEET'!$B$6:$GB$51, MATCH('MAIN EXAM RESULT'!D34,'GREEN SHEET'!$D$6:$D$51,0),166)</f>
        <v/>
      </c>
      <c r="K34" s="370" t="str">
        <f>INDEX('GREEN SHEET'!$B$6:$GB$51, MATCH('MAIN EXAM RESULT'!D34,'GREEN SHEET'!$D$6:$D$51,0),168)</f>
        <v/>
      </c>
      <c r="L34" s="603" t="str">
        <f>INDEX('GREEN SHEET'!$B$6:$GB$51, MATCH('MAIN EXAM RESULT'!D34,'GREEN SHEET'!$D$6:$D$51,0),180)</f>
        <v/>
      </c>
      <c r="M34" s="375" t="str">
        <f>INDEX('GREEN SHEET'!$B$6:$GB$51, MATCH('MAIN EXAM RESULT'!D34,'GREEN SHEET'!$D$6:$D$51,0),181)</f>
        <v/>
      </c>
      <c r="N34" s="60"/>
    </row>
    <row r="35" spans="1:14" ht="25.5" customHeight="1" x14ac:dyDescent="0.25">
      <c r="A35" s="60"/>
      <c r="B35" s="376">
        <f>IF(DATA!B32="","",DATA!B32)</f>
        <v>28</v>
      </c>
      <c r="C35" s="96" t="str">
        <f>IF(DATA!C32="","",DATA!C32)</f>
        <v/>
      </c>
      <c r="D35" s="96" t="str">
        <f>IF(DATA!D32="","",DATA!D32)</f>
        <v/>
      </c>
      <c r="E35" s="303" t="str">
        <f>IF(DATA!E32="","",DATA!E32)</f>
        <v/>
      </c>
      <c r="F35" s="303" t="str">
        <f>IF(DATA!F32="","",DATA!F32)</f>
        <v/>
      </c>
      <c r="G35" s="303" t="str">
        <f>IF(DATA!G32="","",DATA!G32)</f>
        <v/>
      </c>
      <c r="H35" s="370" t="str">
        <f>INDEX('GREEN SHEET'!$B$6:$GB$51, MATCH('MAIN EXAM RESULT'!D35,'GREEN SHEET'!$D$6:$D$51,0),165)</f>
        <v/>
      </c>
      <c r="I35" s="370" t="str">
        <f>INDEX('GREEN SHEET'!$B$6:$GB$51, MATCH('MAIN EXAM RESULT'!D35,'GREEN SHEET'!$D$6:$D$51,0),167)</f>
        <v/>
      </c>
      <c r="J35" s="370" t="str">
        <f>INDEX('GREEN SHEET'!$B$6:$GB$51, MATCH('MAIN EXAM RESULT'!D35,'GREEN SHEET'!$D$6:$D$51,0),166)</f>
        <v/>
      </c>
      <c r="K35" s="370" t="str">
        <f>INDEX('GREEN SHEET'!$B$6:$GB$51, MATCH('MAIN EXAM RESULT'!D35,'GREEN SHEET'!$D$6:$D$51,0),168)</f>
        <v/>
      </c>
      <c r="L35" s="603" t="str">
        <f>INDEX('GREEN SHEET'!$B$6:$GB$51, MATCH('MAIN EXAM RESULT'!D35,'GREEN SHEET'!$D$6:$D$51,0),180)</f>
        <v/>
      </c>
      <c r="M35" s="375" t="str">
        <f>INDEX('GREEN SHEET'!$B$6:$GB$51, MATCH('MAIN EXAM RESULT'!D35,'GREEN SHEET'!$D$6:$D$51,0),181)</f>
        <v/>
      </c>
      <c r="N35" s="60"/>
    </row>
    <row r="36" spans="1:14" ht="25.5" customHeight="1" x14ac:dyDescent="0.25">
      <c r="A36" s="60"/>
      <c r="B36" s="376">
        <f>IF(DATA!B33="","",DATA!B33)</f>
        <v>29</v>
      </c>
      <c r="C36" s="96" t="str">
        <f>IF(DATA!C33="","",DATA!C33)</f>
        <v/>
      </c>
      <c r="D36" s="96" t="str">
        <f>IF(DATA!D33="","",DATA!D33)</f>
        <v/>
      </c>
      <c r="E36" s="303" t="str">
        <f>IF(DATA!E33="","",DATA!E33)</f>
        <v/>
      </c>
      <c r="F36" s="303" t="str">
        <f>IF(DATA!F33="","",DATA!F33)</f>
        <v/>
      </c>
      <c r="G36" s="303" t="str">
        <f>IF(DATA!G33="","",DATA!G33)</f>
        <v/>
      </c>
      <c r="H36" s="370" t="str">
        <f>INDEX('GREEN SHEET'!$B$6:$GB$51, MATCH('MAIN EXAM RESULT'!D36,'GREEN SHEET'!$D$6:$D$51,0),165)</f>
        <v/>
      </c>
      <c r="I36" s="370" t="str">
        <f>INDEX('GREEN SHEET'!$B$6:$GB$51, MATCH('MAIN EXAM RESULT'!D36,'GREEN SHEET'!$D$6:$D$51,0),167)</f>
        <v/>
      </c>
      <c r="J36" s="370" t="str">
        <f>INDEX('GREEN SHEET'!$B$6:$GB$51, MATCH('MAIN EXAM RESULT'!D36,'GREEN SHEET'!$D$6:$D$51,0),166)</f>
        <v/>
      </c>
      <c r="K36" s="370" t="str">
        <f>INDEX('GREEN SHEET'!$B$6:$GB$51, MATCH('MAIN EXAM RESULT'!D36,'GREEN SHEET'!$D$6:$D$51,0),168)</f>
        <v/>
      </c>
      <c r="L36" s="603" t="str">
        <f>INDEX('GREEN SHEET'!$B$6:$GB$51, MATCH('MAIN EXAM RESULT'!D36,'GREEN SHEET'!$D$6:$D$51,0),180)</f>
        <v/>
      </c>
      <c r="M36" s="375" t="str">
        <f>INDEX('GREEN SHEET'!$B$6:$GB$51, MATCH('MAIN EXAM RESULT'!D36,'GREEN SHEET'!$D$6:$D$51,0),181)</f>
        <v/>
      </c>
      <c r="N36" s="60"/>
    </row>
    <row r="37" spans="1:14" ht="25.5" customHeight="1" x14ac:dyDescent="0.25">
      <c r="A37" s="60"/>
      <c r="B37" s="376">
        <f>IF(DATA!B34="","",DATA!B34)</f>
        <v>30</v>
      </c>
      <c r="C37" s="96" t="str">
        <f>IF(DATA!C34="","",DATA!C34)</f>
        <v/>
      </c>
      <c r="D37" s="96" t="str">
        <f>IF(DATA!D34="","",DATA!D34)</f>
        <v/>
      </c>
      <c r="E37" s="303" t="str">
        <f>IF(DATA!E34="","",DATA!E34)</f>
        <v/>
      </c>
      <c r="F37" s="303" t="str">
        <f>IF(DATA!F34="","",DATA!F34)</f>
        <v/>
      </c>
      <c r="G37" s="303" t="str">
        <f>IF(DATA!G34="","",DATA!G34)</f>
        <v/>
      </c>
      <c r="H37" s="370" t="str">
        <f>INDEX('GREEN SHEET'!$B$6:$GB$51, MATCH('MAIN EXAM RESULT'!D37,'GREEN SHEET'!$D$6:$D$51,0),165)</f>
        <v/>
      </c>
      <c r="I37" s="370" t="str">
        <f>INDEX('GREEN SHEET'!$B$6:$GB$51, MATCH('MAIN EXAM RESULT'!D37,'GREEN SHEET'!$D$6:$D$51,0),167)</f>
        <v/>
      </c>
      <c r="J37" s="370" t="str">
        <f>INDEX('GREEN SHEET'!$B$6:$GB$51, MATCH('MAIN EXAM RESULT'!D37,'GREEN SHEET'!$D$6:$D$51,0),166)</f>
        <v/>
      </c>
      <c r="K37" s="370" t="str">
        <f>INDEX('GREEN SHEET'!$B$6:$GB$51, MATCH('MAIN EXAM RESULT'!D37,'GREEN SHEET'!$D$6:$D$51,0),168)</f>
        <v/>
      </c>
      <c r="L37" s="603" t="str">
        <f>INDEX('GREEN SHEET'!$B$6:$GB$51, MATCH('MAIN EXAM RESULT'!D37,'GREEN SHEET'!$D$6:$D$51,0),180)</f>
        <v/>
      </c>
      <c r="M37" s="375" t="str">
        <f>INDEX('GREEN SHEET'!$B$6:$GB$51, MATCH('MAIN EXAM RESULT'!D37,'GREEN SHEET'!$D$6:$D$51,0),181)</f>
        <v/>
      </c>
      <c r="N37" s="60"/>
    </row>
    <row r="38" spans="1:14" ht="25.5" customHeight="1" x14ac:dyDescent="0.25">
      <c r="A38" s="60"/>
      <c r="B38" s="376">
        <f>IF(DATA!B35="","",DATA!B35)</f>
        <v>31</v>
      </c>
      <c r="C38" s="96" t="str">
        <f>IF(DATA!C35="","",DATA!C35)</f>
        <v/>
      </c>
      <c r="D38" s="96" t="str">
        <f>IF(DATA!D35="","",DATA!D35)</f>
        <v/>
      </c>
      <c r="E38" s="303" t="str">
        <f>IF(DATA!E35="","",DATA!E35)</f>
        <v/>
      </c>
      <c r="F38" s="303" t="str">
        <f>IF(DATA!F35="","",DATA!F35)</f>
        <v/>
      </c>
      <c r="G38" s="303" t="str">
        <f>IF(DATA!G35="","",DATA!G35)</f>
        <v/>
      </c>
      <c r="H38" s="370" t="str">
        <f>INDEX('GREEN SHEET'!$B$6:$GB$51, MATCH('MAIN EXAM RESULT'!D38,'GREEN SHEET'!$D$6:$D$51,0),165)</f>
        <v/>
      </c>
      <c r="I38" s="370" t="str">
        <f>INDEX('GREEN SHEET'!$B$6:$GB$51, MATCH('MAIN EXAM RESULT'!D38,'GREEN SHEET'!$D$6:$D$51,0),167)</f>
        <v/>
      </c>
      <c r="J38" s="370" t="str">
        <f>INDEX('GREEN SHEET'!$B$6:$GB$51, MATCH('MAIN EXAM RESULT'!D38,'GREEN SHEET'!$D$6:$D$51,0),166)</f>
        <v/>
      </c>
      <c r="K38" s="370" t="str">
        <f>INDEX('GREEN SHEET'!$B$6:$GB$51, MATCH('MAIN EXAM RESULT'!D38,'GREEN SHEET'!$D$6:$D$51,0),168)</f>
        <v/>
      </c>
      <c r="L38" s="603" t="str">
        <f>INDEX('GREEN SHEET'!$B$6:$GB$51, MATCH('MAIN EXAM RESULT'!D38,'GREEN SHEET'!$D$6:$D$51,0),180)</f>
        <v/>
      </c>
      <c r="M38" s="375" t="str">
        <f>INDEX('GREEN SHEET'!$B$6:$GB$51, MATCH('MAIN EXAM RESULT'!D38,'GREEN SHEET'!$D$6:$D$51,0),181)</f>
        <v/>
      </c>
      <c r="N38" s="60"/>
    </row>
    <row r="39" spans="1:14" ht="25.5" customHeight="1" x14ac:dyDescent="0.25">
      <c r="A39" s="60"/>
      <c r="B39" s="376">
        <f>IF(DATA!B36="","",DATA!B36)</f>
        <v>32</v>
      </c>
      <c r="C39" s="96" t="str">
        <f>IF(DATA!C36="","",DATA!C36)</f>
        <v/>
      </c>
      <c r="D39" s="96" t="str">
        <f>IF(DATA!D36="","",DATA!D36)</f>
        <v/>
      </c>
      <c r="E39" s="303" t="str">
        <f>IF(DATA!E36="","",DATA!E36)</f>
        <v/>
      </c>
      <c r="F39" s="303" t="str">
        <f>IF(DATA!F36="","",DATA!F36)</f>
        <v/>
      </c>
      <c r="G39" s="303" t="str">
        <f>IF(DATA!G36="","",DATA!G36)</f>
        <v/>
      </c>
      <c r="H39" s="370" t="str">
        <f>INDEX('GREEN SHEET'!$B$6:$GB$51, MATCH('MAIN EXAM RESULT'!D39,'GREEN SHEET'!$D$6:$D$51,0),165)</f>
        <v/>
      </c>
      <c r="I39" s="370" t="str">
        <f>INDEX('GREEN SHEET'!$B$6:$GB$51, MATCH('MAIN EXAM RESULT'!D39,'GREEN SHEET'!$D$6:$D$51,0),167)</f>
        <v/>
      </c>
      <c r="J39" s="370" t="str">
        <f>INDEX('GREEN SHEET'!$B$6:$GB$51, MATCH('MAIN EXAM RESULT'!D39,'GREEN SHEET'!$D$6:$D$51,0),166)</f>
        <v/>
      </c>
      <c r="K39" s="370" t="str">
        <f>INDEX('GREEN SHEET'!$B$6:$GB$51, MATCH('MAIN EXAM RESULT'!D39,'GREEN SHEET'!$D$6:$D$51,0),168)</f>
        <v/>
      </c>
      <c r="L39" s="603" t="str">
        <f>INDEX('GREEN SHEET'!$B$6:$GB$51, MATCH('MAIN EXAM RESULT'!D39,'GREEN SHEET'!$D$6:$D$51,0),180)</f>
        <v/>
      </c>
      <c r="M39" s="375" t="str">
        <f>INDEX('GREEN SHEET'!$B$6:$GB$51, MATCH('MAIN EXAM RESULT'!D39,'GREEN SHEET'!$D$6:$D$51,0),181)</f>
        <v/>
      </c>
      <c r="N39" s="60"/>
    </row>
    <row r="40" spans="1:14" ht="25.5" customHeight="1" x14ac:dyDescent="0.25">
      <c r="A40" s="60"/>
      <c r="B40" s="376">
        <f>IF(DATA!B37="","",DATA!B37)</f>
        <v>33</v>
      </c>
      <c r="C40" s="96" t="str">
        <f>IF(DATA!C37="","",DATA!C37)</f>
        <v/>
      </c>
      <c r="D40" s="96" t="str">
        <f>IF(DATA!D37="","",DATA!D37)</f>
        <v/>
      </c>
      <c r="E40" s="303" t="str">
        <f>IF(DATA!E37="","",DATA!E37)</f>
        <v/>
      </c>
      <c r="F40" s="303" t="str">
        <f>IF(DATA!F37="","",DATA!F37)</f>
        <v/>
      </c>
      <c r="G40" s="303" t="str">
        <f>IF(DATA!G37="","",DATA!G37)</f>
        <v/>
      </c>
      <c r="H40" s="370" t="str">
        <f>INDEX('GREEN SHEET'!$B$6:$GB$51, MATCH('MAIN EXAM RESULT'!D40,'GREEN SHEET'!$D$6:$D$51,0),165)</f>
        <v/>
      </c>
      <c r="I40" s="370" t="str">
        <f>INDEX('GREEN SHEET'!$B$6:$GB$51, MATCH('MAIN EXAM RESULT'!D40,'GREEN SHEET'!$D$6:$D$51,0),167)</f>
        <v/>
      </c>
      <c r="J40" s="370" t="str">
        <f>INDEX('GREEN SHEET'!$B$6:$GB$51, MATCH('MAIN EXAM RESULT'!D40,'GREEN SHEET'!$D$6:$D$51,0),166)</f>
        <v/>
      </c>
      <c r="K40" s="370" t="str">
        <f>INDEX('GREEN SHEET'!$B$6:$GB$51, MATCH('MAIN EXAM RESULT'!D40,'GREEN SHEET'!$D$6:$D$51,0),168)</f>
        <v/>
      </c>
      <c r="L40" s="603" t="str">
        <f>INDEX('GREEN SHEET'!$B$6:$GB$51, MATCH('MAIN EXAM RESULT'!D40,'GREEN SHEET'!$D$6:$D$51,0),180)</f>
        <v/>
      </c>
      <c r="M40" s="375" t="str">
        <f>INDEX('GREEN SHEET'!$B$6:$GB$51, MATCH('MAIN EXAM RESULT'!D40,'GREEN SHEET'!$D$6:$D$51,0),181)</f>
        <v/>
      </c>
      <c r="N40" s="60"/>
    </row>
    <row r="41" spans="1:14" ht="25.5" customHeight="1" x14ac:dyDescent="0.25">
      <c r="A41" s="60"/>
      <c r="B41" s="376">
        <f>IF(DATA!B38="","",DATA!B38)</f>
        <v>34</v>
      </c>
      <c r="C41" s="96" t="str">
        <f>IF(DATA!C38="","",DATA!C38)</f>
        <v/>
      </c>
      <c r="D41" s="96" t="str">
        <f>IF(DATA!D38="","",DATA!D38)</f>
        <v/>
      </c>
      <c r="E41" s="303" t="str">
        <f>IF(DATA!E38="","",DATA!E38)</f>
        <v/>
      </c>
      <c r="F41" s="303" t="str">
        <f>IF(DATA!F38="","",DATA!F38)</f>
        <v/>
      </c>
      <c r="G41" s="303" t="str">
        <f>IF(DATA!G38="","",DATA!G38)</f>
        <v/>
      </c>
      <c r="H41" s="370" t="str">
        <f>INDEX('GREEN SHEET'!$B$6:$GB$51, MATCH('MAIN EXAM RESULT'!D41,'GREEN SHEET'!$D$6:$D$51,0),165)</f>
        <v/>
      </c>
      <c r="I41" s="370" t="str">
        <f>INDEX('GREEN SHEET'!$B$6:$GB$51, MATCH('MAIN EXAM RESULT'!D41,'GREEN SHEET'!$D$6:$D$51,0),167)</f>
        <v/>
      </c>
      <c r="J41" s="370" t="str">
        <f>INDEX('GREEN SHEET'!$B$6:$GB$51, MATCH('MAIN EXAM RESULT'!D41,'GREEN SHEET'!$D$6:$D$51,0),166)</f>
        <v/>
      </c>
      <c r="K41" s="370" t="str">
        <f>INDEX('GREEN SHEET'!$B$6:$GB$51, MATCH('MAIN EXAM RESULT'!D41,'GREEN SHEET'!$D$6:$D$51,0),168)</f>
        <v/>
      </c>
      <c r="L41" s="603" t="str">
        <f>INDEX('GREEN SHEET'!$B$6:$GB$51, MATCH('MAIN EXAM RESULT'!D41,'GREEN SHEET'!$D$6:$D$51,0),180)</f>
        <v/>
      </c>
      <c r="M41" s="375" t="str">
        <f>INDEX('GREEN SHEET'!$B$6:$GB$51, MATCH('MAIN EXAM RESULT'!D41,'GREEN SHEET'!$D$6:$D$51,0),181)</f>
        <v/>
      </c>
      <c r="N41" s="60"/>
    </row>
    <row r="42" spans="1:14" ht="25.5" customHeight="1" x14ac:dyDescent="0.25">
      <c r="A42" s="60"/>
      <c r="B42" s="376">
        <f>IF(DATA!B39="","",DATA!B39)</f>
        <v>35</v>
      </c>
      <c r="C42" s="96" t="str">
        <f>IF(DATA!C39="","",DATA!C39)</f>
        <v/>
      </c>
      <c r="D42" s="96" t="str">
        <f>IF(DATA!D39="","",DATA!D39)</f>
        <v/>
      </c>
      <c r="E42" s="303" t="str">
        <f>IF(DATA!E39="","",DATA!E39)</f>
        <v/>
      </c>
      <c r="F42" s="303" t="str">
        <f>IF(DATA!F39="","",DATA!F39)</f>
        <v/>
      </c>
      <c r="G42" s="303" t="str">
        <f>IF(DATA!G39="","",DATA!G39)</f>
        <v/>
      </c>
      <c r="H42" s="370" t="str">
        <f>INDEX('GREEN SHEET'!$B$6:$GB$51, MATCH('MAIN EXAM RESULT'!D42,'GREEN SHEET'!$D$6:$D$51,0),165)</f>
        <v/>
      </c>
      <c r="I42" s="370" t="str">
        <f>INDEX('GREEN SHEET'!$B$6:$GB$51, MATCH('MAIN EXAM RESULT'!D42,'GREEN SHEET'!$D$6:$D$51,0),167)</f>
        <v/>
      </c>
      <c r="J42" s="370" t="str">
        <f>INDEX('GREEN SHEET'!$B$6:$GB$51, MATCH('MAIN EXAM RESULT'!D42,'GREEN SHEET'!$D$6:$D$51,0),166)</f>
        <v/>
      </c>
      <c r="K42" s="370" t="str">
        <f>INDEX('GREEN SHEET'!$B$6:$GB$51, MATCH('MAIN EXAM RESULT'!D42,'GREEN SHEET'!$D$6:$D$51,0),168)</f>
        <v/>
      </c>
      <c r="L42" s="603" t="str">
        <f>INDEX('GREEN SHEET'!$B$6:$GB$51, MATCH('MAIN EXAM RESULT'!D42,'GREEN SHEET'!$D$6:$D$51,0),180)</f>
        <v/>
      </c>
      <c r="M42" s="375" t="str">
        <f>INDEX('GREEN SHEET'!$B$6:$GB$51, MATCH('MAIN EXAM RESULT'!D42,'GREEN SHEET'!$D$6:$D$51,0),181)</f>
        <v/>
      </c>
      <c r="N42" s="60"/>
    </row>
    <row r="43" spans="1:14" ht="25.5" customHeight="1" x14ac:dyDescent="0.25">
      <c r="A43" s="60"/>
      <c r="B43" s="376">
        <f>IF(DATA!B40="","",DATA!B40)</f>
        <v>36</v>
      </c>
      <c r="C43" s="96" t="str">
        <f>IF(DATA!C40="","",DATA!C40)</f>
        <v/>
      </c>
      <c r="D43" s="96" t="str">
        <f>IF(DATA!D40="","",DATA!D40)</f>
        <v/>
      </c>
      <c r="E43" s="303" t="str">
        <f>IF(DATA!E40="","",DATA!E40)</f>
        <v/>
      </c>
      <c r="F43" s="303" t="str">
        <f>IF(DATA!F40="","",DATA!F40)</f>
        <v/>
      </c>
      <c r="G43" s="303" t="str">
        <f>IF(DATA!G40="","",DATA!G40)</f>
        <v/>
      </c>
      <c r="H43" s="370" t="str">
        <f>INDEX('GREEN SHEET'!$B$6:$GB$51, MATCH('MAIN EXAM RESULT'!D43,'GREEN SHEET'!$D$6:$D$51,0),165)</f>
        <v/>
      </c>
      <c r="I43" s="370" t="str">
        <f>INDEX('GREEN SHEET'!$B$6:$GB$51, MATCH('MAIN EXAM RESULT'!D43,'GREEN SHEET'!$D$6:$D$51,0),167)</f>
        <v/>
      </c>
      <c r="J43" s="370" t="str">
        <f>INDEX('GREEN SHEET'!$B$6:$GB$51, MATCH('MAIN EXAM RESULT'!D43,'GREEN SHEET'!$D$6:$D$51,0),166)</f>
        <v/>
      </c>
      <c r="K43" s="370" t="str">
        <f>INDEX('GREEN SHEET'!$B$6:$GB$51, MATCH('MAIN EXAM RESULT'!D43,'GREEN SHEET'!$D$6:$D$51,0),168)</f>
        <v/>
      </c>
      <c r="L43" s="603" t="str">
        <f>INDEX('GREEN SHEET'!$B$6:$GB$51, MATCH('MAIN EXAM RESULT'!D43,'GREEN SHEET'!$D$6:$D$51,0),180)</f>
        <v/>
      </c>
      <c r="M43" s="375" t="str">
        <f>INDEX('GREEN SHEET'!$B$6:$GB$51, MATCH('MAIN EXAM RESULT'!D43,'GREEN SHEET'!$D$6:$D$51,0),181)</f>
        <v/>
      </c>
      <c r="N43" s="60"/>
    </row>
    <row r="44" spans="1:14" ht="25.5" customHeight="1" x14ac:dyDescent="0.25">
      <c r="A44" s="60"/>
      <c r="B44" s="376">
        <f>IF(DATA!B41="","",DATA!B41)</f>
        <v>37</v>
      </c>
      <c r="C44" s="96" t="str">
        <f>IF(DATA!C41="","",DATA!C41)</f>
        <v/>
      </c>
      <c r="D44" s="96" t="str">
        <f>IF(DATA!D41="","",DATA!D41)</f>
        <v/>
      </c>
      <c r="E44" s="303" t="str">
        <f>IF(DATA!E41="","",DATA!E41)</f>
        <v/>
      </c>
      <c r="F44" s="303" t="str">
        <f>IF(DATA!F41="","",DATA!F41)</f>
        <v/>
      </c>
      <c r="G44" s="303" t="str">
        <f>IF(DATA!G41="","",DATA!G41)</f>
        <v/>
      </c>
      <c r="H44" s="370" t="str">
        <f>INDEX('GREEN SHEET'!$B$6:$GB$51, MATCH('MAIN EXAM RESULT'!D44,'GREEN SHEET'!$D$6:$D$51,0),165)</f>
        <v/>
      </c>
      <c r="I44" s="370" t="str">
        <f>INDEX('GREEN SHEET'!$B$6:$GB$51, MATCH('MAIN EXAM RESULT'!D44,'GREEN SHEET'!$D$6:$D$51,0),167)</f>
        <v/>
      </c>
      <c r="J44" s="370" t="str">
        <f>INDEX('GREEN SHEET'!$B$6:$GB$51, MATCH('MAIN EXAM RESULT'!D44,'GREEN SHEET'!$D$6:$D$51,0),166)</f>
        <v/>
      </c>
      <c r="K44" s="370" t="str">
        <f>INDEX('GREEN SHEET'!$B$6:$GB$51, MATCH('MAIN EXAM RESULT'!D44,'GREEN SHEET'!$D$6:$D$51,0),168)</f>
        <v/>
      </c>
      <c r="L44" s="603" t="str">
        <f>INDEX('GREEN SHEET'!$B$6:$GB$51, MATCH('MAIN EXAM RESULT'!D44,'GREEN SHEET'!$D$6:$D$51,0),180)</f>
        <v/>
      </c>
      <c r="M44" s="375" t="str">
        <f>INDEX('GREEN SHEET'!$B$6:$GB$51, MATCH('MAIN EXAM RESULT'!D44,'GREEN SHEET'!$D$6:$D$51,0),181)</f>
        <v/>
      </c>
      <c r="N44" s="60"/>
    </row>
    <row r="45" spans="1:14" ht="25.5" customHeight="1" x14ac:dyDescent="0.25">
      <c r="A45" s="60"/>
      <c r="B45" s="376">
        <f>IF(DATA!B42="","",DATA!B42)</f>
        <v>38</v>
      </c>
      <c r="C45" s="96" t="str">
        <f>IF(DATA!C42="","",DATA!C42)</f>
        <v/>
      </c>
      <c r="D45" s="96" t="str">
        <f>IF(DATA!D42="","",DATA!D42)</f>
        <v/>
      </c>
      <c r="E45" s="303" t="str">
        <f>IF(DATA!E42="","",DATA!E42)</f>
        <v/>
      </c>
      <c r="F45" s="303" t="str">
        <f>IF(DATA!F42="","",DATA!F42)</f>
        <v/>
      </c>
      <c r="G45" s="303" t="str">
        <f>IF(DATA!G42="","",DATA!G42)</f>
        <v/>
      </c>
      <c r="H45" s="370" t="str">
        <f>INDEX('GREEN SHEET'!$B$6:$GB$51, MATCH('MAIN EXAM RESULT'!D45,'GREEN SHEET'!$D$6:$D$51,0),165)</f>
        <v/>
      </c>
      <c r="I45" s="370" t="str">
        <f>INDEX('GREEN SHEET'!$B$6:$GB$51, MATCH('MAIN EXAM RESULT'!D45,'GREEN SHEET'!$D$6:$D$51,0),167)</f>
        <v/>
      </c>
      <c r="J45" s="370" t="str">
        <f>INDEX('GREEN SHEET'!$B$6:$GB$51, MATCH('MAIN EXAM RESULT'!D45,'GREEN SHEET'!$D$6:$D$51,0),166)</f>
        <v/>
      </c>
      <c r="K45" s="370" t="str">
        <f>INDEX('GREEN SHEET'!$B$6:$GB$51, MATCH('MAIN EXAM RESULT'!D45,'GREEN SHEET'!$D$6:$D$51,0),168)</f>
        <v/>
      </c>
      <c r="L45" s="603" t="str">
        <f>INDEX('GREEN SHEET'!$B$6:$GB$51, MATCH('MAIN EXAM RESULT'!D45,'GREEN SHEET'!$D$6:$D$51,0),180)</f>
        <v/>
      </c>
      <c r="M45" s="375" t="str">
        <f>INDEX('GREEN SHEET'!$B$6:$GB$51, MATCH('MAIN EXAM RESULT'!D45,'GREEN SHEET'!$D$6:$D$51,0),181)</f>
        <v/>
      </c>
      <c r="N45" s="60"/>
    </row>
    <row r="46" spans="1:14" ht="25.5" customHeight="1" x14ac:dyDescent="0.25">
      <c r="A46" s="60"/>
      <c r="B46" s="376">
        <f>IF(DATA!B43="","",DATA!B43)</f>
        <v>39</v>
      </c>
      <c r="C46" s="96" t="str">
        <f>IF(DATA!C43="","",DATA!C43)</f>
        <v/>
      </c>
      <c r="D46" s="96" t="str">
        <f>IF(DATA!D43="","",DATA!D43)</f>
        <v/>
      </c>
      <c r="E46" s="303" t="str">
        <f>IF(DATA!E43="","",DATA!E43)</f>
        <v/>
      </c>
      <c r="F46" s="303" t="str">
        <f>IF(DATA!F43="","",DATA!F43)</f>
        <v/>
      </c>
      <c r="G46" s="303" t="str">
        <f>IF(DATA!G43="","",DATA!G43)</f>
        <v/>
      </c>
      <c r="H46" s="370" t="str">
        <f>INDEX('GREEN SHEET'!$B$6:$GB$51, MATCH('MAIN EXAM RESULT'!D46,'GREEN SHEET'!$D$6:$D$51,0),165)</f>
        <v/>
      </c>
      <c r="I46" s="370" t="str">
        <f>INDEX('GREEN SHEET'!$B$6:$GB$51, MATCH('MAIN EXAM RESULT'!D46,'GREEN SHEET'!$D$6:$D$51,0),167)</f>
        <v/>
      </c>
      <c r="J46" s="370" t="str">
        <f>INDEX('GREEN SHEET'!$B$6:$GB$51, MATCH('MAIN EXAM RESULT'!D46,'GREEN SHEET'!$D$6:$D$51,0),166)</f>
        <v/>
      </c>
      <c r="K46" s="370" t="str">
        <f>INDEX('GREEN SHEET'!$B$6:$GB$51, MATCH('MAIN EXAM RESULT'!D46,'GREEN SHEET'!$D$6:$D$51,0),168)</f>
        <v/>
      </c>
      <c r="L46" s="603" t="str">
        <f>INDEX('GREEN SHEET'!$B$6:$GB$51, MATCH('MAIN EXAM RESULT'!D46,'GREEN SHEET'!$D$6:$D$51,0),180)</f>
        <v/>
      </c>
      <c r="M46" s="375" t="str">
        <f>INDEX('GREEN SHEET'!$B$6:$GB$51, MATCH('MAIN EXAM RESULT'!D46,'GREEN SHEET'!$D$6:$D$51,0),181)</f>
        <v/>
      </c>
      <c r="N46" s="60"/>
    </row>
    <row r="47" spans="1:14" ht="25.5" customHeight="1" x14ac:dyDescent="0.25">
      <c r="A47" s="60"/>
      <c r="B47" s="376">
        <f>IF(DATA!B44="","",DATA!B44)</f>
        <v>40</v>
      </c>
      <c r="C47" s="96" t="str">
        <f>IF(DATA!C44="","",DATA!C44)</f>
        <v/>
      </c>
      <c r="D47" s="96" t="str">
        <f>IF(DATA!D44="","",DATA!D44)</f>
        <v/>
      </c>
      <c r="E47" s="303" t="str">
        <f>IF(DATA!E44="","",DATA!E44)</f>
        <v/>
      </c>
      <c r="F47" s="303" t="str">
        <f>IF(DATA!F44="","",DATA!F44)</f>
        <v/>
      </c>
      <c r="G47" s="303" t="str">
        <f>IF(DATA!G44="","",DATA!G44)</f>
        <v/>
      </c>
      <c r="H47" s="370" t="str">
        <f>INDEX('GREEN SHEET'!$B$6:$GB$51, MATCH('MAIN EXAM RESULT'!D47,'GREEN SHEET'!$D$6:$D$51,0),165)</f>
        <v/>
      </c>
      <c r="I47" s="370" t="str">
        <f>INDEX('GREEN SHEET'!$B$6:$GB$51, MATCH('MAIN EXAM RESULT'!D47,'GREEN SHEET'!$D$6:$D$51,0),167)</f>
        <v/>
      </c>
      <c r="J47" s="370" t="str">
        <f>INDEX('GREEN SHEET'!$B$6:$GB$51, MATCH('MAIN EXAM RESULT'!D47,'GREEN SHEET'!$D$6:$D$51,0),166)</f>
        <v/>
      </c>
      <c r="K47" s="370" t="str">
        <f>INDEX('GREEN SHEET'!$B$6:$GB$51, MATCH('MAIN EXAM RESULT'!D47,'GREEN SHEET'!$D$6:$D$51,0),168)</f>
        <v/>
      </c>
      <c r="L47" s="603" t="str">
        <f>INDEX('GREEN SHEET'!$B$6:$GB$51, MATCH('MAIN EXAM RESULT'!D47,'GREEN SHEET'!$D$6:$D$51,0),180)</f>
        <v/>
      </c>
      <c r="M47" s="375" t="str">
        <f>INDEX('GREEN SHEET'!$B$6:$GB$51, MATCH('MAIN EXAM RESULT'!D47,'GREEN SHEET'!$D$6:$D$51,0),181)</f>
        <v/>
      </c>
      <c r="N47" s="60"/>
    </row>
    <row r="48" spans="1:14" ht="25.5" customHeight="1" x14ac:dyDescent="0.25">
      <c r="A48" s="60"/>
      <c r="B48" s="376">
        <f>IF(DATA!B45="","",DATA!B45)</f>
        <v>41</v>
      </c>
      <c r="C48" s="96" t="str">
        <f>IF(DATA!C45="","",DATA!C45)</f>
        <v/>
      </c>
      <c r="D48" s="96" t="str">
        <f>IF(DATA!D45="","",DATA!D45)</f>
        <v/>
      </c>
      <c r="E48" s="303" t="str">
        <f>IF(DATA!E45="","",DATA!E45)</f>
        <v/>
      </c>
      <c r="F48" s="303" t="str">
        <f>IF(DATA!F45="","",DATA!F45)</f>
        <v/>
      </c>
      <c r="G48" s="303" t="str">
        <f>IF(DATA!G45="","",DATA!G45)</f>
        <v/>
      </c>
      <c r="H48" s="370" t="str">
        <f>INDEX('GREEN SHEET'!$B$6:$GB$51, MATCH('MAIN EXAM RESULT'!D48,'GREEN SHEET'!$D$6:$D$51,0),165)</f>
        <v/>
      </c>
      <c r="I48" s="370" t="str">
        <f>INDEX('GREEN SHEET'!$B$6:$GB$51, MATCH('MAIN EXAM RESULT'!D48,'GREEN SHEET'!$D$6:$D$51,0),167)</f>
        <v/>
      </c>
      <c r="J48" s="370" t="str">
        <f>INDEX('GREEN SHEET'!$B$6:$GB$51, MATCH('MAIN EXAM RESULT'!D48,'GREEN SHEET'!$D$6:$D$51,0),166)</f>
        <v/>
      </c>
      <c r="K48" s="370" t="str">
        <f>INDEX('GREEN SHEET'!$B$6:$GB$51, MATCH('MAIN EXAM RESULT'!D48,'GREEN SHEET'!$D$6:$D$51,0),168)</f>
        <v/>
      </c>
      <c r="L48" s="603" t="str">
        <f>INDEX('GREEN SHEET'!$B$6:$GB$51, MATCH('MAIN EXAM RESULT'!D48,'GREEN SHEET'!$D$6:$D$51,0),180)</f>
        <v/>
      </c>
      <c r="M48" s="375" t="str">
        <f>INDEX('GREEN SHEET'!$B$6:$GB$51, MATCH('MAIN EXAM RESULT'!D48,'GREEN SHEET'!$D$6:$D$51,0),181)</f>
        <v/>
      </c>
      <c r="N48" s="60"/>
    </row>
    <row r="49" spans="1:14" ht="25.5" customHeight="1" x14ac:dyDescent="0.25">
      <c r="A49" s="60"/>
      <c r="B49" s="376">
        <f>IF(DATA!B46="","",DATA!B46)</f>
        <v>42</v>
      </c>
      <c r="C49" s="96" t="str">
        <f>IF(DATA!C46="","",DATA!C46)</f>
        <v/>
      </c>
      <c r="D49" s="96" t="str">
        <f>IF(DATA!D46="","",DATA!D46)</f>
        <v/>
      </c>
      <c r="E49" s="303" t="str">
        <f>IF(DATA!E46="","",DATA!E46)</f>
        <v/>
      </c>
      <c r="F49" s="303" t="str">
        <f>IF(DATA!F46="","",DATA!F46)</f>
        <v/>
      </c>
      <c r="G49" s="303" t="str">
        <f>IF(DATA!G46="","",DATA!G46)</f>
        <v/>
      </c>
      <c r="H49" s="370" t="str">
        <f>INDEX('GREEN SHEET'!$B$6:$GB$51, MATCH('MAIN EXAM RESULT'!D49,'GREEN SHEET'!$D$6:$D$51,0),165)</f>
        <v/>
      </c>
      <c r="I49" s="370" t="str">
        <f>INDEX('GREEN SHEET'!$B$6:$GB$51, MATCH('MAIN EXAM RESULT'!D49,'GREEN SHEET'!$D$6:$D$51,0),167)</f>
        <v/>
      </c>
      <c r="J49" s="370" t="str">
        <f>INDEX('GREEN SHEET'!$B$6:$GB$51, MATCH('MAIN EXAM RESULT'!D49,'GREEN SHEET'!$D$6:$D$51,0),166)</f>
        <v/>
      </c>
      <c r="K49" s="370" t="str">
        <f>INDEX('GREEN SHEET'!$B$6:$GB$51, MATCH('MAIN EXAM RESULT'!D49,'GREEN SHEET'!$D$6:$D$51,0),168)</f>
        <v/>
      </c>
      <c r="L49" s="603" t="str">
        <f>INDEX('GREEN SHEET'!$B$6:$GB$51, MATCH('MAIN EXAM RESULT'!D49,'GREEN SHEET'!$D$6:$D$51,0),180)</f>
        <v/>
      </c>
      <c r="M49" s="375" t="str">
        <f>INDEX('GREEN SHEET'!$B$6:$GB$51, MATCH('MAIN EXAM RESULT'!D49,'GREEN SHEET'!$D$6:$D$51,0),181)</f>
        <v/>
      </c>
      <c r="N49" s="60"/>
    </row>
    <row r="50" spans="1:14" ht="25.5" customHeight="1" x14ac:dyDescent="0.25">
      <c r="A50" s="60"/>
      <c r="B50" s="376">
        <f>IF(DATA!B47="","",DATA!B47)</f>
        <v>43</v>
      </c>
      <c r="C50" s="96" t="str">
        <f>IF(DATA!C47="","",DATA!C47)</f>
        <v/>
      </c>
      <c r="D50" s="96" t="str">
        <f>IF(DATA!D47="","",DATA!D47)</f>
        <v/>
      </c>
      <c r="E50" s="303" t="str">
        <f>IF(DATA!E47="","",DATA!E47)</f>
        <v/>
      </c>
      <c r="F50" s="303" t="str">
        <f>IF(DATA!F47="","",DATA!F47)</f>
        <v/>
      </c>
      <c r="G50" s="303" t="str">
        <f>IF(DATA!G47="","",DATA!G47)</f>
        <v/>
      </c>
      <c r="H50" s="370" t="str">
        <f>INDEX('GREEN SHEET'!$B$6:$GB$51, MATCH('MAIN EXAM RESULT'!D50,'GREEN SHEET'!$D$6:$D$51,0),165)</f>
        <v/>
      </c>
      <c r="I50" s="370" t="str">
        <f>INDEX('GREEN SHEET'!$B$6:$GB$51, MATCH('MAIN EXAM RESULT'!D50,'GREEN SHEET'!$D$6:$D$51,0),167)</f>
        <v/>
      </c>
      <c r="J50" s="370" t="str">
        <f>INDEX('GREEN SHEET'!$B$6:$GB$51, MATCH('MAIN EXAM RESULT'!D50,'GREEN SHEET'!$D$6:$D$51,0),166)</f>
        <v/>
      </c>
      <c r="K50" s="370" t="str">
        <f>INDEX('GREEN SHEET'!$B$6:$GB$51, MATCH('MAIN EXAM RESULT'!D50,'GREEN SHEET'!$D$6:$D$51,0),168)</f>
        <v/>
      </c>
      <c r="L50" s="603" t="str">
        <f>INDEX('GREEN SHEET'!$B$6:$GB$51, MATCH('MAIN EXAM RESULT'!D50,'GREEN SHEET'!$D$6:$D$51,0),180)</f>
        <v/>
      </c>
      <c r="M50" s="375" t="str">
        <f>INDEX('GREEN SHEET'!$B$6:$GB$51, MATCH('MAIN EXAM RESULT'!D50,'GREEN SHEET'!$D$6:$D$51,0),181)</f>
        <v/>
      </c>
      <c r="N50" s="60"/>
    </row>
    <row r="51" spans="1:14" ht="25.5" customHeight="1" thickBot="1" x14ac:dyDescent="0.3">
      <c r="A51" s="60"/>
      <c r="B51" s="378">
        <f>IF(DATA!B48="","",DATA!B48)</f>
        <v>44</v>
      </c>
      <c r="C51" s="379" t="str">
        <f>IF(DATA!C48="","",DATA!C48)</f>
        <v/>
      </c>
      <c r="D51" s="379" t="str">
        <f>IF(DATA!D48="","",DATA!D48)</f>
        <v/>
      </c>
      <c r="E51" s="380" t="str">
        <f>IF(DATA!E48="","",DATA!E48)</f>
        <v/>
      </c>
      <c r="F51" s="380" t="str">
        <f>IF(DATA!F48="","",DATA!F48)</f>
        <v/>
      </c>
      <c r="G51" s="380" t="str">
        <f>IF(DATA!G48="","",DATA!G48)</f>
        <v/>
      </c>
      <c r="H51" s="370" t="str">
        <f>INDEX('GREEN SHEET'!$B$6:$GB$51, MATCH('MAIN EXAM RESULT'!D51,'GREEN SHEET'!$D$6:$D$51,0),165)</f>
        <v/>
      </c>
      <c r="I51" s="370" t="str">
        <f>INDEX('GREEN SHEET'!$B$6:$GB$51, MATCH('MAIN EXAM RESULT'!D51,'GREEN SHEET'!$D$6:$D$51,0),167)</f>
        <v/>
      </c>
      <c r="J51" s="370" t="str">
        <f>INDEX('GREEN SHEET'!$B$6:$GB$51, MATCH('MAIN EXAM RESULT'!D51,'GREEN SHEET'!$D$6:$D$51,0),166)</f>
        <v/>
      </c>
      <c r="K51" s="370" t="str">
        <f>INDEX('GREEN SHEET'!$B$6:$GB$51, MATCH('MAIN EXAM RESULT'!D51,'GREEN SHEET'!$D$6:$D$51,0),168)</f>
        <v/>
      </c>
      <c r="L51" s="603" t="str">
        <f>INDEX('GREEN SHEET'!$B$6:$GB$51, MATCH('MAIN EXAM RESULT'!D51,'GREEN SHEET'!$D$6:$D$51,0),180)</f>
        <v/>
      </c>
      <c r="M51" s="375" t="str">
        <f>INDEX('GREEN SHEET'!$B$6:$GB$51, MATCH('MAIN EXAM RESULT'!D51,'GREEN SHEET'!$D$6:$D$51,0),181)</f>
        <v/>
      </c>
      <c r="N51" s="60"/>
    </row>
    <row r="52" spans="1:14" s="391" customFormat="1" ht="97.8" customHeight="1" thickBot="1" x14ac:dyDescent="0.5">
      <c r="A52" s="390"/>
      <c r="B52" s="1063" t="s">
        <v>236</v>
      </c>
      <c r="C52" s="1064"/>
      <c r="D52" s="1064"/>
      <c r="E52" s="1065"/>
      <c r="F52" s="1066" t="s">
        <v>237</v>
      </c>
      <c r="G52" s="1067"/>
      <c r="H52" s="1068"/>
      <c r="I52" s="1066" t="s">
        <v>177</v>
      </c>
      <c r="J52" s="1067" t="s">
        <v>177</v>
      </c>
      <c r="K52" s="1067"/>
      <c r="L52" s="1067" t="e">
        <f>IF(B52="TC","",IF(#REF!="","",IF(K52="COMPARTMENT","",(#REF!*100/#REF!))))</f>
        <v>#REF!</v>
      </c>
      <c r="M52" s="1087" t="e">
        <f>IF(L52="","",IF(L52&lt;33,"E",IF(AND(L52&gt;=33,L52&lt;41),"D",IF(AND(L52&gt;=41,L52&lt;51),"C2",IF(AND(L52&gt;=51,L52&lt;61),"C1",IF(AND(L52&gt;=61,L52&lt;71),"B2",IF(AND(L52&gt;=71,L52&lt;81),"B1",IF(AND(L52&gt;=81,L52&lt;91),"A2",IF(AND(L52&gt;=91,L52&lt;=100),"A1")))))))))</f>
        <v>#REF!</v>
      </c>
      <c r="N52" s="390"/>
    </row>
    <row r="53" spans="1:14" s="393" customFormat="1" ht="25.8" customHeight="1" thickBot="1" x14ac:dyDescent="0.35">
      <c r="A53" s="392"/>
      <c r="B53" s="1047" t="str">
        <f>CONCATENATE("(",DASHBOARD!G8,")")</f>
        <v>()</v>
      </c>
      <c r="C53" s="1048"/>
      <c r="D53" s="1048"/>
      <c r="E53" s="1049"/>
      <c r="F53" s="1050" t="str">
        <f>CONCATENATE("(",DASHBOARD!H8,")")</f>
        <v>()</v>
      </c>
      <c r="G53" s="1051"/>
      <c r="H53" s="1052"/>
      <c r="I53" s="1050" t="str">
        <f>CONCATENATE("(",DASHBOARD!D8,")")</f>
        <v>()</v>
      </c>
      <c r="J53" s="1051"/>
      <c r="K53" s="1051"/>
      <c r="L53" s="1051"/>
      <c r="M53" s="1053"/>
      <c r="N53" s="392"/>
    </row>
    <row r="54" spans="1:14" x14ac:dyDescent="0.25">
      <c r="A54" s="60"/>
      <c r="B54" s="60"/>
      <c r="N54" s="60"/>
    </row>
    <row r="55" spans="1:14" hidden="1" x14ac:dyDescent="0.25">
      <c r="B55" s="292"/>
      <c r="C55" s="293"/>
      <c r="D55" s="293"/>
      <c r="E55" s="293"/>
      <c r="F55" s="293"/>
      <c r="G55" s="293"/>
    </row>
    <row r="56" spans="1:14" hidden="1" x14ac:dyDescent="0.25">
      <c r="B56" s="295"/>
      <c r="C56" s="340"/>
      <c r="D56" s="340"/>
      <c r="E56" s="340"/>
      <c r="F56" s="340"/>
      <c r="G56" s="297"/>
    </row>
    <row r="57" spans="1:14" hidden="1" x14ac:dyDescent="0.25">
      <c r="B57" s="295"/>
      <c r="C57" s="340"/>
      <c r="D57" s="340"/>
      <c r="E57" s="340"/>
      <c r="F57" s="340"/>
      <c r="G57" s="297"/>
    </row>
    <row r="58" spans="1:14" hidden="1" x14ac:dyDescent="0.25">
      <c r="B58" s="295"/>
      <c r="C58" s="340"/>
      <c r="D58" s="340"/>
      <c r="E58" s="340"/>
      <c r="F58" s="340"/>
      <c r="G58" s="297"/>
    </row>
    <row r="59" spans="1:14" hidden="1" x14ac:dyDescent="0.25">
      <c r="B59" s="295"/>
      <c r="C59" s="340"/>
      <c r="D59" s="340"/>
      <c r="E59" s="340"/>
      <c r="F59" s="340"/>
      <c r="G59" s="297"/>
    </row>
    <row r="60" spans="1:14" hidden="1" x14ac:dyDescent="0.25">
      <c r="B60" s="295"/>
      <c r="C60" s="340"/>
      <c r="D60" s="340"/>
      <c r="E60" s="340"/>
      <c r="F60" s="340"/>
      <c r="G60" s="297"/>
    </row>
    <row r="61" spans="1:14" hidden="1" x14ac:dyDescent="0.25">
      <c r="B61" s="295"/>
      <c r="C61" s="340"/>
      <c r="D61" s="340"/>
      <c r="E61" s="340"/>
      <c r="F61" s="340"/>
      <c r="G61" s="297"/>
    </row>
    <row r="62" spans="1:14" hidden="1" x14ac:dyDescent="0.25">
      <c r="B62" s="295"/>
      <c r="C62" s="340"/>
      <c r="D62" s="340"/>
      <c r="E62" s="340"/>
      <c r="F62" s="340"/>
      <c r="G62" s="297"/>
    </row>
    <row r="63" spans="1:14" hidden="1" x14ac:dyDescent="0.25">
      <c r="B63" s="295"/>
      <c r="C63" s="340"/>
      <c r="D63" s="340"/>
      <c r="E63" s="340"/>
      <c r="F63" s="340"/>
      <c r="G63" s="297"/>
    </row>
    <row r="64" spans="1:14" hidden="1" x14ac:dyDescent="0.25">
      <c r="B64" s="295"/>
      <c r="C64" s="340"/>
      <c r="D64" s="340"/>
      <c r="E64" s="340"/>
      <c r="F64" s="340"/>
      <c r="G64" s="297"/>
    </row>
    <row r="65" spans="2:7" hidden="1" x14ac:dyDescent="0.25">
      <c r="B65" s="295"/>
      <c r="C65" s="340"/>
      <c r="D65" s="340"/>
      <c r="E65" s="340"/>
      <c r="F65" s="340"/>
      <c r="G65" s="297"/>
    </row>
    <row r="66" spans="2:7" hidden="1" x14ac:dyDescent="0.25">
      <c r="B66" s="295"/>
      <c r="C66" s="340"/>
      <c r="D66" s="340"/>
      <c r="E66" s="340"/>
      <c r="F66" s="340"/>
      <c r="G66" s="297"/>
    </row>
    <row r="67" spans="2:7" hidden="1" x14ac:dyDescent="0.25">
      <c r="B67" s="295"/>
      <c r="C67" s="340"/>
      <c r="D67" s="340"/>
      <c r="E67" s="340"/>
      <c r="F67" s="340"/>
      <c r="G67" s="297"/>
    </row>
    <row r="68" spans="2:7" hidden="1" x14ac:dyDescent="0.25">
      <c r="B68" s="295"/>
      <c r="C68" s="340"/>
      <c r="D68" s="340"/>
      <c r="E68" s="340"/>
      <c r="F68" s="340"/>
      <c r="G68" s="297"/>
    </row>
    <row r="69" spans="2:7" hidden="1" x14ac:dyDescent="0.25">
      <c r="B69" s="295"/>
      <c r="C69" s="340"/>
      <c r="D69" s="340"/>
      <c r="E69" s="340"/>
      <c r="F69" s="340"/>
      <c r="G69" s="297"/>
    </row>
    <row r="70" spans="2:7" hidden="1" x14ac:dyDescent="0.25">
      <c r="B70" s="295"/>
      <c r="C70" s="340"/>
      <c r="D70" s="340"/>
      <c r="E70" s="340"/>
      <c r="F70" s="340"/>
      <c r="G70" s="297"/>
    </row>
    <row r="71" spans="2:7" hidden="1" x14ac:dyDescent="0.25">
      <c r="B71" s="295"/>
      <c r="C71" s="340"/>
      <c r="D71" s="340"/>
      <c r="E71" s="340"/>
      <c r="F71" s="340"/>
      <c r="G71" s="297"/>
    </row>
    <row r="72" spans="2:7" hidden="1" x14ac:dyDescent="0.25">
      <c r="B72" s="295"/>
      <c r="C72" s="340"/>
      <c r="D72" s="340"/>
      <c r="E72" s="340"/>
      <c r="F72" s="340"/>
      <c r="G72" s="297"/>
    </row>
    <row r="73" spans="2:7" hidden="1" x14ac:dyDescent="0.25">
      <c r="B73" s="295"/>
      <c r="C73" s="340"/>
      <c r="D73" s="340"/>
      <c r="E73" s="340"/>
      <c r="F73" s="340"/>
      <c r="G73" s="297"/>
    </row>
    <row r="74" spans="2:7" hidden="1" x14ac:dyDescent="0.25">
      <c r="G74" s="79"/>
    </row>
    <row r="75" spans="2:7" hidden="1" x14ac:dyDescent="0.25">
      <c r="G75" s="79"/>
    </row>
    <row r="76" spans="2:7" hidden="1" x14ac:dyDescent="0.25"/>
    <row r="77" spans="2:7" hidden="1" x14ac:dyDescent="0.25"/>
    <row r="78" spans="2:7" hidden="1" x14ac:dyDescent="0.25"/>
    <row r="79" spans="2:7" hidden="1" x14ac:dyDescent="0.25"/>
    <row r="80" spans="2:7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x14ac:dyDescent="0.25"/>
  </sheetData>
  <sheetProtection algorithmName="SHA-512" hashValue="+NTM9F4bLsPikqfs1mW0wLcadKx9N3nBygOr85AMnipOV3RQuGmSxN5sjpQBCYOj5Elz1IMtsp0MvD9XjAmaiw==" saltValue="9GlaIz2JTMmjIyqcBWNFLA==" spinCount="100000" sheet="1" objects="1" scenarios="1" formatColumns="0" formatRows="0" selectLockedCells="1"/>
  <mergeCells count="16">
    <mergeCell ref="B53:E53"/>
    <mergeCell ref="F53:H53"/>
    <mergeCell ref="I53:M53"/>
    <mergeCell ref="L2:M3"/>
    <mergeCell ref="L4:M4"/>
    <mergeCell ref="L7:M7"/>
    <mergeCell ref="I52:M52"/>
    <mergeCell ref="B2:K2"/>
    <mergeCell ref="B3:K3"/>
    <mergeCell ref="B4:K4"/>
    <mergeCell ref="B52:E52"/>
    <mergeCell ref="F52:H52"/>
    <mergeCell ref="H7:I7"/>
    <mergeCell ref="J7:K7"/>
    <mergeCell ref="B6:G6"/>
    <mergeCell ref="B5:M5"/>
  </mergeCells>
  <hyperlinks>
    <hyperlink ref="A1" location="DASHBOARD!A1" display="D"/>
  </hyperlinks>
  <pageMargins left="0.26" right="7158278.8200000003" top="0.37" bottom="0.13" header="0.34" footer="0.2"/>
  <pageSetup paperSize="9" scale="36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Q53"/>
  <sheetViews>
    <sheetView workbookViewId="0">
      <selection activeCell="F15" sqref="F15"/>
    </sheetView>
  </sheetViews>
  <sheetFormatPr defaultColWidth="0" defaultRowHeight="0" customHeight="1" zeroHeight="1" x14ac:dyDescent="0.3"/>
  <cols>
    <col min="1" max="1" width="5.109375" style="8" customWidth="1"/>
    <col min="2" max="2" width="7.33203125" style="43" customWidth="1"/>
    <col min="3" max="3" width="9.88671875" style="43" customWidth="1"/>
    <col min="4" max="4" width="15" style="43" bestFit="1" customWidth="1"/>
    <col min="5" max="5" width="33.88671875" style="43" bestFit="1" customWidth="1"/>
    <col min="6" max="6" width="31.44140625" style="43" bestFit="1" customWidth="1"/>
    <col min="7" max="7" width="16.88671875" style="43" customWidth="1"/>
    <col min="8" max="8" width="23.5546875" style="43" customWidth="1"/>
    <col min="9" max="9" width="4" style="44" customWidth="1"/>
    <col min="10" max="17" width="0" style="8" hidden="1" customWidth="1"/>
    <col min="18" max="16384" width="9.109375" style="8" hidden="1"/>
  </cols>
  <sheetData>
    <row r="1" spans="1:9" ht="21" x14ac:dyDescent="0.3">
      <c r="A1" s="9"/>
      <c r="B1" s="44"/>
      <c r="C1" s="44"/>
      <c r="D1" s="44"/>
      <c r="E1" s="44"/>
      <c r="F1" s="44"/>
      <c r="G1" s="44"/>
      <c r="H1" s="44"/>
    </row>
    <row r="2" spans="1:9" ht="27" customHeight="1" x14ac:dyDescent="0.3">
      <c r="A2" s="7"/>
      <c r="B2" s="1101" t="str">
        <f>"SWAMI VIVEKANAND GOVT. MODEL SCHOOL,"&amp;DASHBOARD!C3</f>
        <v>SWAMI VIVEKANAND GOVT. MODEL SCHOOL,XXXX,  BLOCK-XXXX (RAJSAMAND)</v>
      </c>
      <c r="C2" s="1101"/>
      <c r="D2" s="1101"/>
      <c r="E2" s="1101"/>
      <c r="F2" s="1101"/>
      <c r="G2" s="1101"/>
      <c r="H2" s="1101"/>
      <c r="I2" s="315"/>
    </row>
    <row r="3" spans="1:9" ht="27" customHeight="1" x14ac:dyDescent="0.3">
      <c r="A3" s="7"/>
      <c r="B3" s="1102" t="str">
        <f>IF(DASHBOARD!B4="","",DASHBOARD!B4)</f>
        <v>SESSION  -  2025-26</v>
      </c>
      <c r="C3" s="1102"/>
      <c r="D3" s="1102"/>
      <c r="E3" s="1102"/>
      <c r="F3" s="1102"/>
      <c r="G3" s="1102"/>
      <c r="H3" s="1102"/>
      <c r="I3" s="315"/>
    </row>
    <row r="4" spans="1:9" s="18" customFormat="1" ht="24" thickBot="1" x14ac:dyDescent="0.5">
      <c r="A4" s="16"/>
      <c r="B4" s="45"/>
      <c r="C4" s="45"/>
      <c r="D4" s="46" t="s">
        <v>87</v>
      </c>
      <c r="E4" s="45" t="str">
        <f>DASHBOARD!B8&amp;DASHBOARD!C8</f>
        <v>9A</v>
      </c>
      <c r="F4" s="1103" t="s">
        <v>257</v>
      </c>
      <c r="G4" s="1103"/>
      <c r="H4" s="1103"/>
      <c r="I4" s="45"/>
    </row>
    <row r="5" spans="1:9" ht="27.6" x14ac:dyDescent="0.3">
      <c r="A5" s="7"/>
      <c r="B5" s="316" t="s">
        <v>97</v>
      </c>
      <c r="C5" s="317" t="s">
        <v>5</v>
      </c>
      <c r="D5" s="317" t="s">
        <v>258</v>
      </c>
      <c r="E5" s="317" t="s">
        <v>259</v>
      </c>
      <c r="F5" s="318" t="s">
        <v>260</v>
      </c>
      <c r="G5" s="317" t="s">
        <v>261</v>
      </c>
      <c r="H5" s="319" t="s">
        <v>262</v>
      </c>
      <c r="I5" s="320"/>
    </row>
    <row r="6" spans="1:9" ht="17.399999999999999" x14ac:dyDescent="0.3">
      <c r="A6" s="7"/>
      <c r="B6" s="321">
        <v>1</v>
      </c>
      <c r="C6" s="97">
        <f>IF(DATA!C5="","",DATA!C5)</f>
        <v>901</v>
      </c>
      <c r="D6" s="97">
        <f>IF(DATA!D5="","",DATA!D5)</f>
        <v>974</v>
      </c>
      <c r="E6" s="303" t="str">
        <f>IF(DATA!E5="","",UPPER(DATA!E5))</f>
        <v>ARTI PRAJAPAT</v>
      </c>
      <c r="F6" s="303" t="str">
        <f>IF(DATA!F5="","",UPPER(DATA!F5))</f>
        <v>MR PRABHU LAL</v>
      </c>
      <c r="G6" s="97"/>
      <c r="H6" s="325"/>
      <c r="I6" s="322"/>
    </row>
    <row r="7" spans="1:9" ht="17.399999999999999" x14ac:dyDescent="0.3">
      <c r="A7" s="7"/>
      <c r="B7" s="321">
        <v>2</v>
      </c>
      <c r="C7" s="97">
        <f>IF(DATA!C6="","",DATA!C6)</f>
        <v>902</v>
      </c>
      <c r="D7" s="97">
        <f>IF(DATA!D6="","",DATA!D6)</f>
        <v>971</v>
      </c>
      <c r="E7" s="303" t="str">
        <f>IF(DATA!E6="","",UPPER(DATA!E6))</f>
        <v>ARVIND SINGH BALLA</v>
      </c>
      <c r="F7" s="303" t="str">
        <f>IF(DATA!F6="","",UPPER(DATA!F6))</f>
        <v>INDRA SINGH BALLA</v>
      </c>
      <c r="G7" s="97"/>
      <c r="H7" s="325"/>
      <c r="I7" s="322"/>
    </row>
    <row r="8" spans="1:9" ht="17.399999999999999" x14ac:dyDescent="0.3">
      <c r="A8" s="7"/>
      <c r="B8" s="321">
        <v>3</v>
      </c>
      <c r="C8" s="97" t="str">
        <f>IF(DATA!C7="","",DATA!C7)</f>
        <v>TC</v>
      </c>
      <c r="D8" s="97">
        <f>IF(DATA!D7="","",DATA!D7)</f>
        <v>1370</v>
      </c>
      <c r="E8" s="303" t="str">
        <f>IF(DATA!E7="","",UPPER(DATA!E7))</f>
        <v>BHAVESH SINGH RAO</v>
      </c>
      <c r="F8" s="303" t="str">
        <f>IF(DATA!F7="","",UPPER(DATA!F7))</f>
        <v>FATEH SINGH RAO</v>
      </c>
      <c r="G8" s="97"/>
      <c r="H8" s="325"/>
      <c r="I8" s="322"/>
    </row>
    <row r="9" spans="1:9" ht="17.399999999999999" x14ac:dyDescent="0.3">
      <c r="A9" s="7"/>
      <c r="B9" s="321">
        <v>4</v>
      </c>
      <c r="C9" s="97" t="str">
        <f>IF(DATA!C8="","",DATA!C8)</f>
        <v/>
      </c>
      <c r="D9" s="97" t="str">
        <f>IF(DATA!D8="","",DATA!D8)</f>
        <v/>
      </c>
      <c r="E9" s="303" t="str">
        <f>IF(DATA!E8="","",UPPER(DATA!E8))</f>
        <v/>
      </c>
      <c r="F9" s="303" t="str">
        <f>IF(DATA!F8="","",UPPER(DATA!F8))</f>
        <v/>
      </c>
      <c r="G9" s="97"/>
      <c r="H9" s="325"/>
      <c r="I9" s="322"/>
    </row>
    <row r="10" spans="1:9" ht="17.399999999999999" x14ac:dyDescent="0.3">
      <c r="A10" s="7"/>
      <c r="B10" s="321">
        <v>5</v>
      </c>
      <c r="C10" s="97" t="str">
        <f>IF(DATA!C9="","",DATA!C9)</f>
        <v/>
      </c>
      <c r="D10" s="97" t="str">
        <f>IF(DATA!D9="","",DATA!D9)</f>
        <v/>
      </c>
      <c r="E10" s="303" t="str">
        <f>IF(DATA!E9="","",UPPER(DATA!E9))</f>
        <v/>
      </c>
      <c r="F10" s="303" t="str">
        <f>IF(DATA!F9="","",UPPER(DATA!F9))</f>
        <v/>
      </c>
      <c r="G10" s="97"/>
      <c r="H10" s="325"/>
      <c r="I10" s="322"/>
    </row>
    <row r="11" spans="1:9" ht="18" x14ac:dyDescent="0.3">
      <c r="A11" s="7"/>
      <c r="B11" s="321">
        <v>6</v>
      </c>
      <c r="C11" s="97" t="str">
        <f>IF(DATA!C10="","",DATA!C10)</f>
        <v/>
      </c>
      <c r="D11" s="97" t="str">
        <f>IF(DATA!D10="","",DATA!D10)</f>
        <v/>
      </c>
      <c r="E11" s="303" t="str">
        <f>IF(DATA!E10="","",UPPER(DATA!E10))</f>
        <v/>
      </c>
      <c r="F11" s="303" t="str">
        <f>IF(DATA!F10="","",UPPER(DATA!F10))</f>
        <v/>
      </c>
      <c r="G11" s="97"/>
      <c r="H11" s="325"/>
      <c r="I11" s="323"/>
    </row>
    <row r="12" spans="1:9" ht="17.399999999999999" x14ac:dyDescent="0.3">
      <c r="A12" s="7"/>
      <c r="B12" s="321">
        <v>7</v>
      </c>
      <c r="C12" s="97" t="str">
        <f>IF(DATA!C11="","",DATA!C11)</f>
        <v/>
      </c>
      <c r="D12" s="97" t="str">
        <f>IF(DATA!D11="","",DATA!D11)</f>
        <v/>
      </c>
      <c r="E12" s="303" t="str">
        <f>IF(DATA!E11="","",UPPER(DATA!E11))</f>
        <v/>
      </c>
      <c r="F12" s="303" t="str">
        <f>IF(DATA!F11="","",UPPER(DATA!F11))</f>
        <v/>
      </c>
      <c r="G12" s="97"/>
      <c r="H12" s="325"/>
      <c r="I12" s="322"/>
    </row>
    <row r="13" spans="1:9" ht="17.399999999999999" x14ac:dyDescent="0.3">
      <c r="A13" s="7"/>
      <c r="B13" s="321">
        <v>8</v>
      </c>
      <c r="C13" s="97" t="str">
        <f>IF(DATA!C12="","",DATA!C12)</f>
        <v/>
      </c>
      <c r="D13" s="97" t="str">
        <f>IF(DATA!D12="","",DATA!D12)</f>
        <v/>
      </c>
      <c r="E13" s="303" t="str">
        <f>IF(DATA!E12="","",UPPER(DATA!E12))</f>
        <v/>
      </c>
      <c r="F13" s="303" t="str">
        <f>IF(DATA!F12="","",UPPER(DATA!F12))</f>
        <v/>
      </c>
      <c r="G13" s="97"/>
      <c r="H13" s="325"/>
      <c r="I13" s="322"/>
    </row>
    <row r="14" spans="1:9" ht="17.399999999999999" x14ac:dyDescent="0.3">
      <c r="A14" s="7"/>
      <c r="B14" s="321">
        <v>9</v>
      </c>
      <c r="C14" s="97" t="str">
        <f>IF(DATA!C13="","",DATA!C13)</f>
        <v/>
      </c>
      <c r="D14" s="97" t="str">
        <f>IF(DATA!D13="","",DATA!D13)</f>
        <v/>
      </c>
      <c r="E14" s="303" t="str">
        <f>IF(DATA!E13="","",UPPER(DATA!E13))</f>
        <v/>
      </c>
      <c r="F14" s="303" t="str">
        <f>IF(DATA!F13="","",UPPER(DATA!F13))</f>
        <v/>
      </c>
      <c r="G14" s="97"/>
      <c r="H14" s="325"/>
      <c r="I14" s="322"/>
    </row>
    <row r="15" spans="1:9" ht="17.399999999999999" x14ac:dyDescent="0.3">
      <c r="A15" s="7"/>
      <c r="B15" s="321">
        <v>10</v>
      </c>
      <c r="C15" s="97" t="str">
        <f>IF(DATA!C14="","",DATA!C14)</f>
        <v/>
      </c>
      <c r="D15" s="97" t="str">
        <f>IF(DATA!D14="","",DATA!D14)</f>
        <v/>
      </c>
      <c r="E15" s="303" t="str">
        <f>IF(DATA!E14="","",UPPER(DATA!E14))</f>
        <v/>
      </c>
      <c r="F15" s="303" t="str">
        <f>IF(DATA!F14="","",UPPER(DATA!F14))</f>
        <v/>
      </c>
      <c r="G15" s="97"/>
      <c r="H15" s="325"/>
      <c r="I15" s="322"/>
    </row>
    <row r="16" spans="1:9" ht="17.399999999999999" x14ac:dyDescent="0.3">
      <c r="A16" s="7"/>
      <c r="B16" s="321">
        <v>11</v>
      </c>
      <c r="C16" s="97" t="str">
        <f>IF(DATA!C15="","",DATA!C15)</f>
        <v/>
      </c>
      <c r="D16" s="97" t="str">
        <f>IF(DATA!D15="","",DATA!D15)</f>
        <v/>
      </c>
      <c r="E16" s="303" t="str">
        <f>IF(DATA!E15="","",UPPER(DATA!E15))</f>
        <v/>
      </c>
      <c r="F16" s="303" t="str">
        <f>IF(DATA!F15="","",UPPER(DATA!F15))</f>
        <v/>
      </c>
      <c r="G16" s="97"/>
      <c r="H16" s="325"/>
      <c r="I16" s="322"/>
    </row>
    <row r="17" spans="1:9" ht="17.399999999999999" x14ac:dyDescent="0.3">
      <c r="A17" s="7"/>
      <c r="B17" s="321">
        <v>12</v>
      </c>
      <c r="C17" s="97" t="str">
        <f>IF(DATA!C16="","",DATA!C16)</f>
        <v/>
      </c>
      <c r="D17" s="97" t="str">
        <f>IF(DATA!D16="","",DATA!D16)</f>
        <v/>
      </c>
      <c r="E17" s="303" t="str">
        <f>IF(DATA!E16="","",UPPER(DATA!E16))</f>
        <v/>
      </c>
      <c r="F17" s="303" t="str">
        <f>IF(DATA!F16="","",UPPER(DATA!F16))</f>
        <v/>
      </c>
      <c r="G17" s="97"/>
      <c r="H17" s="325"/>
      <c r="I17" s="322"/>
    </row>
    <row r="18" spans="1:9" ht="17.399999999999999" x14ac:dyDescent="0.3">
      <c r="A18" s="7"/>
      <c r="B18" s="321">
        <v>13</v>
      </c>
      <c r="C18" s="97" t="str">
        <f>IF(DATA!C17="","",DATA!C17)</f>
        <v/>
      </c>
      <c r="D18" s="97" t="str">
        <f>IF(DATA!D17="","",DATA!D17)</f>
        <v/>
      </c>
      <c r="E18" s="303" t="str">
        <f>IF(DATA!E17="","",UPPER(DATA!E17))</f>
        <v/>
      </c>
      <c r="F18" s="303" t="str">
        <f>IF(DATA!F17="","",UPPER(DATA!F17))</f>
        <v/>
      </c>
      <c r="G18" s="97"/>
      <c r="H18" s="325"/>
      <c r="I18" s="322"/>
    </row>
    <row r="19" spans="1:9" ht="17.399999999999999" x14ac:dyDescent="0.3">
      <c r="A19" s="7"/>
      <c r="B19" s="321">
        <v>14</v>
      </c>
      <c r="C19" s="97" t="str">
        <f>IF(DATA!C18="","",DATA!C18)</f>
        <v/>
      </c>
      <c r="D19" s="97" t="str">
        <f>IF(DATA!D18="","",DATA!D18)</f>
        <v/>
      </c>
      <c r="E19" s="303" t="str">
        <f>IF(DATA!E18="","",UPPER(DATA!E18))</f>
        <v/>
      </c>
      <c r="F19" s="303" t="str">
        <f>IF(DATA!F18="","",UPPER(DATA!F18))</f>
        <v/>
      </c>
      <c r="G19" s="97"/>
      <c r="H19" s="325"/>
      <c r="I19" s="322"/>
    </row>
    <row r="20" spans="1:9" ht="17.399999999999999" x14ac:dyDescent="0.3">
      <c r="A20" s="7"/>
      <c r="B20" s="321">
        <v>15</v>
      </c>
      <c r="C20" s="97" t="str">
        <f>IF(DATA!C19="","",DATA!C19)</f>
        <v/>
      </c>
      <c r="D20" s="97" t="str">
        <f>IF(DATA!D19="","",DATA!D19)</f>
        <v/>
      </c>
      <c r="E20" s="303" t="str">
        <f>IF(DATA!E19="","",UPPER(DATA!E19))</f>
        <v/>
      </c>
      <c r="F20" s="303" t="str">
        <f>IF(DATA!F19="","",UPPER(DATA!F19))</f>
        <v/>
      </c>
      <c r="G20" s="97"/>
      <c r="H20" s="325"/>
      <c r="I20" s="322"/>
    </row>
    <row r="21" spans="1:9" ht="17.399999999999999" x14ac:dyDescent="0.3">
      <c r="A21" s="7"/>
      <c r="B21" s="321">
        <v>16</v>
      </c>
      <c r="C21" s="97" t="str">
        <f>IF(DATA!C20="","",DATA!C20)</f>
        <v/>
      </c>
      <c r="D21" s="97" t="str">
        <f>IF(DATA!D20="","",DATA!D20)</f>
        <v/>
      </c>
      <c r="E21" s="303" t="str">
        <f>IF(DATA!E20="","",UPPER(DATA!E20))</f>
        <v/>
      </c>
      <c r="F21" s="303" t="str">
        <f>IF(DATA!F20="","",UPPER(DATA!F20))</f>
        <v/>
      </c>
      <c r="G21" s="97"/>
      <c r="H21" s="325"/>
      <c r="I21" s="322"/>
    </row>
    <row r="22" spans="1:9" ht="17.399999999999999" x14ac:dyDescent="0.3">
      <c r="A22" s="7"/>
      <c r="B22" s="321">
        <v>17</v>
      </c>
      <c r="C22" s="97" t="str">
        <f>IF(DATA!C21="","",DATA!C21)</f>
        <v/>
      </c>
      <c r="D22" s="97" t="str">
        <f>IF(DATA!D21="","",DATA!D21)</f>
        <v/>
      </c>
      <c r="E22" s="303" t="str">
        <f>IF(DATA!E21="","",UPPER(DATA!E21))</f>
        <v/>
      </c>
      <c r="F22" s="303" t="str">
        <f>IF(DATA!F21="","",UPPER(DATA!F21))</f>
        <v/>
      </c>
      <c r="G22" s="97"/>
      <c r="H22" s="325"/>
      <c r="I22" s="322"/>
    </row>
    <row r="23" spans="1:9" ht="17.399999999999999" x14ac:dyDescent="0.3">
      <c r="A23" s="7"/>
      <c r="B23" s="321">
        <v>18</v>
      </c>
      <c r="C23" s="97" t="str">
        <f>IF(DATA!C22="","",DATA!C22)</f>
        <v/>
      </c>
      <c r="D23" s="97" t="str">
        <f>IF(DATA!D22="","",DATA!D22)</f>
        <v/>
      </c>
      <c r="E23" s="303" t="str">
        <f>IF(DATA!E22="","",UPPER(DATA!E22))</f>
        <v/>
      </c>
      <c r="F23" s="303" t="str">
        <f>IF(DATA!F22="","",UPPER(DATA!F22))</f>
        <v/>
      </c>
      <c r="G23" s="97"/>
      <c r="H23" s="325"/>
      <c r="I23" s="322"/>
    </row>
    <row r="24" spans="1:9" ht="17.399999999999999" x14ac:dyDescent="0.3">
      <c r="A24" s="7"/>
      <c r="B24" s="321">
        <v>19</v>
      </c>
      <c r="C24" s="97" t="str">
        <f>IF(DATA!C23="","",DATA!C23)</f>
        <v/>
      </c>
      <c r="D24" s="97" t="str">
        <f>IF(DATA!D23="","",DATA!D23)</f>
        <v/>
      </c>
      <c r="E24" s="303" t="str">
        <f>IF(DATA!E23="","",UPPER(DATA!E23))</f>
        <v/>
      </c>
      <c r="F24" s="303" t="str">
        <f>IF(DATA!F23="","",UPPER(DATA!F23))</f>
        <v/>
      </c>
      <c r="G24" s="97"/>
      <c r="H24" s="325"/>
      <c r="I24" s="322"/>
    </row>
    <row r="25" spans="1:9" ht="17.399999999999999" x14ac:dyDescent="0.3">
      <c r="A25" s="7"/>
      <c r="B25" s="321">
        <v>20</v>
      </c>
      <c r="C25" s="97" t="str">
        <f>IF(DATA!C24="","",DATA!C24)</f>
        <v/>
      </c>
      <c r="D25" s="97" t="str">
        <f>IF(DATA!D24="","",DATA!D24)</f>
        <v/>
      </c>
      <c r="E25" s="303" t="str">
        <f>IF(DATA!E24="","",UPPER(DATA!E24))</f>
        <v/>
      </c>
      <c r="F25" s="303" t="str">
        <f>IF(DATA!F24="","",UPPER(DATA!F24))</f>
        <v/>
      </c>
      <c r="G25" s="97"/>
      <c r="H25" s="325"/>
      <c r="I25" s="322"/>
    </row>
    <row r="26" spans="1:9" ht="17.399999999999999" x14ac:dyDescent="0.3">
      <c r="A26" s="7"/>
      <c r="B26" s="321">
        <v>21</v>
      </c>
      <c r="C26" s="97" t="str">
        <f>IF(DATA!C25="","",DATA!C25)</f>
        <v/>
      </c>
      <c r="D26" s="97" t="str">
        <f>IF(DATA!D25="","",DATA!D25)</f>
        <v/>
      </c>
      <c r="E26" s="303" t="str">
        <f>IF(DATA!E25="","",UPPER(DATA!E25))</f>
        <v/>
      </c>
      <c r="F26" s="303" t="str">
        <f>IF(DATA!F25="","",UPPER(DATA!F25))</f>
        <v/>
      </c>
      <c r="G26" s="97"/>
      <c r="H26" s="325"/>
      <c r="I26" s="322"/>
    </row>
    <row r="27" spans="1:9" ht="17.399999999999999" x14ac:dyDescent="0.3">
      <c r="A27" s="7"/>
      <c r="B27" s="321">
        <v>22</v>
      </c>
      <c r="C27" s="97" t="str">
        <f>IF(DATA!C26="","",DATA!C26)</f>
        <v/>
      </c>
      <c r="D27" s="97" t="str">
        <f>IF(DATA!D26="","",DATA!D26)</f>
        <v/>
      </c>
      <c r="E27" s="303" t="str">
        <f>IF(DATA!E26="","",UPPER(DATA!E26))</f>
        <v/>
      </c>
      <c r="F27" s="303" t="str">
        <f>IF(DATA!F26="","",UPPER(DATA!F26))</f>
        <v/>
      </c>
      <c r="G27" s="97"/>
      <c r="H27" s="325"/>
      <c r="I27" s="322"/>
    </row>
    <row r="28" spans="1:9" ht="17.399999999999999" x14ac:dyDescent="0.3">
      <c r="A28" s="7"/>
      <c r="B28" s="321">
        <v>23</v>
      </c>
      <c r="C28" s="97" t="str">
        <f>IF(DATA!C27="","",DATA!C27)</f>
        <v/>
      </c>
      <c r="D28" s="97" t="str">
        <f>IF(DATA!D27="","",DATA!D27)</f>
        <v/>
      </c>
      <c r="E28" s="303" t="str">
        <f>IF(DATA!E27="","",UPPER(DATA!E27))</f>
        <v/>
      </c>
      <c r="F28" s="303" t="str">
        <f>IF(DATA!F27="","",UPPER(DATA!F27))</f>
        <v/>
      </c>
      <c r="G28" s="97"/>
      <c r="H28" s="325"/>
      <c r="I28" s="322"/>
    </row>
    <row r="29" spans="1:9" ht="17.399999999999999" x14ac:dyDescent="0.3">
      <c r="A29" s="7"/>
      <c r="B29" s="321">
        <v>24</v>
      </c>
      <c r="C29" s="97" t="str">
        <f>IF(DATA!C28="","",DATA!C28)</f>
        <v/>
      </c>
      <c r="D29" s="97" t="str">
        <f>IF(DATA!D28="","",DATA!D28)</f>
        <v/>
      </c>
      <c r="E29" s="303" t="str">
        <f>IF(DATA!E28="","",UPPER(DATA!E28))</f>
        <v/>
      </c>
      <c r="F29" s="303" t="str">
        <f>IF(DATA!F28="","",UPPER(DATA!F28))</f>
        <v/>
      </c>
      <c r="G29" s="97"/>
      <c r="H29" s="325"/>
      <c r="I29" s="322"/>
    </row>
    <row r="30" spans="1:9" ht="17.399999999999999" x14ac:dyDescent="0.3">
      <c r="A30" s="7"/>
      <c r="B30" s="321">
        <v>25</v>
      </c>
      <c r="C30" s="97" t="str">
        <f>IF(DATA!C29="","",DATA!C29)</f>
        <v/>
      </c>
      <c r="D30" s="97" t="str">
        <f>IF(DATA!D29="","",DATA!D29)</f>
        <v/>
      </c>
      <c r="E30" s="303" t="str">
        <f>IF(DATA!E29="","",UPPER(DATA!E29))</f>
        <v/>
      </c>
      <c r="F30" s="303" t="str">
        <f>IF(DATA!F29="","",UPPER(DATA!F29))</f>
        <v/>
      </c>
      <c r="G30" s="97"/>
      <c r="H30" s="325"/>
      <c r="I30" s="322"/>
    </row>
    <row r="31" spans="1:9" ht="17.399999999999999" x14ac:dyDescent="0.3">
      <c r="A31" s="7"/>
      <c r="B31" s="321">
        <v>26</v>
      </c>
      <c r="C31" s="97" t="str">
        <f>IF(DATA!C30="","",DATA!C30)</f>
        <v/>
      </c>
      <c r="D31" s="97" t="str">
        <f>IF(DATA!D30="","",DATA!D30)</f>
        <v/>
      </c>
      <c r="E31" s="303" t="str">
        <f>IF(DATA!E30="","",UPPER(DATA!E30))</f>
        <v/>
      </c>
      <c r="F31" s="303" t="str">
        <f>IF(DATA!F30="","",UPPER(DATA!F30))</f>
        <v/>
      </c>
      <c r="G31" s="97"/>
      <c r="H31" s="325"/>
      <c r="I31" s="322"/>
    </row>
    <row r="32" spans="1:9" ht="17.399999999999999" x14ac:dyDescent="0.3">
      <c r="A32" s="7"/>
      <c r="B32" s="321">
        <v>27</v>
      </c>
      <c r="C32" s="97" t="str">
        <f>IF(DATA!C31="","",DATA!C31)</f>
        <v/>
      </c>
      <c r="D32" s="97" t="str">
        <f>IF(DATA!D31="","",DATA!D31)</f>
        <v/>
      </c>
      <c r="E32" s="303" t="str">
        <f>IF(DATA!E31="","",UPPER(DATA!E31))</f>
        <v/>
      </c>
      <c r="F32" s="303" t="str">
        <f>IF(DATA!F31="","",UPPER(DATA!F31))</f>
        <v/>
      </c>
      <c r="G32" s="97"/>
      <c r="H32" s="325"/>
      <c r="I32" s="322"/>
    </row>
    <row r="33" spans="1:9" ht="17.399999999999999" x14ac:dyDescent="0.3">
      <c r="A33" s="7"/>
      <c r="B33" s="321">
        <v>28</v>
      </c>
      <c r="C33" s="97" t="str">
        <f>IF(DATA!C32="","",DATA!C32)</f>
        <v/>
      </c>
      <c r="D33" s="97" t="str">
        <f>IF(DATA!D32="","",DATA!D32)</f>
        <v/>
      </c>
      <c r="E33" s="303" t="str">
        <f>IF(DATA!E32="","",UPPER(DATA!E32))</f>
        <v/>
      </c>
      <c r="F33" s="303" t="str">
        <f>IF(DATA!F32="","",UPPER(DATA!F32))</f>
        <v/>
      </c>
      <c r="G33" s="97"/>
      <c r="H33" s="325"/>
      <c r="I33" s="322"/>
    </row>
    <row r="34" spans="1:9" ht="17.399999999999999" x14ac:dyDescent="0.3">
      <c r="A34" s="7"/>
      <c r="B34" s="321">
        <v>29</v>
      </c>
      <c r="C34" s="97" t="str">
        <f>IF(DATA!C33="","",DATA!C33)</f>
        <v/>
      </c>
      <c r="D34" s="97" t="str">
        <f>IF(DATA!D33="","",DATA!D33)</f>
        <v/>
      </c>
      <c r="E34" s="303" t="str">
        <f>IF(DATA!E33="","",UPPER(DATA!E33))</f>
        <v/>
      </c>
      <c r="F34" s="303" t="str">
        <f>IF(DATA!F33="","",UPPER(DATA!F33))</f>
        <v/>
      </c>
      <c r="G34" s="97"/>
      <c r="H34" s="325"/>
      <c r="I34" s="322"/>
    </row>
    <row r="35" spans="1:9" ht="17.399999999999999" x14ac:dyDescent="0.3">
      <c r="A35" s="7"/>
      <c r="B35" s="321">
        <v>30</v>
      </c>
      <c r="C35" s="97" t="str">
        <f>IF(DATA!C34="","",DATA!C34)</f>
        <v/>
      </c>
      <c r="D35" s="97" t="str">
        <f>IF(DATA!D34="","",DATA!D34)</f>
        <v/>
      </c>
      <c r="E35" s="303" t="str">
        <f>IF(DATA!E34="","",UPPER(DATA!E34))</f>
        <v/>
      </c>
      <c r="F35" s="303" t="str">
        <f>IF(DATA!F34="","",UPPER(DATA!F34))</f>
        <v/>
      </c>
      <c r="G35" s="97"/>
      <c r="H35" s="325"/>
      <c r="I35" s="322"/>
    </row>
    <row r="36" spans="1:9" ht="17.399999999999999" x14ac:dyDescent="0.3">
      <c r="A36" s="7"/>
      <c r="B36" s="321">
        <v>31</v>
      </c>
      <c r="C36" s="97" t="str">
        <f>IF(DATA!C35="","",DATA!C35)</f>
        <v/>
      </c>
      <c r="D36" s="97" t="str">
        <f>IF(DATA!D35="","",DATA!D35)</f>
        <v/>
      </c>
      <c r="E36" s="303" t="str">
        <f>IF(DATA!E35="","",UPPER(DATA!E35))</f>
        <v/>
      </c>
      <c r="F36" s="303" t="str">
        <f>IF(DATA!F35="","",UPPER(DATA!F35))</f>
        <v/>
      </c>
      <c r="G36" s="97"/>
      <c r="H36" s="325"/>
      <c r="I36" s="322"/>
    </row>
    <row r="37" spans="1:9" ht="17.399999999999999" x14ac:dyDescent="0.3">
      <c r="A37" s="7"/>
      <c r="B37" s="321">
        <v>32</v>
      </c>
      <c r="C37" s="97" t="str">
        <f>IF(DATA!C36="","",DATA!C36)</f>
        <v/>
      </c>
      <c r="D37" s="97" t="str">
        <f>IF(DATA!D36="","",DATA!D36)</f>
        <v/>
      </c>
      <c r="E37" s="303" t="str">
        <f>IF(DATA!E36="","",UPPER(DATA!E36))</f>
        <v/>
      </c>
      <c r="F37" s="303" t="str">
        <f>IF(DATA!F36="","",UPPER(DATA!F36))</f>
        <v/>
      </c>
      <c r="G37" s="97"/>
      <c r="H37" s="325"/>
      <c r="I37" s="322"/>
    </row>
    <row r="38" spans="1:9" ht="17.399999999999999" x14ac:dyDescent="0.3">
      <c r="A38" s="7"/>
      <c r="B38" s="321">
        <v>33</v>
      </c>
      <c r="C38" s="97" t="str">
        <f>IF(DATA!C37="","",DATA!C37)</f>
        <v/>
      </c>
      <c r="D38" s="97" t="str">
        <f>IF(DATA!D37="","",DATA!D37)</f>
        <v/>
      </c>
      <c r="E38" s="303" t="str">
        <f>IF(DATA!E37="","",UPPER(DATA!E37))</f>
        <v/>
      </c>
      <c r="F38" s="303" t="str">
        <f>IF(DATA!F37="","",UPPER(DATA!F37))</f>
        <v/>
      </c>
      <c r="G38" s="97"/>
      <c r="H38" s="325"/>
      <c r="I38" s="322"/>
    </row>
    <row r="39" spans="1:9" ht="17.399999999999999" x14ac:dyDescent="0.3">
      <c r="A39" s="7"/>
      <c r="B39" s="321">
        <v>34</v>
      </c>
      <c r="C39" s="97" t="str">
        <f>IF(DATA!C38="","",DATA!C38)</f>
        <v/>
      </c>
      <c r="D39" s="97" t="str">
        <f>IF(DATA!D38="","",DATA!D38)</f>
        <v/>
      </c>
      <c r="E39" s="303" t="str">
        <f>IF(DATA!E38="","",UPPER(DATA!E38))</f>
        <v/>
      </c>
      <c r="F39" s="303" t="str">
        <f>IF(DATA!F38="","",UPPER(DATA!F38))</f>
        <v/>
      </c>
      <c r="G39" s="97"/>
      <c r="H39" s="325"/>
      <c r="I39" s="322"/>
    </row>
    <row r="40" spans="1:9" ht="17.399999999999999" x14ac:dyDescent="0.3">
      <c r="A40" s="7"/>
      <c r="B40" s="321">
        <v>35</v>
      </c>
      <c r="C40" s="97" t="str">
        <f>IF(DATA!C39="","",DATA!C39)</f>
        <v/>
      </c>
      <c r="D40" s="97" t="str">
        <f>IF(DATA!D39="","",DATA!D39)</f>
        <v/>
      </c>
      <c r="E40" s="303" t="str">
        <f>IF(DATA!E39="","",UPPER(DATA!E39))</f>
        <v/>
      </c>
      <c r="F40" s="303" t="str">
        <f>IF(DATA!F39="","",UPPER(DATA!F39))</f>
        <v/>
      </c>
      <c r="G40" s="97"/>
      <c r="H40" s="325"/>
      <c r="I40" s="322"/>
    </row>
    <row r="41" spans="1:9" ht="17.399999999999999" x14ac:dyDescent="0.3">
      <c r="A41" s="7"/>
      <c r="B41" s="321">
        <v>36</v>
      </c>
      <c r="C41" s="97" t="str">
        <f>IF(DATA!C40="","",DATA!C40)</f>
        <v/>
      </c>
      <c r="D41" s="97" t="str">
        <f>IF(DATA!D40="","",DATA!D40)</f>
        <v/>
      </c>
      <c r="E41" s="303" t="str">
        <f>IF(DATA!E40="","",UPPER(DATA!E40))</f>
        <v/>
      </c>
      <c r="F41" s="303" t="str">
        <f>IF(DATA!F40="","",UPPER(DATA!F40))</f>
        <v/>
      </c>
      <c r="G41" s="97"/>
      <c r="H41" s="325"/>
      <c r="I41" s="322"/>
    </row>
    <row r="42" spans="1:9" ht="17.399999999999999" x14ac:dyDescent="0.3">
      <c r="A42" s="7"/>
      <c r="B42" s="321">
        <v>37</v>
      </c>
      <c r="C42" s="97" t="str">
        <f>IF(DATA!C41="","",DATA!C41)</f>
        <v/>
      </c>
      <c r="D42" s="97" t="str">
        <f>IF(DATA!D41="","",DATA!D41)</f>
        <v/>
      </c>
      <c r="E42" s="303" t="str">
        <f>IF(DATA!E41="","",UPPER(DATA!E41))</f>
        <v/>
      </c>
      <c r="F42" s="303" t="str">
        <f>IF(DATA!F41="","",UPPER(DATA!F41))</f>
        <v/>
      </c>
      <c r="G42" s="97"/>
      <c r="H42" s="325"/>
      <c r="I42" s="322"/>
    </row>
    <row r="43" spans="1:9" ht="17.399999999999999" x14ac:dyDescent="0.3">
      <c r="A43" s="7"/>
      <c r="B43" s="321">
        <v>38</v>
      </c>
      <c r="C43" s="97" t="str">
        <f>IF(DATA!C42="","",DATA!C42)</f>
        <v/>
      </c>
      <c r="D43" s="97" t="str">
        <f>IF(DATA!D42="","",DATA!D42)</f>
        <v/>
      </c>
      <c r="E43" s="303" t="str">
        <f>IF(DATA!E42="","",UPPER(DATA!E42))</f>
        <v/>
      </c>
      <c r="F43" s="303" t="str">
        <f>IF(DATA!F42="","",UPPER(DATA!F42))</f>
        <v/>
      </c>
      <c r="G43" s="97"/>
      <c r="H43" s="325"/>
      <c r="I43" s="322"/>
    </row>
    <row r="44" spans="1:9" ht="17.399999999999999" x14ac:dyDescent="0.3">
      <c r="A44" s="7"/>
      <c r="B44" s="321">
        <v>39</v>
      </c>
      <c r="C44" s="97" t="str">
        <f>IF(DATA!C43="","",DATA!C43)</f>
        <v/>
      </c>
      <c r="D44" s="97" t="str">
        <f>IF(DATA!D43="","",DATA!D43)</f>
        <v/>
      </c>
      <c r="E44" s="303" t="str">
        <f>IF(DATA!E43="","",UPPER(DATA!E43))</f>
        <v/>
      </c>
      <c r="F44" s="303" t="str">
        <f>IF(DATA!F43="","",UPPER(DATA!F43))</f>
        <v/>
      </c>
      <c r="G44" s="97"/>
      <c r="H44" s="325"/>
      <c r="I44" s="322"/>
    </row>
    <row r="45" spans="1:9" ht="17.399999999999999" x14ac:dyDescent="0.3">
      <c r="A45" s="7"/>
      <c r="B45" s="321">
        <v>40</v>
      </c>
      <c r="C45" s="97" t="str">
        <f>IF(DATA!C44="","",DATA!C44)</f>
        <v/>
      </c>
      <c r="D45" s="97" t="str">
        <f>IF(DATA!D44="","",DATA!D44)</f>
        <v/>
      </c>
      <c r="E45" s="303" t="str">
        <f>IF(DATA!E44="","",UPPER(DATA!E44))</f>
        <v/>
      </c>
      <c r="F45" s="303" t="str">
        <f>IF(DATA!F44="","",UPPER(DATA!F44))</f>
        <v/>
      </c>
      <c r="G45" s="97"/>
      <c r="H45" s="325"/>
      <c r="I45" s="322"/>
    </row>
    <row r="46" spans="1:9" ht="17.399999999999999" x14ac:dyDescent="0.3">
      <c r="A46" s="7"/>
      <c r="B46" s="321">
        <v>41</v>
      </c>
      <c r="C46" s="97" t="str">
        <f>IF(DATA!C45="","",DATA!C45)</f>
        <v/>
      </c>
      <c r="D46" s="97" t="str">
        <f>IF(DATA!D45="","",DATA!D45)</f>
        <v/>
      </c>
      <c r="E46" s="303" t="str">
        <f>IF(DATA!E45="","",UPPER(DATA!E45))</f>
        <v/>
      </c>
      <c r="F46" s="303" t="str">
        <f>IF(DATA!F45="","",UPPER(DATA!F45))</f>
        <v/>
      </c>
      <c r="G46" s="97"/>
      <c r="H46" s="325"/>
      <c r="I46" s="322"/>
    </row>
    <row r="47" spans="1:9" ht="17.399999999999999" x14ac:dyDescent="0.3">
      <c r="A47" s="7"/>
      <c r="B47" s="321">
        <v>42</v>
      </c>
      <c r="C47" s="97" t="str">
        <f>IF(DATA!C46="","",DATA!C46)</f>
        <v/>
      </c>
      <c r="D47" s="97" t="str">
        <f>IF(DATA!D46="","",DATA!D46)</f>
        <v/>
      </c>
      <c r="E47" s="303" t="str">
        <f>IF(DATA!E46="","",UPPER(DATA!E46))</f>
        <v/>
      </c>
      <c r="F47" s="303" t="str">
        <f>IF(DATA!F46="","",UPPER(DATA!F46))</f>
        <v/>
      </c>
      <c r="G47" s="97"/>
      <c r="H47" s="325"/>
      <c r="I47" s="322"/>
    </row>
    <row r="48" spans="1:9" ht="17.399999999999999" x14ac:dyDescent="0.3">
      <c r="A48" s="7"/>
      <c r="B48" s="321">
        <v>43</v>
      </c>
      <c r="C48" s="97" t="str">
        <f>IF(DATA!C47="","",DATA!C47)</f>
        <v/>
      </c>
      <c r="D48" s="97" t="str">
        <f>IF(DATA!D47="","",DATA!D47)</f>
        <v/>
      </c>
      <c r="E48" s="303" t="str">
        <f>IF(DATA!E47="","",UPPER(DATA!E47))</f>
        <v/>
      </c>
      <c r="F48" s="303" t="str">
        <f>IF(DATA!F47="","",UPPER(DATA!F47))</f>
        <v/>
      </c>
      <c r="G48" s="97"/>
      <c r="H48" s="325"/>
      <c r="I48" s="322"/>
    </row>
    <row r="49" spans="1:9" ht="17.399999999999999" x14ac:dyDescent="0.3">
      <c r="A49" s="7"/>
      <c r="B49" s="321">
        <v>44</v>
      </c>
      <c r="C49" s="97" t="str">
        <f>IF(DATA!C48="","",DATA!C48)</f>
        <v/>
      </c>
      <c r="D49" s="97" t="str">
        <f>IF(DATA!D48="","",DATA!D48)</f>
        <v/>
      </c>
      <c r="E49" s="303" t="str">
        <f>IF(DATA!E48="","",UPPER(DATA!E48))</f>
        <v/>
      </c>
      <c r="F49" s="303" t="str">
        <f>IF(DATA!F48="","",UPPER(DATA!F48))</f>
        <v/>
      </c>
      <c r="G49" s="97"/>
      <c r="H49" s="325"/>
      <c r="I49" s="322"/>
    </row>
    <row r="50" spans="1:9" ht="18" thickBot="1" x14ac:dyDescent="0.35">
      <c r="A50" s="7"/>
      <c r="B50" s="324">
        <v>45</v>
      </c>
      <c r="C50" s="97" t="str">
        <f>IF(DATA!C49="","",DATA!C49)</f>
        <v/>
      </c>
      <c r="D50" s="97" t="str">
        <f>IF(DATA!D49="","",DATA!D49)</f>
        <v/>
      </c>
      <c r="E50" s="303" t="str">
        <f>IF(DATA!E49="","",UPPER(DATA!E49))</f>
        <v/>
      </c>
      <c r="F50" s="303" t="str">
        <f>IF(DATA!F49="","",UPPER(DATA!F49))</f>
        <v/>
      </c>
      <c r="G50" s="326"/>
      <c r="H50" s="327"/>
      <c r="I50" s="322"/>
    </row>
    <row r="51" spans="1:9" ht="50.4" customHeight="1" thickBot="1" x14ac:dyDescent="0.35">
      <c r="A51" s="7"/>
      <c r="B51" s="1104" t="s">
        <v>263</v>
      </c>
      <c r="C51" s="1105"/>
      <c r="D51" s="1105"/>
      <c r="E51" s="1105"/>
      <c r="F51" s="1105"/>
      <c r="G51" s="1105"/>
      <c r="H51" s="1106"/>
      <c r="I51" s="322"/>
    </row>
    <row r="52" spans="1:9" ht="14.4" x14ac:dyDescent="0.3">
      <c r="A52" s="7"/>
      <c r="B52" s="44"/>
      <c r="C52" s="44"/>
      <c r="D52" s="44"/>
      <c r="E52" s="44"/>
      <c r="F52" s="44"/>
      <c r="G52" s="44"/>
      <c r="H52" s="44"/>
    </row>
    <row r="53" spans="1:9" ht="14.4" hidden="1" x14ac:dyDescent="0.3"/>
  </sheetData>
  <sheetProtection algorithmName="SHA-512" hashValue="uyYINkubYDTGVKII6BL+XWGhdpN5funJr69Yh1Zto0YSRLRR1DWRrTEXVI9XdgnE3Y8VJFayl1s+jUicRYQYbA==" saltValue="SpCWkAew7bMm5RwNcL3GUA==" spinCount="100000" sheet="1" objects="1" scenarios="1" formatColumns="0" formatRows="0"/>
  <mergeCells count="5">
    <mergeCell ref="B2:H2"/>
    <mergeCell ref="B3:H3"/>
    <mergeCell ref="F4:H4"/>
    <mergeCell ref="B51:E51"/>
    <mergeCell ref="F51:H51"/>
  </mergeCells>
  <printOptions horizontalCentered="1"/>
  <pageMargins left="0.46" right="0.2" top="0.6" bottom="0.33" header="0.3" footer="0.3"/>
  <pageSetup paperSize="9" scale="53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O28"/>
  <sheetViews>
    <sheetView view="pageBreakPreview" zoomScale="80" zoomScaleNormal="100" zoomScaleSheetLayoutView="80" workbookViewId="0">
      <selection activeCell="L4" sqref="L4"/>
    </sheetView>
  </sheetViews>
  <sheetFormatPr defaultColWidth="0" defaultRowHeight="14.4" zeroHeight="1" x14ac:dyDescent="0.3"/>
  <cols>
    <col min="1" max="1" width="5.33203125" style="8" customWidth="1"/>
    <col min="2" max="2" width="27.21875" style="43" customWidth="1"/>
    <col min="3" max="10" width="21.6640625" style="43" customWidth="1"/>
    <col min="11" max="11" width="21.5546875" style="43" customWidth="1"/>
    <col min="12" max="12" width="6.44140625" style="8" customWidth="1"/>
    <col min="13" max="16384" width="9.109375" style="8" hidden="1"/>
  </cols>
  <sheetData>
    <row r="1" spans="1:15" s="7" customFormat="1" ht="24.75" customHeight="1" x14ac:dyDescent="0.3">
      <c r="A1" s="14" t="s">
        <v>24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5" s="7" customFormat="1" ht="54" customHeight="1" x14ac:dyDescent="0.3">
      <c r="B2" s="741" t="str">
        <f>"SWAMI VIVEKANAND GOVT. MODEL SCHOOL,"&amp;DASHBOARD!C3</f>
        <v>SWAMI VIVEKANAND GOVT. MODEL SCHOOL,XXXX,  BLOCK-XXXX (RAJSAMAND)</v>
      </c>
      <c r="C2" s="741"/>
      <c r="D2" s="741"/>
      <c r="E2" s="741"/>
      <c r="F2" s="741"/>
      <c r="G2" s="741"/>
      <c r="H2" s="741"/>
      <c r="I2" s="741"/>
      <c r="J2" s="741"/>
      <c r="K2" s="741"/>
      <c r="L2" s="15"/>
      <c r="M2" s="15"/>
      <c r="N2" s="15"/>
      <c r="O2" s="15"/>
    </row>
    <row r="3" spans="1:15" s="7" customFormat="1" ht="25.5" customHeight="1" x14ac:dyDescent="0.3">
      <c r="B3" s="741" t="str">
        <f>IF(DASHBOARD!B4="","",DASHBOARD!B4)</f>
        <v>SESSION  -  2025-26</v>
      </c>
      <c r="C3" s="741"/>
      <c r="D3" s="741"/>
      <c r="E3" s="741"/>
      <c r="F3" s="741"/>
      <c r="G3" s="741"/>
      <c r="H3" s="741"/>
      <c r="I3" s="741"/>
      <c r="J3" s="741"/>
      <c r="K3" s="741"/>
      <c r="L3" s="15"/>
      <c r="M3" s="15"/>
      <c r="N3" s="15"/>
      <c r="O3" s="15"/>
    </row>
    <row r="4" spans="1:15" s="7" customFormat="1" ht="28.2" thickBot="1" x14ac:dyDescent="0.5">
      <c r="B4" s="1107" t="s">
        <v>74</v>
      </c>
      <c r="C4" s="1107"/>
      <c r="D4" s="1107"/>
      <c r="E4" s="1107"/>
      <c r="F4" s="1107"/>
      <c r="G4" s="1107"/>
      <c r="H4" s="1107"/>
      <c r="I4" s="1107"/>
      <c r="J4" s="1107"/>
      <c r="K4" s="1107"/>
    </row>
    <row r="5" spans="1:15" s="7" customFormat="1" ht="34.5" customHeight="1" x14ac:dyDescent="0.3">
      <c r="B5" s="1108" t="s">
        <v>75</v>
      </c>
      <c r="C5" s="72" t="str">
        <f>IF(DASHBOARD!$D$12="","",DASHBOARD!$D$12)</f>
        <v>XXXXX</v>
      </c>
      <c r="D5" s="72" t="str">
        <f>IF(DASHBOARD!$D$13="","",DASHBOARD!$D$13)</f>
        <v>XXXXX</v>
      </c>
      <c r="E5" s="72" t="str">
        <f>IF(DASHBOARD!$D$14="","",DASHBOARD!$D$14)</f>
        <v>XXXXX</v>
      </c>
      <c r="F5" s="72" t="str">
        <f>IF(DASHBOARD!$D$15="","",DASHBOARD!$D$15)</f>
        <v>XXXXX</v>
      </c>
      <c r="G5" s="72" t="str">
        <f>IF(DASHBOARD!$D$16="","",DASHBOARD!$D$16)</f>
        <v>XXXXX</v>
      </c>
      <c r="H5" s="72" t="str">
        <f>IF(DASHBOARD!$D$17="","",DASHBOARD!$D$17)</f>
        <v>XXXXX</v>
      </c>
      <c r="I5" s="72" t="str">
        <f>IF(DASHBOARD!$D$20="","",DASHBOARD!$D$20)</f>
        <v>XXXXX</v>
      </c>
      <c r="J5" s="72" t="str">
        <f>IF(DASHBOARD!$D$21="","",DASHBOARD!$D$21)</f>
        <v>XXXXX</v>
      </c>
      <c r="K5" s="72" t="str">
        <f>IF(DASHBOARD!$D$22="","",DASHBOARD!$D$22)</f>
        <v>XXXXX</v>
      </c>
    </row>
    <row r="6" spans="1:15" s="517" customFormat="1" ht="45" customHeight="1" x14ac:dyDescent="0.3">
      <c r="B6" s="1109"/>
      <c r="C6" s="97" t="str">
        <f>DASHBOARD!B12</f>
        <v>ENGLISH</v>
      </c>
      <c r="D6" s="97" t="str">
        <f>DASHBOARD!C13</f>
        <v>HINDI</v>
      </c>
      <c r="E6" s="97" t="str">
        <f>DASHBOARD!C14</f>
        <v>SANSKRIT</v>
      </c>
      <c r="F6" s="97" t="str">
        <f>DASHBOARD!B15</f>
        <v>MATHS</v>
      </c>
      <c r="G6" s="97" t="str">
        <f>DASHBOARD!B16</f>
        <v>SCIENCE</v>
      </c>
      <c r="H6" s="96" t="str">
        <f>DASHBOARD!B17</f>
        <v>SOCIAL SCIENCE</v>
      </c>
      <c r="I6" s="96" t="str">
        <f>DASHBOARD!B20</f>
        <v>BEAUTY &amp; WELLNESS</v>
      </c>
      <c r="J6" s="96" t="str">
        <f>DASHBOARD!B21</f>
        <v>IT</v>
      </c>
      <c r="K6" s="96" t="str">
        <f>DASHBOARD!B22</f>
        <v>APPAREL MADE-UPS HOME FURNISHING</v>
      </c>
    </row>
    <row r="7" spans="1:15" s="7" customFormat="1" ht="20.399999999999999" x14ac:dyDescent="0.3">
      <c r="B7" s="73" t="s">
        <v>58</v>
      </c>
      <c r="C7" s="58">
        <f>IF('GREEN SHEET'!AB52="","",'GREEN SHEET'!AB52)</f>
        <v>2</v>
      </c>
      <c r="D7" s="58">
        <f>IF('GREEN SHEET'!AX52="","",'GREEN SHEET'!AX52)</f>
        <v>1</v>
      </c>
      <c r="E7" s="58">
        <f>IF('GREEN SHEET'!AX72="","",'GREEN SHEET'!AX72)</f>
        <v>1</v>
      </c>
      <c r="F7" s="58">
        <f>IF('GREEN SHEET'!BS52="","",'GREEN SHEET'!BS52)</f>
        <v>2</v>
      </c>
      <c r="G7" s="58">
        <f>IF('GREEN SHEET'!CN52="","",'GREEN SHEET'!CN52)</f>
        <v>2</v>
      </c>
      <c r="H7" s="58">
        <f>IF('GREEN SHEET'!DI52="","",'GREEN SHEET'!DI52)</f>
        <v>2</v>
      </c>
      <c r="I7" s="58">
        <f>IF('GREEN SHEET'!DT52="","",'GREEN SHEET'!DT52)</f>
        <v>1</v>
      </c>
      <c r="J7" s="58">
        <f>IF('GREEN SHEET'!DT72="","",'GREEN SHEET'!DT72)</f>
        <v>1</v>
      </c>
      <c r="K7" s="58">
        <f>IF('GREEN SHEET'!DT92="","",'GREEN SHEET'!DT92)</f>
        <v>0</v>
      </c>
    </row>
    <row r="8" spans="1:15" s="7" customFormat="1" ht="20.399999999999999" x14ac:dyDescent="0.3">
      <c r="B8" s="74" t="s">
        <v>59</v>
      </c>
      <c r="C8" s="58">
        <f>IF('GREEN SHEET'!AB53="","",'GREEN SHEET'!AB53)</f>
        <v>2</v>
      </c>
      <c r="D8" s="58">
        <f>IF('GREEN SHEET'!AX53="","",'GREEN SHEET'!AX53)</f>
        <v>1</v>
      </c>
      <c r="E8" s="58">
        <f>IF('GREEN SHEET'!AX73="","",'GREEN SHEET'!AX73)</f>
        <v>1</v>
      </c>
      <c r="F8" s="58">
        <f>IF('GREEN SHEET'!BS53="","",'GREEN SHEET'!BS53)</f>
        <v>2</v>
      </c>
      <c r="G8" s="58">
        <f>IF('GREEN SHEET'!CN53="","",'GREEN SHEET'!CN53)</f>
        <v>1</v>
      </c>
      <c r="H8" s="58">
        <f>IF('GREEN SHEET'!DI53="","",'GREEN SHEET'!DI53)</f>
        <v>1</v>
      </c>
      <c r="I8" s="58">
        <f>IF('GREEN SHEET'!DT53="","",'GREEN SHEET'!DT53)</f>
        <v>1</v>
      </c>
      <c r="J8" s="58">
        <f>IF('GREEN SHEET'!DT73="","",'GREEN SHEET'!DT73)</f>
        <v>0</v>
      </c>
      <c r="K8" s="58">
        <f>IF('GREEN SHEET'!DT93="","",'GREEN SHEET'!DT93)</f>
        <v>0</v>
      </c>
    </row>
    <row r="9" spans="1:15" s="7" customFormat="1" ht="20.399999999999999" x14ac:dyDescent="0.3">
      <c r="B9" s="74" t="s">
        <v>60</v>
      </c>
      <c r="C9" s="58">
        <f>IF('GREEN SHEET'!AB54="","",'GREEN SHEET'!AB54)</f>
        <v>0</v>
      </c>
      <c r="D9" s="58">
        <f>IF('GREEN SHEET'!AX54="","",'GREEN SHEET'!AX54)</f>
        <v>0</v>
      </c>
      <c r="E9" s="58">
        <f>IF('GREEN SHEET'!AX74="","",'GREEN SHEET'!AX74)</f>
        <v>0</v>
      </c>
      <c r="F9" s="58">
        <f>IF('GREEN SHEET'!BS54="","",'GREEN SHEET'!BS54)</f>
        <v>0</v>
      </c>
      <c r="G9" s="58">
        <f>IF('GREEN SHEET'!CN54="","",'GREEN SHEET'!CN54)</f>
        <v>1</v>
      </c>
      <c r="H9" s="58">
        <f>IF('GREEN SHEET'!DI54="","",'GREEN SHEET'!DI54)</f>
        <v>1</v>
      </c>
      <c r="I9" s="58">
        <f>IF('GREEN SHEET'!DT54="","",'GREEN SHEET'!DT54)</f>
        <v>0</v>
      </c>
      <c r="J9" s="58">
        <f>IF('GREEN SHEET'!DT74="","",'GREEN SHEET'!DT74)</f>
        <v>1</v>
      </c>
      <c r="K9" s="58">
        <f>IF('GREEN SHEET'!DT94="","",'GREEN SHEET'!DT94)</f>
        <v>0</v>
      </c>
    </row>
    <row r="10" spans="1:15" s="7" customFormat="1" ht="21" thickBot="1" x14ac:dyDescent="0.35">
      <c r="B10" s="75" t="s">
        <v>61</v>
      </c>
      <c r="C10" s="275">
        <f>IFERROR((C8/C7),"N/A")</f>
        <v>1</v>
      </c>
      <c r="D10" s="275">
        <f t="shared" ref="D10:K10" si="0">IFERROR((D8/D7),"N/A")</f>
        <v>1</v>
      </c>
      <c r="E10" s="275">
        <f t="shared" si="0"/>
        <v>1</v>
      </c>
      <c r="F10" s="275">
        <f t="shared" si="0"/>
        <v>1</v>
      </c>
      <c r="G10" s="275">
        <f t="shared" si="0"/>
        <v>0.5</v>
      </c>
      <c r="H10" s="275">
        <f t="shared" si="0"/>
        <v>0.5</v>
      </c>
      <c r="I10" s="275">
        <f t="shared" si="0"/>
        <v>1</v>
      </c>
      <c r="J10" s="275">
        <f t="shared" si="0"/>
        <v>0</v>
      </c>
      <c r="K10" s="275" t="str">
        <f t="shared" si="0"/>
        <v>N/A</v>
      </c>
    </row>
    <row r="11" spans="1:15" s="7" customFormat="1" ht="21" thickBot="1" x14ac:dyDescent="0.35">
      <c r="B11" s="1110"/>
      <c r="C11" s="1110"/>
      <c r="D11" s="1110"/>
      <c r="E11" s="1110"/>
      <c r="F11" s="1110"/>
      <c r="G11" s="1110"/>
      <c r="H11" s="1110"/>
      <c r="I11" s="1110"/>
      <c r="J11" s="1110"/>
      <c r="K11" s="1110"/>
    </row>
    <row r="12" spans="1:15" s="7" customFormat="1" ht="20.399999999999999" x14ac:dyDescent="0.3">
      <c r="B12" s="76" t="s">
        <v>64</v>
      </c>
      <c r="C12" s="77">
        <f>IF('GREEN SHEET'!AB57="","",'GREEN SHEET'!AB57)</f>
        <v>0</v>
      </c>
      <c r="D12" s="77">
        <f>IF('GREEN SHEET'!AX57="","",'GREEN SHEET'!AX57)</f>
        <v>0</v>
      </c>
      <c r="E12" s="77">
        <f>IF('GREEN SHEET'!AX77="","",'GREEN SHEET'!AX77)</f>
        <v>0</v>
      </c>
      <c r="F12" s="77">
        <f>IF('GREEN SHEET'!BS57="","",'GREEN SHEET'!BS57)</f>
        <v>0</v>
      </c>
      <c r="G12" s="77">
        <f>IF('GREEN SHEET'!CN57="","",'GREEN SHEET'!CN57)</f>
        <v>1</v>
      </c>
      <c r="H12" s="77">
        <f>IF('GREEN SHEET'!DI57="","",'GREEN SHEET'!DI57)</f>
        <v>1</v>
      </c>
      <c r="I12" s="77">
        <f>IF('GREEN SHEET'!DT57="","",'GREEN SHEET'!DT57)</f>
        <v>0</v>
      </c>
      <c r="J12" s="77">
        <f>IF('GREEN SHEET'!DT77="","",'GREEN SHEET'!DT77)</f>
        <v>1</v>
      </c>
      <c r="K12" s="77">
        <f>IF('GREEN SHEET'!DT97="","",'GREEN SHEET'!DT97)</f>
        <v>0</v>
      </c>
    </row>
    <row r="13" spans="1:15" s="7" customFormat="1" ht="20.399999999999999" x14ac:dyDescent="0.3">
      <c r="B13" s="74" t="s">
        <v>65</v>
      </c>
      <c r="C13" s="58">
        <f>IF('GREEN SHEET'!AB58="","",'GREEN SHEET'!AB58)</f>
        <v>0</v>
      </c>
      <c r="D13" s="58">
        <f>IF('GREEN SHEET'!AX58="","",'GREEN SHEET'!AX58)</f>
        <v>0</v>
      </c>
      <c r="E13" s="58">
        <f>IF('GREEN SHEET'!AX78="","",'GREEN SHEET'!AX78)</f>
        <v>0</v>
      </c>
      <c r="F13" s="58">
        <f>IF('GREEN SHEET'!BS58="","",'GREEN SHEET'!BS58)</f>
        <v>0</v>
      </c>
      <c r="G13" s="58">
        <f>IF('GREEN SHEET'!CN58="","",'GREEN SHEET'!CN58)</f>
        <v>1</v>
      </c>
      <c r="H13" s="58">
        <f>IF('GREEN SHEET'!DI58="","",'GREEN SHEET'!DI58)</f>
        <v>0</v>
      </c>
      <c r="I13" s="58">
        <f>IF('GREEN SHEET'!DT58="","",'GREEN SHEET'!DT58)</f>
        <v>0</v>
      </c>
      <c r="J13" s="58">
        <f>IF('GREEN SHEET'!DT78="","",'GREEN SHEET'!DT78)</f>
        <v>0</v>
      </c>
      <c r="K13" s="58">
        <f>IF('GREEN SHEET'!DT98="","",'GREEN SHEET'!DT98)</f>
        <v>0</v>
      </c>
    </row>
    <row r="14" spans="1:15" s="7" customFormat="1" ht="20.399999999999999" x14ac:dyDescent="0.3">
      <c r="B14" s="74" t="s">
        <v>54</v>
      </c>
      <c r="C14" s="58">
        <f>IF('GREEN SHEET'!AB59="","",'GREEN SHEET'!AB59)</f>
        <v>0</v>
      </c>
      <c r="D14" s="58">
        <f>IF('GREEN SHEET'!AX59="","",'GREEN SHEET'!AX59)</f>
        <v>1</v>
      </c>
      <c r="E14" s="58">
        <f>IF('GREEN SHEET'!AX79="","",'GREEN SHEET'!AX79)</f>
        <v>0</v>
      </c>
      <c r="F14" s="58">
        <f>IF('GREEN SHEET'!BS59="","",'GREEN SHEET'!BS59)</f>
        <v>0</v>
      </c>
      <c r="G14" s="58">
        <f>IF('GREEN SHEET'!CN59="","",'GREEN SHEET'!CN59)</f>
        <v>0</v>
      </c>
      <c r="H14" s="58">
        <f>IF('GREEN SHEET'!DI59="","",'GREEN SHEET'!DI59)</f>
        <v>0</v>
      </c>
      <c r="I14" s="58">
        <f>IF('GREEN SHEET'!DT59="","",'GREEN SHEET'!DT59)</f>
        <v>0</v>
      </c>
      <c r="J14" s="58">
        <f>IF('GREEN SHEET'!DT79="","",'GREEN SHEET'!DT79)</f>
        <v>0</v>
      </c>
      <c r="K14" s="58">
        <f>IF('GREEN SHEET'!DT99="","",'GREEN SHEET'!DT99)</f>
        <v>0</v>
      </c>
    </row>
    <row r="15" spans="1:15" s="7" customFormat="1" ht="20.399999999999999" x14ac:dyDescent="0.3">
      <c r="B15" s="74" t="s">
        <v>66</v>
      </c>
      <c r="C15" s="58">
        <f>IF('GREEN SHEET'!AB60="","",'GREEN SHEET'!AB60)</f>
        <v>0</v>
      </c>
      <c r="D15" s="58">
        <f>IF('GREEN SHEET'!AX60="","",'GREEN SHEET'!AX60)</f>
        <v>0</v>
      </c>
      <c r="E15" s="58">
        <f>IF('GREEN SHEET'!AX80="","",'GREEN SHEET'!AX80)</f>
        <v>0</v>
      </c>
      <c r="F15" s="58">
        <f>IF('GREEN SHEET'!BS60="","",'GREEN SHEET'!BS60)</f>
        <v>0</v>
      </c>
      <c r="G15" s="58">
        <f>IF('GREEN SHEET'!CN60="","",'GREEN SHEET'!CN60)</f>
        <v>0</v>
      </c>
      <c r="H15" s="58">
        <f>IF('GREEN SHEET'!DI60="","",'GREEN SHEET'!DI60)</f>
        <v>0</v>
      </c>
      <c r="I15" s="58">
        <f>IF('GREEN SHEET'!DT60="","",'GREEN SHEET'!DT60)</f>
        <v>1</v>
      </c>
      <c r="J15" s="58">
        <f>IF('GREEN SHEET'!DT80="","",'GREEN SHEET'!DT80)</f>
        <v>0</v>
      </c>
      <c r="K15" s="58">
        <f>IF('GREEN SHEET'!DT100="","",'GREEN SHEET'!DT100)</f>
        <v>0</v>
      </c>
    </row>
    <row r="16" spans="1:15" s="7" customFormat="1" ht="20.399999999999999" x14ac:dyDescent="0.3">
      <c r="B16" s="74" t="s">
        <v>67</v>
      </c>
      <c r="C16" s="58">
        <f>IF('GREEN SHEET'!AB61="","",'GREEN SHEET'!AB61)</f>
        <v>2</v>
      </c>
      <c r="D16" s="58">
        <f>IF('GREEN SHEET'!AX61="","",'GREEN SHEET'!AX61)</f>
        <v>0</v>
      </c>
      <c r="E16" s="58">
        <f>IF('GREEN SHEET'!AX81="","",'GREEN SHEET'!AX81)</f>
        <v>1</v>
      </c>
      <c r="F16" s="58">
        <f>IF('GREEN SHEET'!BS61="","",'GREEN SHEET'!BS61)</f>
        <v>2</v>
      </c>
      <c r="G16" s="58">
        <f>IF('GREEN SHEET'!CN61="","",'GREEN SHEET'!CN61)</f>
        <v>0</v>
      </c>
      <c r="H16" s="58">
        <f>IF('GREEN SHEET'!DI61="","",'GREEN SHEET'!DI61)</f>
        <v>1</v>
      </c>
      <c r="I16" s="58">
        <f>IF('GREEN SHEET'!DT61="","",'GREEN SHEET'!DT61)</f>
        <v>0</v>
      </c>
      <c r="J16" s="58">
        <f>IF('GREEN SHEET'!DT81="","",'GREEN SHEET'!DT81)</f>
        <v>0</v>
      </c>
      <c r="K16" s="58">
        <f>IF('GREEN SHEET'!DT101="","",'GREEN SHEET'!DT101)</f>
        <v>0</v>
      </c>
    </row>
    <row r="17" spans="2:11" s="7" customFormat="1" ht="20.399999999999999" x14ac:dyDescent="0.3">
      <c r="B17" s="74" t="s">
        <v>68</v>
      </c>
      <c r="C17" s="58">
        <f>IF('GREEN SHEET'!AB62="","",'GREEN SHEET'!AB62)</f>
        <v>0</v>
      </c>
      <c r="D17" s="58">
        <f>IF('GREEN SHEET'!AX62="","",'GREEN SHEET'!AX62)</f>
        <v>0</v>
      </c>
      <c r="E17" s="58">
        <f>IF('GREEN SHEET'!AX82="","",'GREEN SHEET'!AX82)</f>
        <v>0</v>
      </c>
      <c r="F17" s="58">
        <f>IF('GREEN SHEET'!BS62="","",'GREEN SHEET'!BS62)</f>
        <v>0</v>
      </c>
      <c r="G17" s="58">
        <f>IF('GREEN SHEET'!CN62="","",'GREEN SHEET'!CN62)</f>
        <v>0</v>
      </c>
      <c r="H17" s="58">
        <f>IF('GREEN SHEET'!DI62="","",'GREEN SHEET'!DI62)</f>
        <v>0</v>
      </c>
      <c r="I17" s="58">
        <f>IF('GREEN SHEET'!DT62="","",'GREEN SHEET'!DT62)</f>
        <v>0</v>
      </c>
      <c r="J17" s="58">
        <f>IF('GREEN SHEET'!DT82="","",'GREEN SHEET'!DT82)</f>
        <v>0</v>
      </c>
      <c r="K17" s="58">
        <f>IF('GREEN SHEET'!DT102="","",'GREEN SHEET'!DT102)</f>
        <v>0</v>
      </c>
    </row>
    <row r="18" spans="2:11" s="7" customFormat="1" ht="20.399999999999999" x14ac:dyDescent="0.3">
      <c r="B18" s="74" t="s">
        <v>46</v>
      </c>
      <c r="C18" s="58">
        <f>IF('GREEN SHEET'!AB63="","",'GREEN SHEET'!AB63)</f>
        <v>0</v>
      </c>
      <c r="D18" s="58">
        <f>IF('GREEN SHEET'!AX63="","",'GREEN SHEET'!AX63)</f>
        <v>0</v>
      </c>
      <c r="E18" s="58">
        <f>IF('GREEN SHEET'!AX83="","",'GREEN SHEET'!AX83)</f>
        <v>0</v>
      </c>
      <c r="F18" s="58">
        <f>IF('GREEN SHEET'!BS63="","",'GREEN SHEET'!BS63)</f>
        <v>0</v>
      </c>
      <c r="G18" s="58">
        <f>IF('GREEN SHEET'!CN63="","",'GREEN SHEET'!CN63)</f>
        <v>0</v>
      </c>
      <c r="H18" s="58">
        <f>IF('GREEN SHEET'!DI63="","",'GREEN SHEET'!DI63)</f>
        <v>0</v>
      </c>
      <c r="I18" s="58">
        <f>IF('GREEN SHEET'!DT63="","",'GREEN SHEET'!DT63)</f>
        <v>0</v>
      </c>
      <c r="J18" s="58">
        <f>IF('GREEN SHEET'!DT83="","",'GREEN SHEET'!DT83)</f>
        <v>0</v>
      </c>
      <c r="K18" s="58">
        <f>IF('GREEN SHEET'!DT103="","",'GREEN SHEET'!DT103)</f>
        <v>0</v>
      </c>
    </row>
    <row r="19" spans="2:11" s="7" customFormat="1" ht="20.399999999999999" x14ac:dyDescent="0.3">
      <c r="B19" s="74" t="s">
        <v>44</v>
      </c>
      <c r="C19" s="58">
        <f>IF('GREEN SHEET'!AB64="","",'GREEN SHEET'!AB64)</f>
        <v>0</v>
      </c>
      <c r="D19" s="58">
        <f>IF('GREEN SHEET'!AX64="","",'GREEN SHEET'!AX64)</f>
        <v>0</v>
      </c>
      <c r="E19" s="58">
        <f>IF('GREEN SHEET'!AX84="","",'GREEN SHEET'!AX84)</f>
        <v>0</v>
      </c>
      <c r="F19" s="58">
        <f>IF('GREEN SHEET'!BS64="","",'GREEN SHEET'!BS64)</f>
        <v>0</v>
      </c>
      <c r="G19" s="58">
        <f>IF('GREEN SHEET'!CN64="","",'GREEN SHEET'!CN64)</f>
        <v>0</v>
      </c>
      <c r="H19" s="58">
        <f>IF('GREEN SHEET'!DI64="","",'GREEN SHEET'!DI64)</f>
        <v>0</v>
      </c>
      <c r="I19" s="58">
        <f>IF('GREEN SHEET'!DT64="","",'GREEN SHEET'!DT64)</f>
        <v>0</v>
      </c>
      <c r="J19" s="58">
        <f>IF('GREEN SHEET'!DT84="","",'GREEN SHEET'!DT84)</f>
        <v>0</v>
      </c>
      <c r="K19" s="58">
        <f>IF('GREEN SHEET'!DT104="","",'GREEN SHEET'!DT104)</f>
        <v>0</v>
      </c>
    </row>
    <row r="20" spans="2:11" s="7" customFormat="1" ht="21" thickBot="1" x14ac:dyDescent="0.35">
      <c r="B20" s="75" t="s">
        <v>57</v>
      </c>
      <c r="C20" s="78">
        <f>SUM(C12:C19)</f>
        <v>2</v>
      </c>
      <c r="D20" s="78">
        <f t="shared" ref="D20:K20" si="1">SUM(D12:D19)</f>
        <v>1</v>
      </c>
      <c r="E20" s="78">
        <f t="shared" si="1"/>
        <v>1</v>
      </c>
      <c r="F20" s="78">
        <f t="shared" si="1"/>
        <v>2</v>
      </c>
      <c r="G20" s="78">
        <f t="shared" si="1"/>
        <v>2</v>
      </c>
      <c r="H20" s="78">
        <f t="shared" si="1"/>
        <v>2</v>
      </c>
      <c r="I20" s="78">
        <f t="shared" si="1"/>
        <v>1</v>
      </c>
      <c r="J20" s="78">
        <f t="shared" si="1"/>
        <v>1</v>
      </c>
      <c r="K20" s="78">
        <f t="shared" si="1"/>
        <v>0</v>
      </c>
    </row>
    <row r="21" spans="2:11" s="7" customFormat="1" ht="21" thickBot="1" x14ac:dyDescent="0.35">
      <c r="B21" s="1110"/>
      <c r="C21" s="1110"/>
      <c r="D21" s="1110"/>
      <c r="E21" s="1110"/>
      <c r="F21" s="1110"/>
      <c r="G21" s="1110"/>
      <c r="H21" s="1110"/>
      <c r="I21" s="1110"/>
      <c r="J21" s="1110"/>
      <c r="K21" s="1110"/>
    </row>
    <row r="22" spans="2:11" s="7" customFormat="1" ht="20.399999999999999" x14ac:dyDescent="0.3">
      <c r="B22" s="76" t="s">
        <v>70</v>
      </c>
      <c r="C22" s="77">
        <f>IF('GREEN SHEET'!AB66="","",'GREEN SHEET'!AB66)</f>
        <v>2</v>
      </c>
      <c r="D22" s="77">
        <f>IF('GREEN SHEET'!AX66="","",'GREEN SHEET'!AX66)</f>
        <v>0</v>
      </c>
      <c r="E22" s="77">
        <f>IF('GREEN SHEET'!AX86="","",'GREEN SHEET'!AX86)</f>
        <v>1</v>
      </c>
      <c r="F22" s="77">
        <f>IF('GREEN SHEET'!BS66="","",'GREEN SHEET'!BS66)</f>
        <v>2</v>
      </c>
      <c r="G22" s="77">
        <f>IF('GREEN SHEET'!CN66="","",'GREEN SHEET'!CN66)</f>
        <v>0</v>
      </c>
      <c r="H22" s="77">
        <f>IF('GREEN SHEET'!DI66="","",'GREEN SHEET'!DI66)</f>
        <v>1</v>
      </c>
      <c r="I22" s="77">
        <f>IF('GREEN SHEET'!DT66="","",'GREEN SHEET'!DT66)</f>
        <v>0</v>
      </c>
      <c r="J22" s="77">
        <f>IF('GREEN SHEET'!DT86="","",'GREEN SHEET'!DT86)</f>
        <v>0</v>
      </c>
      <c r="K22" s="77">
        <f>IF('GREEN SHEET'!DT106="","",'GREEN SHEET'!DT106)</f>
        <v>0</v>
      </c>
    </row>
    <row r="23" spans="2:11" s="7" customFormat="1" ht="20.399999999999999" x14ac:dyDescent="0.3">
      <c r="B23" s="74" t="s">
        <v>71</v>
      </c>
      <c r="C23" s="58">
        <f>IF('GREEN SHEET'!AB67="","",'GREEN SHEET'!AB67)</f>
        <v>0</v>
      </c>
      <c r="D23" s="58">
        <f>IF('GREEN SHEET'!AX67="","",'GREEN SHEET'!AX67)</f>
        <v>0</v>
      </c>
      <c r="E23" s="58">
        <f>IF('GREEN SHEET'!AX87="","",'GREEN SHEET'!AX87)</f>
        <v>0</v>
      </c>
      <c r="F23" s="58">
        <f>IF('GREEN SHEET'!BS67="","",'GREEN SHEET'!BS67)</f>
        <v>0</v>
      </c>
      <c r="G23" s="58">
        <f>IF('GREEN SHEET'!CN67="","",'GREEN SHEET'!CN67)</f>
        <v>0</v>
      </c>
      <c r="H23" s="58">
        <f>IF('GREEN SHEET'!DI67="","",'GREEN SHEET'!DI67)</f>
        <v>0</v>
      </c>
      <c r="I23" s="58">
        <f>IF('GREEN SHEET'!DT67="","",'GREEN SHEET'!DT67)</f>
        <v>1</v>
      </c>
      <c r="J23" s="58">
        <f>IF('GREEN SHEET'!DT67="","",'GREEN SHEET'!DT67)</f>
        <v>1</v>
      </c>
      <c r="K23" s="58">
        <f>IF('GREEN SHEET'!DT107="","",'GREEN SHEET'!DT107)</f>
        <v>0</v>
      </c>
    </row>
    <row r="24" spans="2:11" s="7" customFormat="1" ht="20.399999999999999" x14ac:dyDescent="0.3">
      <c r="B24" s="74" t="s">
        <v>72</v>
      </c>
      <c r="C24" s="58">
        <f>IF('GREEN SHEET'!AB68="","",'GREEN SHEET'!AB68)</f>
        <v>0</v>
      </c>
      <c r="D24" s="58">
        <f>IF('GREEN SHEET'!AX68="","",'GREEN SHEET'!AX68)</f>
        <v>1</v>
      </c>
      <c r="E24" s="58">
        <f>IF('GREEN SHEET'!AX88="","",'GREEN SHEET'!AX88)</f>
        <v>0</v>
      </c>
      <c r="F24" s="58">
        <f>IF('GREEN SHEET'!BS68="","",'GREEN SHEET'!BS68)</f>
        <v>0</v>
      </c>
      <c r="G24" s="58">
        <f>IF('GREEN SHEET'!CN68="","",'GREEN SHEET'!CN68)</f>
        <v>1</v>
      </c>
      <c r="H24" s="58">
        <f>IF('GREEN SHEET'!DI68="","",'GREEN SHEET'!DI68)</f>
        <v>0</v>
      </c>
      <c r="I24" s="58">
        <f>IF('GREEN SHEET'!DT68="","",'GREEN SHEET'!DT68)</f>
        <v>0</v>
      </c>
      <c r="J24" s="58">
        <f>IF('GREEN SHEET'!DT68="","",'GREEN SHEET'!DT68)</f>
        <v>0</v>
      </c>
      <c r="K24" s="58">
        <f>IF('GREEN SHEET'!DT108="","",'GREEN SHEET'!DT108)</f>
        <v>0</v>
      </c>
    </row>
    <row r="25" spans="2:11" s="7" customFormat="1" ht="20.399999999999999" x14ac:dyDescent="0.3">
      <c r="B25" s="74" t="s">
        <v>73</v>
      </c>
      <c r="C25" s="58">
        <f>IF('GREEN SHEET'!AB69="","",'GREEN SHEET'!AB69)</f>
        <v>0</v>
      </c>
      <c r="D25" s="58">
        <f>IF('GREEN SHEET'!AX69="","",'GREEN SHEET'!AX69)</f>
        <v>0</v>
      </c>
      <c r="E25" s="58">
        <f>IF('GREEN SHEET'!AX89="","",'GREEN SHEET'!AX89)</f>
        <v>0</v>
      </c>
      <c r="F25" s="58">
        <f>IF('GREEN SHEET'!BS69="","",'GREEN SHEET'!BS69)</f>
        <v>0</v>
      </c>
      <c r="G25" s="58">
        <f>IF('GREEN SHEET'!CN69="","",'GREEN SHEET'!CN69)</f>
        <v>1</v>
      </c>
      <c r="H25" s="58">
        <f>IF('GREEN SHEET'!DI69="","",'GREEN SHEET'!DI69)</f>
        <v>1</v>
      </c>
      <c r="I25" s="58">
        <f>IF('GREEN SHEET'!DT69="","",'GREEN SHEET'!DT69)</f>
        <v>0</v>
      </c>
      <c r="J25" s="58">
        <f>IF('GREEN SHEET'!DT69="","",'GREEN SHEET'!DT69)</f>
        <v>0</v>
      </c>
      <c r="K25" s="58">
        <f>IF('GREEN SHEET'!DT109="","",'GREEN SHEET'!DT109)</f>
        <v>0</v>
      </c>
    </row>
    <row r="26" spans="2:11" s="7" customFormat="1" ht="21" thickBot="1" x14ac:dyDescent="0.35">
      <c r="B26" s="75" t="s">
        <v>57</v>
      </c>
      <c r="C26" s="78">
        <f>SUM(C22:C25)</f>
        <v>2</v>
      </c>
      <c r="D26" s="78">
        <f t="shared" ref="D26:K26" si="2">SUM(D22:D25)</f>
        <v>1</v>
      </c>
      <c r="E26" s="78">
        <f t="shared" si="2"/>
        <v>1</v>
      </c>
      <c r="F26" s="78">
        <f t="shared" si="2"/>
        <v>2</v>
      </c>
      <c r="G26" s="78">
        <f t="shared" si="2"/>
        <v>2</v>
      </c>
      <c r="H26" s="78">
        <f t="shared" si="2"/>
        <v>2</v>
      </c>
      <c r="I26" s="78">
        <f t="shared" si="2"/>
        <v>1</v>
      </c>
      <c r="J26" s="78">
        <f t="shared" si="2"/>
        <v>1</v>
      </c>
      <c r="K26" s="78">
        <f t="shared" si="2"/>
        <v>0</v>
      </c>
    </row>
    <row r="27" spans="2:11" s="7" customFormat="1" ht="21" customHeight="1" x14ac:dyDescent="0.3">
      <c r="B27" s="79"/>
      <c r="C27" s="79"/>
      <c r="D27" s="60"/>
      <c r="E27" s="60"/>
      <c r="F27" s="60"/>
      <c r="G27" s="60"/>
      <c r="H27" s="60"/>
      <c r="I27" s="60"/>
      <c r="J27" s="60"/>
      <c r="K27" s="60"/>
    </row>
    <row r="28" spans="2:11" hidden="1" x14ac:dyDescent="0.3"/>
  </sheetData>
  <sheetProtection algorithmName="SHA-512" hashValue="xgy1yxPoY1NUzCQuqhUTC1dfGfkhIQBxJ+n/TSXW1ScxzQGbG4MNJli7xx9nzinoqYiot8oWm3pKgS1YwhDtFw==" saltValue="ouIG/G0UHHqI9ogMrjpW6w==" spinCount="100000" sheet="1" objects="1" scenarios="1" formatColumns="0" formatRows="0" selectLockedCells="1"/>
  <mergeCells count="6">
    <mergeCell ref="B2:K2"/>
    <mergeCell ref="B4:K4"/>
    <mergeCell ref="B5:B6"/>
    <mergeCell ref="B11:K11"/>
    <mergeCell ref="B21:K21"/>
    <mergeCell ref="B3:K3"/>
  </mergeCells>
  <hyperlinks>
    <hyperlink ref="A1" location="DASHBOARD!A1" display="D"/>
  </hyperlinks>
  <pageMargins left="0.44" right="0.2" top="0.34" bottom="0.24" header="0.21" footer="0.3"/>
  <pageSetup paperSize="9" scale="60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R23"/>
  <sheetViews>
    <sheetView view="pageBreakPreview" zoomScale="70" zoomScaleNormal="100" zoomScaleSheetLayoutView="70" workbookViewId="0">
      <selection sqref="A1:XFD1048576"/>
    </sheetView>
  </sheetViews>
  <sheetFormatPr defaultColWidth="0" defaultRowHeight="14.4" zeroHeight="1" x14ac:dyDescent="0.3"/>
  <cols>
    <col min="1" max="1" width="5.6640625" style="8" customWidth="1"/>
    <col min="2" max="2" width="9.109375" style="8" customWidth="1"/>
    <col min="3" max="13" width="11.21875" style="8" customWidth="1"/>
    <col min="14" max="14" width="4.33203125" style="8" customWidth="1"/>
    <col min="15" max="15" width="4.5546875" style="8" hidden="1" customWidth="1"/>
    <col min="16" max="18" width="0" style="8" hidden="1" customWidth="1"/>
    <col min="19" max="16384" width="9.109375" style="8" hidden="1"/>
  </cols>
  <sheetData>
    <row r="1" spans="1:18" ht="22.8" x14ac:dyDescent="0.3">
      <c r="A1" s="7"/>
      <c r="B1" s="1117" t="s">
        <v>181</v>
      </c>
      <c r="C1" s="1117"/>
      <c r="D1" s="1117"/>
      <c r="E1" s="1117"/>
      <c r="F1" s="1117"/>
      <c r="G1" s="1117"/>
      <c r="H1" s="1117"/>
      <c r="I1" s="1117"/>
      <c r="J1" s="1117"/>
      <c r="K1" s="1117"/>
      <c r="L1" s="1117"/>
      <c r="M1" s="1117"/>
      <c r="N1" s="7"/>
    </row>
    <row r="2" spans="1:18" ht="22.8" x14ac:dyDescent="0.3">
      <c r="A2" s="7"/>
      <c r="B2" s="1117" t="str">
        <f>IF(DASHBOARD!C3="","",DASHBOARD!C3)</f>
        <v>XXXX,  BLOCK-XXXX (RAJSAMAND)</v>
      </c>
      <c r="C2" s="1117"/>
      <c r="D2" s="1117"/>
      <c r="E2" s="1117"/>
      <c r="F2" s="1117"/>
      <c r="G2" s="1117"/>
      <c r="H2" s="1117"/>
      <c r="I2" s="1117"/>
      <c r="J2" s="1117"/>
      <c r="K2" s="1117"/>
      <c r="L2" s="1117"/>
      <c r="M2" s="1117"/>
      <c r="N2" s="7"/>
    </row>
    <row r="3" spans="1:18" ht="22.5" customHeight="1" x14ac:dyDescent="0.3">
      <c r="A3" s="407"/>
      <c r="B3" s="1118" t="str">
        <f>"SCHOOL RESULT  "&amp;DASHBOARD!B4</f>
        <v>SCHOOL RESULT  SESSION  -  2025-26</v>
      </c>
      <c r="C3" s="1118"/>
      <c r="D3" s="1118"/>
      <c r="E3" s="1118"/>
      <c r="F3" s="1118"/>
      <c r="G3" s="1118"/>
      <c r="H3" s="1119" t="s">
        <v>182</v>
      </c>
      <c r="I3" s="1119"/>
      <c r="J3" s="1119"/>
      <c r="K3" s="407" t="str">
        <f>IF(DASHBOARD!B8="","",DASHBOARD!B8&amp;DASHBOARD!C8)</f>
        <v>9A</v>
      </c>
      <c r="L3" s="407" t="str">
        <f>IF(DASHBOARD!C7="","",DASHBOARD!C7)</f>
        <v/>
      </c>
      <c r="M3" s="407"/>
      <c r="N3" s="408"/>
    </row>
    <row r="4" spans="1:18" ht="27" customHeight="1" x14ac:dyDescent="0.3">
      <c r="A4" s="7"/>
      <c r="B4" s="409"/>
      <c r="C4" s="1120" t="s">
        <v>183</v>
      </c>
      <c r="D4" s="1120"/>
      <c r="E4" s="1120"/>
      <c r="F4" s="1120"/>
      <c r="G4" s="1120"/>
      <c r="H4" s="1120" t="s">
        <v>184</v>
      </c>
      <c r="I4" s="1120"/>
      <c r="J4" s="1120"/>
      <c r="K4" s="1120"/>
      <c r="L4" s="1120"/>
      <c r="M4" s="137">
        <f>'GREEN SHEET'!J61</f>
        <v>2</v>
      </c>
      <c r="N4" s="7"/>
    </row>
    <row r="5" spans="1:18" ht="27" customHeight="1" x14ac:dyDescent="0.3">
      <c r="A5" s="7"/>
      <c r="B5" s="411"/>
      <c r="C5" s="137" t="s">
        <v>166</v>
      </c>
      <c r="D5" s="137" t="s">
        <v>165</v>
      </c>
      <c r="E5" s="137" t="s">
        <v>167</v>
      </c>
      <c r="F5" s="137" t="s">
        <v>185</v>
      </c>
      <c r="G5" s="412" t="s">
        <v>57</v>
      </c>
      <c r="H5" s="137" t="s">
        <v>166</v>
      </c>
      <c r="I5" s="137" t="s">
        <v>165</v>
      </c>
      <c r="J5" s="137" t="s">
        <v>167</v>
      </c>
      <c r="K5" s="137" t="s">
        <v>185</v>
      </c>
      <c r="L5" s="412" t="s">
        <v>57</v>
      </c>
      <c r="M5" s="137" t="s">
        <v>186</v>
      </c>
      <c r="N5" s="7"/>
    </row>
    <row r="6" spans="1:18" ht="27" customHeight="1" x14ac:dyDescent="0.3">
      <c r="A6" s="1115" t="s">
        <v>105</v>
      </c>
      <c r="B6" s="137" t="s">
        <v>64</v>
      </c>
      <c r="C6" s="136">
        <f>COUNTIFS('GREEN SHEET'!$J$7:$J$51,"GEN",'GREEN SHEET'!$FZ$7:$FZ$51,"E",'GREEN SHEET'!$I$7:$I$51,"BOY")</f>
        <v>0</v>
      </c>
      <c r="D6" s="136">
        <f>COUNTIFS('GREEN SHEET'!$J$7:$J$51,"OBC",'GREEN SHEET'!$FZ$7:$FZ$51,"E",'GREEN SHEET'!$I$7:$I$51,"BOY")</f>
        <v>0</v>
      </c>
      <c r="E6" s="136">
        <f>COUNTIFS('GREEN SHEET'!$J$7:$J$51,"SC",'GREEN SHEET'!$FZ$7:$FZ$51,"E",'GREEN SHEET'!$I$7:$I$51,"BOY")</f>
        <v>0</v>
      </c>
      <c r="F6" s="136">
        <f>COUNTIFS('GREEN SHEET'!$J$7:$J$51,"ST",'GREEN SHEET'!$FZ$7:$FZ$51,"E",'GREEN SHEET'!$I$7:$I$51,"BOY")</f>
        <v>0</v>
      </c>
      <c r="G6" s="136">
        <f>SUM(C6:F6)</f>
        <v>0</v>
      </c>
      <c r="H6" s="136">
        <f>COUNTIFS('GREEN SHEET'!$J$7:$J$51,"GEN",'GREEN SHEET'!$FZ$7:$FZ$51,"E",'GREEN SHEET'!$I$7:$I$51,"GIRL")</f>
        <v>0</v>
      </c>
      <c r="I6" s="136">
        <f>COUNTIFS('GREEN SHEET'!$J$7:$J$51,"OBC",'GREEN SHEET'!$FZ$7:$FZ$51,"E",'GREEN SHEET'!$I$7:$I$51,"GIRL")</f>
        <v>0</v>
      </c>
      <c r="J6" s="136">
        <f>COUNTIFS('GREEN SHEET'!$J$7:$J$51,"SC",'GREEN SHEET'!$FZ$7:$FZ$51,"E",'GREEN SHEET'!$I$7:$I$51,"GIRL")</f>
        <v>0</v>
      </c>
      <c r="K6" s="136">
        <f>COUNTIFS('GREEN SHEET'!$J$7:$J$51,"ST",'GREEN SHEET'!$FZ$7:$FZ$51,"E",'GREEN SHEET'!$I$7:$I$51,"GIRL")</f>
        <v>0</v>
      </c>
      <c r="L6" s="136">
        <f>SUM(H6:K6)</f>
        <v>0</v>
      </c>
      <c r="M6" s="137">
        <f>SUM(G6,L6)</f>
        <v>0</v>
      </c>
      <c r="N6" s="7"/>
    </row>
    <row r="7" spans="1:18" ht="27" customHeight="1" x14ac:dyDescent="0.3">
      <c r="A7" s="1115"/>
      <c r="B7" s="137" t="s">
        <v>65</v>
      </c>
      <c r="C7" s="136">
        <f>COUNTIFS('GREEN SHEET'!$J$7:$J$51,"GEN",'GREEN SHEET'!$FZ$7:$FZ$51,"D",'GREEN SHEET'!$I$7:$I$51,"BOY")</f>
        <v>0</v>
      </c>
      <c r="D7" s="136">
        <f>COUNTIFS('GREEN SHEET'!$J$7:$J$51,"OBC",'GREEN SHEET'!$FZ$7:$FZ$51,"D",'GREEN SHEET'!$I$7:$I$51,"BOY")</f>
        <v>0</v>
      </c>
      <c r="E7" s="136">
        <f>COUNTIFS('GREEN SHEET'!$J$7:$J$51,"SC",'GREEN SHEET'!$FZ$7:$FZ$51,"D",'GREEN SHEET'!$I$7:$I$51,"BOY")</f>
        <v>0</v>
      </c>
      <c r="F7" s="136">
        <f>COUNTIFS('GREEN SHEET'!$J$7:$J$51,"ST",'GREEN SHEET'!$FZ$7:$FZ$51,"D",'GREEN SHEET'!$I$7:$I$51,"BOY")</f>
        <v>0</v>
      </c>
      <c r="G7" s="136">
        <f t="shared" ref="G7:G13" si="0">SUM(C7:F7)</f>
        <v>0</v>
      </c>
      <c r="H7" s="136">
        <f>COUNTIFS('GREEN SHEET'!$J$7:$J$51,"GEN",'GREEN SHEET'!$FZ$7:$FZ$51,"D",'GREEN SHEET'!$I$7:$I$51,"GIRL")</f>
        <v>0</v>
      </c>
      <c r="I7" s="136">
        <f>COUNTIFS('GREEN SHEET'!$J$7:$J$51,"OBC",'GREEN SHEET'!$FZ$7:$FZ$51,"D",'GREEN SHEET'!$I$7:$I$51,"GIRL")</f>
        <v>0</v>
      </c>
      <c r="J7" s="136">
        <f>COUNTIFS('GREEN SHEET'!$J$7:$J$51,"SC",'GREEN SHEET'!$FZ$7:$FZ$51,"D",'GREEN SHEET'!$I$7:$I$51,"GIRL")</f>
        <v>0</v>
      </c>
      <c r="K7" s="136">
        <f>COUNTIFS('GREEN SHEET'!$J$7:$J$51,"ST",'GREEN SHEET'!$FZ$7:$FZ$51,"D",'GREEN SHEET'!$I$7:$I$51,"GIRL")</f>
        <v>0</v>
      </c>
      <c r="L7" s="136">
        <f t="shared" ref="L7:L13" si="1">SUM(H7:K7)</f>
        <v>0</v>
      </c>
      <c r="M7" s="137">
        <f t="shared" ref="M7:M13" si="2">SUM(G7,L7)</f>
        <v>0</v>
      </c>
      <c r="N7" s="7"/>
    </row>
    <row r="8" spans="1:18" ht="27" customHeight="1" x14ac:dyDescent="0.3">
      <c r="A8" s="1115"/>
      <c r="B8" s="137" t="s">
        <v>54</v>
      </c>
      <c r="C8" s="136">
        <f>COUNTIFS('GREEN SHEET'!$J$7:$J$51,"GEN",'GREEN SHEET'!$FZ$7:$FZ$51,"C2",'GREEN SHEET'!$I$7:$I$51,"BOY")</f>
        <v>0</v>
      </c>
      <c r="D8" s="136">
        <f>COUNTIFS('GREEN SHEET'!$J$7:$J$51,"OBC",'GREEN SHEET'!$FZ$7:$FZ$51,"C2",'GREEN SHEET'!$I$7:$I$51,"BOY")</f>
        <v>0</v>
      </c>
      <c r="E8" s="136">
        <f>COUNTIFS('GREEN SHEET'!$J$7:$J$51,"SC",'GREEN SHEET'!$FZ$7:$FZ$51,"C2",'GREEN SHEET'!$I$7:$I$51,"BOY")</f>
        <v>0</v>
      </c>
      <c r="F8" s="136">
        <f>COUNTIFS('GREEN SHEET'!$J$7:$J$51,"ST",'GREEN SHEET'!$FZ$7:$FZ$51,"C2",'GREEN SHEET'!$I$7:$I$51,"BOY")</f>
        <v>0</v>
      </c>
      <c r="G8" s="136">
        <f t="shared" si="0"/>
        <v>0</v>
      </c>
      <c r="H8" s="136">
        <f>COUNTIFS('GREEN SHEET'!$J$7:$J$51,"GEN",'GREEN SHEET'!$FZ$7:$FZ$51,"C2",'GREEN SHEET'!$I$7:$I$51,"GIRL")</f>
        <v>0</v>
      </c>
      <c r="I8" s="136">
        <f>COUNTIFS('GREEN SHEET'!$J$7:$J$51,"OBC",'GREEN SHEET'!$FZ$7:$FZ$51,"C2",'GREEN SHEET'!$I$7:$I$51,"GIRL")</f>
        <v>0</v>
      </c>
      <c r="J8" s="136">
        <f>COUNTIFS('GREEN SHEET'!$J$7:$J$51,"SC",'GREEN SHEET'!$FZ$7:$FZ$51,"C2",'GREEN SHEET'!$I$7:$I$51,"GIRL")</f>
        <v>0</v>
      </c>
      <c r="K8" s="136">
        <f>COUNTIFS('GREEN SHEET'!$J$7:$J$51,"ST",'GREEN SHEET'!$FZ$7:$FZ$51,"C2",'GREEN SHEET'!$I$7:$I$51,"GIRL")</f>
        <v>0</v>
      </c>
      <c r="L8" s="136">
        <f t="shared" si="1"/>
        <v>0</v>
      </c>
      <c r="M8" s="137">
        <f t="shared" si="2"/>
        <v>0</v>
      </c>
      <c r="N8" s="7"/>
    </row>
    <row r="9" spans="1:18" ht="27" customHeight="1" x14ac:dyDescent="0.3">
      <c r="A9" s="1115"/>
      <c r="B9" s="137" t="s">
        <v>66</v>
      </c>
      <c r="C9" s="136">
        <f>COUNTIFS('GREEN SHEET'!$J$7:$J$51,"GEN",'GREEN SHEET'!$FZ$7:$FZ$51,"C1",'GREEN SHEET'!$I$7:$I$51,"BOY")</f>
        <v>1</v>
      </c>
      <c r="D9" s="136">
        <f>COUNTIFS('GREEN SHEET'!$J$7:$J$51,"OBC",'GREEN SHEET'!$FZ$7:$FZ$51,"C1",'GREEN SHEET'!$I$7:$I$51,"BOY")</f>
        <v>0</v>
      </c>
      <c r="E9" s="136">
        <f>COUNTIFS('GREEN SHEET'!$J$7:$J$51,"SC",'GREEN SHEET'!$FZ$7:$FZ$51,"C1",'GREEN SHEET'!$I$7:$I$51,"BOY")</f>
        <v>0</v>
      </c>
      <c r="F9" s="136">
        <f>COUNTIFS('GREEN SHEET'!$J$7:$J$51,"ST",'GREEN SHEET'!$FZ$7:$FZ$51,"C1",'GREEN SHEET'!$I$7:$I$51,"BOY")</f>
        <v>0</v>
      </c>
      <c r="G9" s="136">
        <f t="shared" si="0"/>
        <v>1</v>
      </c>
      <c r="H9" s="136">
        <f>COUNTIFS('GREEN SHEET'!$J$7:$J$51,"GEN",'GREEN SHEET'!$FZ$7:$FZ$51,"C1",'GREEN SHEET'!$I$7:$I$51,"GIRL")</f>
        <v>0</v>
      </c>
      <c r="I9" s="136">
        <f>COUNTIFS('GREEN SHEET'!$J$7:$J$51,"OBC",'GREEN SHEET'!$FZ$7:$FZ$51,"C1",'GREEN SHEET'!$I$7:$I$51,"GIRL")</f>
        <v>1</v>
      </c>
      <c r="J9" s="136">
        <f>COUNTIFS('GREEN SHEET'!$J$7:$J$51,"SC",'GREEN SHEET'!$FZ$7:$FZ$51,"C1",'GREEN SHEET'!$I$7:$I$51,"GIRL")</f>
        <v>0</v>
      </c>
      <c r="K9" s="136">
        <f>COUNTIFS('GREEN SHEET'!$J$7:$J$51,"ST",'GREEN SHEET'!$FZ$7:$FZ$51,"C1",'GREEN SHEET'!$I$7:$I$51,"GIRL")</f>
        <v>0</v>
      </c>
      <c r="L9" s="136">
        <f t="shared" si="1"/>
        <v>1</v>
      </c>
      <c r="M9" s="137">
        <f t="shared" si="2"/>
        <v>2</v>
      </c>
      <c r="N9" s="7"/>
    </row>
    <row r="10" spans="1:18" ht="27" customHeight="1" x14ac:dyDescent="0.3">
      <c r="A10" s="1115"/>
      <c r="B10" s="137" t="s">
        <v>67</v>
      </c>
      <c r="C10" s="136">
        <f>COUNTIFS('GREEN SHEET'!$J$7:$J$51,"GEN",'GREEN SHEET'!$FZ$7:$FZ$51,"B2",'GREEN SHEET'!$I$7:$I$51,"BOY")</f>
        <v>0</v>
      </c>
      <c r="D10" s="136">
        <f>COUNTIFS('GREEN SHEET'!$J$7:$J$51,"OBC",'GREEN SHEET'!$FZ$7:$FZ$51,"B2",'GREEN SHEET'!$I$7:$I$51,"BOY")</f>
        <v>0</v>
      </c>
      <c r="E10" s="136">
        <f>COUNTIFS('GREEN SHEET'!$J$7:$J$51,"SC",'GREEN SHEET'!$FZ$7:$FZ$51,"B2",'GREEN SHEET'!$I$7:$I$51,"BOY")</f>
        <v>0</v>
      </c>
      <c r="F10" s="136">
        <f>COUNTIFS('GREEN SHEET'!$J$7:$J$51,"ST",'GREEN SHEET'!$FZ$7:$FZ$51,"B2",'GREEN SHEET'!$I$7:$I$51,"BOY")</f>
        <v>0</v>
      </c>
      <c r="G10" s="136">
        <f t="shared" si="0"/>
        <v>0</v>
      </c>
      <c r="H10" s="136">
        <f>COUNTIFS('GREEN SHEET'!$J$7:$J$51,"GEN",'GREEN SHEET'!$FZ$7:$FZ$51,"B2",'GREEN SHEET'!$I$7:$I$51,"GIRL")</f>
        <v>0</v>
      </c>
      <c r="I10" s="136">
        <f>COUNTIFS('GREEN SHEET'!$J$7:$J$51,"OBC",'GREEN SHEET'!$FZ$7:$FZ$51,"B2",'GREEN SHEET'!$I$7:$I$51,"GIRL")</f>
        <v>0</v>
      </c>
      <c r="J10" s="136">
        <f>COUNTIFS('GREEN SHEET'!$J$7:$J$51,"SC",'GREEN SHEET'!$FZ$7:$FZ$51,"B2",'GREEN SHEET'!$I$7:$I$51,"GIRL")</f>
        <v>0</v>
      </c>
      <c r="K10" s="136">
        <f>COUNTIFS('GREEN SHEET'!$J$7:$J$51,"ST",'GREEN SHEET'!$FZ$7:$FZ$51,"B2",'GREEN SHEET'!$I$7:$I$51,"GIRL")</f>
        <v>0</v>
      </c>
      <c r="L10" s="136">
        <f t="shared" si="1"/>
        <v>0</v>
      </c>
      <c r="M10" s="137">
        <f t="shared" si="2"/>
        <v>0</v>
      </c>
      <c r="N10" s="7"/>
    </row>
    <row r="11" spans="1:18" ht="27" customHeight="1" x14ac:dyDescent="0.3">
      <c r="A11" s="1115"/>
      <c r="B11" s="137" t="s">
        <v>68</v>
      </c>
      <c r="C11" s="136">
        <f>COUNTIFS('GREEN SHEET'!$J$7:$J$51,"GEN",'GREEN SHEET'!$FZ$7:$FZ$51,"B1",'GREEN SHEET'!$I$7:$I$51,"BOY")</f>
        <v>0</v>
      </c>
      <c r="D11" s="136">
        <f>COUNTIFS('GREEN SHEET'!$J$7:$J$51,"OBC",'GREEN SHEET'!$FZ$7:$FZ$51,"B1",'GREEN SHEET'!$I$7:$I$51,"BOY")</f>
        <v>0</v>
      </c>
      <c r="E11" s="136">
        <f>COUNTIFS('GREEN SHEET'!$J$7:$J$51,"SC",'GREEN SHEET'!$FZ$7:$FZ$51,"B1",'GREEN SHEET'!$I$7:$I$51,"BOY")</f>
        <v>0</v>
      </c>
      <c r="F11" s="136">
        <f>COUNTIFS('GREEN SHEET'!$J$7:$J$51,"ST",'GREEN SHEET'!$FZ$7:$FZ$51,"B1",'GREEN SHEET'!$I$7:$I$51,"BOY")</f>
        <v>0</v>
      </c>
      <c r="G11" s="136">
        <f t="shared" si="0"/>
        <v>0</v>
      </c>
      <c r="H11" s="136">
        <f>COUNTIFS('GREEN SHEET'!$J$7:$J$51,"GEN",'GREEN SHEET'!$FZ$7:$FZ$51,"B1",'GREEN SHEET'!$I$7:$I$51,"GIRL")</f>
        <v>0</v>
      </c>
      <c r="I11" s="136">
        <f>COUNTIFS('GREEN SHEET'!$J$7:$J$51,"OBC",'GREEN SHEET'!$FZ$7:$FZ$51,"B1",'GREEN SHEET'!$I$7:$I$51,"GIRL")</f>
        <v>0</v>
      </c>
      <c r="J11" s="136">
        <f>COUNTIFS('GREEN SHEET'!$J$7:$J$51,"SC",'GREEN SHEET'!$FZ$7:$FZ$51,"B1",'GREEN SHEET'!$I$7:$I$51,"GIRL")</f>
        <v>0</v>
      </c>
      <c r="K11" s="136">
        <f>COUNTIFS('GREEN SHEET'!$J$7:$J$51,"ST",'GREEN SHEET'!$FZ$7:$FZ$51,"B1",'GREEN SHEET'!$I$7:$I$51,"GIRL")</f>
        <v>0</v>
      </c>
      <c r="L11" s="136">
        <f t="shared" si="1"/>
        <v>0</v>
      </c>
      <c r="M11" s="137">
        <f t="shared" si="2"/>
        <v>0</v>
      </c>
      <c r="N11" s="7"/>
    </row>
    <row r="12" spans="1:18" ht="27" customHeight="1" x14ac:dyDescent="0.3">
      <c r="A12" s="1115"/>
      <c r="B12" s="137" t="s">
        <v>69</v>
      </c>
      <c r="C12" s="136">
        <f>COUNTIFS('GREEN SHEET'!$J$7:$J$51,"GEN",'GREEN SHEET'!$FZ$7:$FZ$51,"A2",'GREEN SHEET'!$I$7:$I$51,"BOY")</f>
        <v>0</v>
      </c>
      <c r="D12" s="136">
        <f>COUNTIFS('GREEN SHEET'!$J$7:$J$51,"OBC",'GREEN SHEET'!$FZ$7:$FZ$51,"A2",'GREEN SHEET'!$I$7:$I$51,"BOY")</f>
        <v>0</v>
      </c>
      <c r="E12" s="136">
        <f>COUNTIFS('GREEN SHEET'!$J$7:$J$51,"SC",'GREEN SHEET'!$FZ$7:$FZ$51,"A2",'GREEN SHEET'!$I$7:$I$51,"BOY")</f>
        <v>0</v>
      </c>
      <c r="F12" s="136">
        <f>COUNTIFS('GREEN SHEET'!$J$7:$J$51,"ST",'GREEN SHEET'!$FZ$7:$FZ$51,"A2",'GREEN SHEET'!$I$7:$I$51,"BOY")</f>
        <v>0</v>
      </c>
      <c r="G12" s="136">
        <f t="shared" si="0"/>
        <v>0</v>
      </c>
      <c r="H12" s="136">
        <f>COUNTIFS('GREEN SHEET'!$J$7:$J$51,"GEN",'GREEN SHEET'!$FZ$7:$FZ$51,"A2",'GREEN SHEET'!$I$7:$I$51,"GIRL")</f>
        <v>0</v>
      </c>
      <c r="I12" s="136">
        <f>COUNTIFS('GREEN SHEET'!$J$7:$J$51,"OBC",'GREEN SHEET'!$FZ$7:$FZ$51,"A2",'GREEN SHEET'!$I$7:$I$51,"GIRL")</f>
        <v>0</v>
      </c>
      <c r="J12" s="136">
        <f>COUNTIFS('GREEN SHEET'!$J$7:$J$51,"SC",'GREEN SHEET'!$FZ$7:$FZ$51,"A2",'GREEN SHEET'!$I$7:$I$51,"GIRL")</f>
        <v>0</v>
      </c>
      <c r="K12" s="136">
        <f>COUNTIFS('GREEN SHEET'!$J$7:$J$51,"ST",'GREEN SHEET'!$FZ$7:$FZ$51,"A2",'GREEN SHEET'!$I$7:$I$51,"GIRL")</f>
        <v>0</v>
      </c>
      <c r="L12" s="136">
        <f t="shared" si="1"/>
        <v>0</v>
      </c>
      <c r="M12" s="137">
        <f t="shared" si="2"/>
        <v>0</v>
      </c>
      <c r="N12" s="7"/>
      <c r="R12" s="413"/>
    </row>
    <row r="13" spans="1:18" ht="27" customHeight="1" x14ac:dyDescent="0.3">
      <c r="A13" s="1115"/>
      <c r="B13" s="137" t="s">
        <v>44</v>
      </c>
      <c r="C13" s="136">
        <f>COUNTIFS('GREEN SHEET'!$J$7:$J$51,"GEN",'GREEN SHEET'!$FZ$7:$FZ$51,"A1",'GREEN SHEET'!$I$7:$I$51,"BOY")</f>
        <v>0</v>
      </c>
      <c r="D13" s="136">
        <f>COUNTIFS('GREEN SHEET'!$J$7:$J$51,"OBC",'GREEN SHEET'!$FZ$7:$FZ$51,"A1",'GREEN SHEET'!$I$7:$I$51,"BOY")</f>
        <v>0</v>
      </c>
      <c r="E13" s="136">
        <f>COUNTIFS('GREEN SHEET'!$J$7:$J$51,"SC",'GREEN SHEET'!$FZ$7:$FZ$51,"A1",'GREEN SHEET'!$I$7:$I$51,"BOY")</f>
        <v>0</v>
      </c>
      <c r="F13" s="136">
        <f>COUNTIFS('GREEN SHEET'!$J$7:$J$51,"ST",'GREEN SHEET'!$FZ$7:$FZ$51,"A1",'GREEN SHEET'!$I$7:$I$51,"BOY")</f>
        <v>0</v>
      </c>
      <c r="G13" s="136">
        <f t="shared" si="0"/>
        <v>0</v>
      </c>
      <c r="H13" s="136">
        <f>COUNTIFS('GREEN SHEET'!$J$7:$J$51,"GEN",'GREEN SHEET'!$FZ$7:$FZ$51,"A1",'GREEN SHEET'!$I$7:$I$51,"GIRL")</f>
        <v>0</v>
      </c>
      <c r="I13" s="136">
        <f>COUNTIFS('GREEN SHEET'!$J$7:$J$51,"OBC",'GREEN SHEET'!$FZ$7:$FZ$51,"A1",'GREEN SHEET'!$I$7:$I$51,"GIRL")</f>
        <v>0</v>
      </c>
      <c r="J13" s="136">
        <f>COUNTIFS('GREEN SHEET'!$J$7:$J$51,"SC",'GREEN SHEET'!$FZ$7:$FZ$51,"A1",'GREEN SHEET'!$I$7:$I$51,"GIRL")</f>
        <v>0</v>
      </c>
      <c r="K13" s="136">
        <f>COUNTIFS('GREEN SHEET'!$J$7:$J$51,"ST",'GREEN SHEET'!$FZ$7:$FZ$51,"A1",'GREEN SHEET'!$I$7:$I$51,"GIRL")</f>
        <v>0</v>
      </c>
      <c r="L13" s="136">
        <f t="shared" si="1"/>
        <v>0</v>
      </c>
      <c r="M13" s="137">
        <f t="shared" si="2"/>
        <v>0</v>
      </c>
      <c r="N13" s="7"/>
    </row>
    <row r="14" spans="1:18" ht="27" customHeight="1" x14ac:dyDescent="0.3">
      <c r="A14" s="414"/>
      <c r="B14" s="137" t="s">
        <v>187</v>
      </c>
      <c r="C14" s="137">
        <f>C15-C6</f>
        <v>1</v>
      </c>
      <c r="D14" s="137">
        <f t="shared" ref="D14:M14" si="3">D15-D6</f>
        <v>0</v>
      </c>
      <c r="E14" s="137">
        <f t="shared" si="3"/>
        <v>0</v>
      </c>
      <c r="F14" s="137">
        <f t="shared" si="3"/>
        <v>0</v>
      </c>
      <c r="G14" s="137">
        <f t="shared" si="3"/>
        <v>1</v>
      </c>
      <c r="H14" s="137">
        <f t="shared" si="3"/>
        <v>0</v>
      </c>
      <c r="I14" s="137">
        <f t="shared" si="3"/>
        <v>1</v>
      </c>
      <c r="J14" s="137">
        <f t="shared" si="3"/>
        <v>0</v>
      </c>
      <c r="K14" s="137">
        <f t="shared" si="3"/>
        <v>0</v>
      </c>
      <c r="L14" s="137">
        <f t="shared" si="3"/>
        <v>1</v>
      </c>
      <c r="M14" s="137">
        <f t="shared" si="3"/>
        <v>2</v>
      </c>
      <c r="N14" s="7"/>
    </row>
    <row r="15" spans="1:18" ht="27" customHeight="1" x14ac:dyDescent="0.3">
      <c r="A15" s="414"/>
      <c r="B15" s="137" t="s">
        <v>57</v>
      </c>
      <c r="C15" s="137">
        <f>SUM(C6:C13)</f>
        <v>1</v>
      </c>
      <c r="D15" s="137">
        <f t="shared" ref="D15:M15" si="4">SUM(D6:D13)</f>
        <v>0</v>
      </c>
      <c r="E15" s="137">
        <f t="shared" si="4"/>
        <v>0</v>
      </c>
      <c r="F15" s="137">
        <f t="shared" si="4"/>
        <v>0</v>
      </c>
      <c r="G15" s="137">
        <f t="shared" si="4"/>
        <v>1</v>
      </c>
      <c r="H15" s="137">
        <f t="shared" si="4"/>
        <v>0</v>
      </c>
      <c r="I15" s="137">
        <f t="shared" si="4"/>
        <v>1</v>
      </c>
      <c r="J15" s="137">
        <f t="shared" si="4"/>
        <v>0</v>
      </c>
      <c r="K15" s="137">
        <f t="shared" si="4"/>
        <v>0</v>
      </c>
      <c r="L15" s="137">
        <f t="shared" si="4"/>
        <v>1</v>
      </c>
      <c r="M15" s="137">
        <f t="shared" si="4"/>
        <v>2</v>
      </c>
      <c r="N15" s="7"/>
    </row>
    <row r="16" spans="1:18" ht="27" customHeight="1" x14ac:dyDescent="0.3">
      <c r="A16" s="1116" t="s">
        <v>188</v>
      </c>
      <c r="B16" s="137" t="s">
        <v>70</v>
      </c>
      <c r="C16" s="136">
        <f>COUNTIFS('GREEN SHEET'!$J$7:$J$51,"GEN",'GREEN SHEET'!$FY$7:$FY$51,"&gt;=60",'GREEN SHEET'!$I$7:$I$51,"BOY")</f>
        <v>0</v>
      </c>
      <c r="D16" s="136">
        <f>COUNTIFS('GREEN SHEET'!$J$7:$J$51,"OBC",'GREEN SHEET'!$FY$7:$FY$51,"&gt;=60",'GREEN SHEET'!$I$7:$I$51,"BOY")</f>
        <v>0</v>
      </c>
      <c r="E16" s="136">
        <f>COUNTIFS('GREEN SHEET'!$J$7:$J$51,"SC",'GREEN SHEET'!$FY$7:$FY$51,"&gt;=60",'GREEN SHEET'!$I$7:$I$51,"BOY")</f>
        <v>0</v>
      </c>
      <c r="F16" s="136">
        <f>COUNTIFS('GREEN SHEET'!$J$7:$J$51,"ST",'GREEN SHEET'!$FY$7:$FY$51,"&gt;=60",'GREEN SHEET'!$I$7:$I$51,"BOY")</f>
        <v>0</v>
      </c>
      <c r="G16" s="136">
        <f t="shared" ref="G16:G19" si="5">SUM(C16:F16)</f>
        <v>0</v>
      </c>
      <c r="H16" s="136">
        <f>COUNTIFS('GREEN SHEET'!$J$7:$J$51,"GEN",'GREEN SHEET'!$FY$7:$FY$51,"&gt;=60",'GREEN SHEET'!$I$7:$I$51,"GIRL")</f>
        <v>0</v>
      </c>
      <c r="I16" s="136">
        <f>COUNTIFS('GREEN SHEET'!$J$7:$J$51,"OBC",'GREEN SHEET'!$FY$7:$FY$51,"&gt;=60",'GREEN SHEET'!$I$7:$I$51,"GIRL")</f>
        <v>0</v>
      </c>
      <c r="J16" s="136">
        <f>COUNTIFS('GREEN SHEET'!$J$7:$J$51,"SC",'GREEN SHEET'!$FY$7:$FY$51,"&gt;=60",'GREEN SHEET'!$I$7:$I$51,"GIRL")</f>
        <v>0</v>
      </c>
      <c r="K16" s="136">
        <f>COUNTIFS('GREEN SHEET'!$J$7:$J$51,"ST",'GREEN SHEET'!$FY$7:$FY$51,"&gt;=60",'GREEN SHEET'!$I$7:$I$51,"GIRL")</f>
        <v>0</v>
      </c>
      <c r="L16" s="136">
        <f t="shared" ref="L16:L19" si="6">SUM(H16:K16)</f>
        <v>0</v>
      </c>
      <c r="M16" s="137">
        <f t="shared" ref="M16:M19" si="7">SUM(G16,L16)</f>
        <v>0</v>
      </c>
      <c r="N16" s="7"/>
    </row>
    <row r="17" spans="1:14" ht="27" customHeight="1" x14ac:dyDescent="0.3">
      <c r="A17" s="1116"/>
      <c r="B17" s="137" t="s">
        <v>189</v>
      </c>
      <c r="C17" s="136">
        <f>COUNTIFS('GREEN SHEET'!$J$7:$J$51,"GEN",'GREEN SHEET'!$FY$7:$FY$51,"&gt;=48",'GREEN SHEET'!$FY$7:$FY$51,"&lt;60",'GREEN SHEET'!$I$7:$I$51,"BOY")</f>
        <v>1</v>
      </c>
      <c r="D17" s="136">
        <f>COUNTIFS('GREEN SHEET'!$J$7:$J$51,"OBC",'GREEN SHEET'!$FY$7:$FY$51,"&gt;=48",'GREEN SHEET'!$FY$7:$FY$51,"&lt;60",'GREEN SHEET'!$I$7:$I$51,"BOY")</f>
        <v>0</v>
      </c>
      <c r="E17" s="136">
        <f>COUNTIFS('GREEN SHEET'!$J$7:$J$51,"SC",'GREEN SHEET'!$FY$7:$FY$51,"&gt;=48",'GREEN SHEET'!$FY$7:$FY$51,"&lt;60",'GREEN SHEET'!$I$7:$I$51,"BOY")</f>
        <v>0</v>
      </c>
      <c r="F17" s="136">
        <f>COUNTIFS('GREEN SHEET'!$J$7:$J$51,"ST",'GREEN SHEET'!$FY$7:$FY$51,"&gt;=48",'GREEN SHEET'!$FY$7:$FY$51,"&lt;60",'GREEN SHEET'!$I$7:$I$51,"BOY")</f>
        <v>0</v>
      </c>
      <c r="G17" s="136">
        <f t="shared" si="5"/>
        <v>1</v>
      </c>
      <c r="H17" s="136">
        <f>COUNTIFS('GREEN SHEET'!$J$7:$J$51,"GEN",'GREEN SHEET'!$FY$7:$FY$51,"&gt;=48",'GREEN SHEET'!$FY$7:$FY$51,"&lt;60",'GREEN SHEET'!$I$7:$I$51,"GIRL")</f>
        <v>0</v>
      </c>
      <c r="I17" s="136">
        <f>COUNTIFS('GREEN SHEET'!$J$7:$J$51,"OBC",'GREEN SHEET'!$FY$7:$FY$51,"&gt;=48",'GREEN SHEET'!$FY$7:$FY$51,"&lt;60",'GREEN SHEET'!$I$7:$I$51,"GIRL")</f>
        <v>1</v>
      </c>
      <c r="J17" s="136">
        <f>COUNTIFS('GREEN SHEET'!$J$7:$J$51,"SC",'GREEN SHEET'!$FY$7:$FY$51,"&gt;=48",'GREEN SHEET'!$FY$7:$FY$51,"&lt;60",'GREEN SHEET'!$I$7:$I$51,"GIRL")</f>
        <v>0</v>
      </c>
      <c r="K17" s="136">
        <f>COUNTIFS('GREEN SHEET'!$J$7:$J$51,"ST",'GREEN SHEET'!$FY$7:$FY$51,"&gt;=48",'GREEN SHEET'!$FY$7:$FY$51,"&lt;60",'GREEN SHEET'!$I$7:$I$51,"GIRL")</f>
        <v>0</v>
      </c>
      <c r="L17" s="136">
        <f t="shared" si="6"/>
        <v>1</v>
      </c>
      <c r="M17" s="137">
        <f t="shared" si="7"/>
        <v>2</v>
      </c>
      <c r="N17" s="7"/>
    </row>
    <row r="18" spans="1:14" ht="27" customHeight="1" x14ac:dyDescent="0.3">
      <c r="A18" s="1116"/>
      <c r="B18" s="137" t="s">
        <v>190</v>
      </c>
      <c r="C18" s="136">
        <f>COUNTIFS('GREEN SHEET'!$J$7:$J$51,"GEN",'GREEN SHEET'!$FY$7:$FY$51,"&gt;=33",'GREEN SHEET'!$FY$7:$FY$51,"&lt;48",'GREEN SHEET'!$I$7:$I$51,"BOY")</f>
        <v>0</v>
      </c>
      <c r="D18" s="136">
        <f>COUNTIFS('GREEN SHEET'!$J$7:$J$51,"OBC",'GREEN SHEET'!$FY$7:$FY$51,"&gt;=33",'GREEN SHEET'!$FY$7:$FY$51,"&lt;48",'GREEN SHEET'!$I$7:$I$51,"BOY")</f>
        <v>0</v>
      </c>
      <c r="E18" s="136">
        <f>COUNTIFS('GREEN SHEET'!$J$7:$J$51,"SC",'GREEN SHEET'!$FY$7:$FY$51,"&gt;=33",'GREEN SHEET'!$FY$7:$FY$51,"&lt;48",'GREEN SHEET'!$I$7:$I$51,"BOY")</f>
        <v>0</v>
      </c>
      <c r="F18" s="136">
        <f>COUNTIFS('GREEN SHEET'!$J$7:$J$51,"ST",'GREEN SHEET'!$FY$7:$FY$51,"&gt;=33",'GREEN SHEET'!$FY$7:$FY$51,"&lt;48",'GREEN SHEET'!$I$7:$I$51,"BOY")</f>
        <v>0</v>
      </c>
      <c r="G18" s="136">
        <f t="shared" si="5"/>
        <v>0</v>
      </c>
      <c r="H18" s="136">
        <f>COUNTIFS('GREEN SHEET'!$J$7:$J$51,"GEN",'GREEN SHEET'!$FY$7:$FY$51,"&gt;=33",'GREEN SHEET'!$FY$7:$FY$51,"&lt;48",'GREEN SHEET'!$I$7:$I$51,"GIRL")</f>
        <v>0</v>
      </c>
      <c r="I18" s="136">
        <f>COUNTIFS('GREEN SHEET'!$J$7:$J$51,"OBC",'GREEN SHEET'!$FY$7:$FY$51,"&gt;=33",'GREEN SHEET'!$FY$7:$FY$51,"&lt;48",'GREEN SHEET'!$I$7:$I$51,"GIRL")</f>
        <v>0</v>
      </c>
      <c r="J18" s="136">
        <f>COUNTIFS('GREEN SHEET'!$J$7:$J$51,"SC",'GREEN SHEET'!$FY$7:$FY$51,"&gt;=33",'GREEN SHEET'!$FY$7:$FY$51,"&lt;48",'GREEN SHEET'!$I$7:$I$51,"GIRL")</f>
        <v>0</v>
      </c>
      <c r="K18" s="136">
        <f>COUNTIFS('GREEN SHEET'!$J$7:$J$51,"ST",'GREEN SHEET'!$FY$7:$FY$51,"&gt;=33",'GREEN SHEET'!$FY$7:$FY$51,"&lt;48",'GREEN SHEET'!$I$7:$I$51,"GIRL")</f>
        <v>0</v>
      </c>
      <c r="L18" s="136">
        <f t="shared" si="6"/>
        <v>0</v>
      </c>
      <c r="M18" s="137">
        <f t="shared" si="7"/>
        <v>0</v>
      </c>
      <c r="N18" s="7"/>
    </row>
    <row r="19" spans="1:14" ht="27" customHeight="1" x14ac:dyDescent="0.3">
      <c r="A19" s="1116"/>
      <c r="B19" s="137" t="s">
        <v>73</v>
      </c>
      <c r="C19" s="136">
        <f>COUNTIFS('GREEN SHEET'!$J$7:$J$51,"GEN",'GREEN SHEET'!$FT$7:$FT$51,"&lt;33",'GREEN SHEET'!$I$7:$I$51,"BOY")</f>
        <v>0</v>
      </c>
      <c r="D19" s="136">
        <f>COUNTIFS('GREEN SHEET'!$J$7:$J$51,"OBC",'GREEN SHEET'!$FT$7:$FT$51,"&lt;33",'GREEN SHEET'!$I$7:$I$51,"BOY")</f>
        <v>0</v>
      </c>
      <c r="E19" s="136">
        <f>COUNTIFS('GREEN SHEET'!$J$7:$J$51,"SC",'GREEN SHEET'!$FT$7:$FT$51,"&lt;33",'GREEN SHEET'!$I$7:$I$51,"BOY")</f>
        <v>0</v>
      </c>
      <c r="F19" s="136">
        <f>COUNTIFS('GREEN SHEET'!$J$7:$J$51,"ST",'GREEN SHEET'!$FT$7:$FT$51,"&lt;33",'GREEN SHEET'!$I$7:$I$51,"BOY")</f>
        <v>0</v>
      </c>
      <c r="G19" s="136">
        <f t="shared" si="5"/>
        <v>0</v>
      </c>
      <c r="H19" s="136">
        <f>COUNTIFS('GREEN SHEET'!$J$7:$J$51,"GEN",'GREEN SHEET'!$FT$7:$FT$51,"&lt;33",'GREEN SHEET'!$I$7:$I$51,"GIRL")</f>
        <v>0</v>
      </c>
      <c r="I19" s="136">
        <f>COUNTIFS('GREEN SHEET'!$J$7:$J$51,"OBC",'GREEN SHEET'!$FT$7:$FT$51,"&lt;33",'GREEN SHEET'!$I$7:$I$51,"GIRL")</f>
        <v>0</v>
      </c>
      <c r="J19" s="136">
        <f>COUNTIFS('GREEN SHEET'!$J$7:$J$51,"SC",'GREEN SHEET'!$FT$7:$FT$51,"&lt;33",'GREEN SHEET'!$I$7:$I$51,"GIRL")</f>
        <v>0</v>
      </c>
      <c r="K19" s="136">
        <f>COUNTIFS('GREEN SHEET'!$J$7:$J$51,"ST",'GREEN SHEET'!$FT$7:$FT$51,"&lt;33",'GREEN SHEET'!$I$7:$I$51,"GIRL")</f>
        <v>0</v>
      </c>
      <c r="L19" s="136">
        <f t="shared" si="6"/>
        <v>0</v>
      </c>
      <c r="M19" s="137">
        <f t="shared" si="7"/>
        <v>0</v>
      </c>
      <c r="N19" s="7"/>
    </row>
    <row r="20" spans="1:14" ht="27" customHeight="1" x14ac:dyDescent="0.3">
      <c r="A20" s="415"/>
      <c r="B20" s="137" t="s">
        <v>187</v>
      </c>
      <c r="C20" s="137">
        <f>SUM(C16:C18)</f>
        <v>1</v>
      </c>
      <c r="D20" s="137">
        <f t="shared" ref="D20:M20" si="8">SUM(D16:D18)</f>
        <v>0</v>
      </c>
      <c r="E20" s="137">
        <f t="shared" si="8"/>
        <v>0</v>
      </c>
      <c r="F20" s="137">
        <f t="shared" si="8"/>
        <v>0</v>
      </c>
      <c r="G20" s="137">
        <f t="shared" si="8"/>
        <v>1</v>
      </c>
      <c r="H20" s="137">
        <f t="shared" si="8"/>
        <v>0</v>
      </c>
      <c r="I20" s="137">
        <f t="shared" si="8"/>
        <v>1</v>
      </c>
      <c r="J20" s="137">
        <f t="shared" si="8"/>
        <v>0</v>
      </c>
      <c r="K20" s="137">
        <f t="shared" si="8"/>
        <v>0</v>
      </c>
      <c r="L20" s="137">
        <f t="shared" si="8"/>
        <v>1</v>
      </c>
      <c r="M20" s="137">
        <f t="shared" si="8"/>
        <v>2</v>
      </c>
      <c r="N20" s="7"/>
    </row>
    <row r="21" spans="1:14" ht="27" customHeight="1" thickBot="1" x14ac:dyDescent="0.35">
      <c r="A21" s="415"/>
      <c r="B21" s="137" t="s">
        <v>57</v>
      </c>
      <c r="C21" s="137">
        <f>SUM(C16:C19)</f>
        <v>1</v>
      </c>
      <c r="D21" s="137">
        <f t="shared" ref="D21:M21" si="9">SUM(D16:D19)</f>
        <v>0</v>
      </c>
      <c r="E21" s="137">
        <f t="shared" si="9"/>
        <v>0</v>
      </c>
      <c r="F21" s="137">
        <f t="shared" si="9"/>
        <v>0</v>
      </c>
      <c r="G21" s="137">
        <f t="shared" si="9"/>
        <v>1</v>
      </c>
      <c r="H21" s="137">
        <f t="shared" si="9"/>
        <v>0</v>
      </c>
      <c r="I21" s="137">
        <f t="shared" si="9"/>
        <v>1</v>
      </c>
      <c r="J21" s="137">
        <f t="shared" si="9"/>
        <v>0</v>
      </c>
      <c r="K21" s="137">
        <f t="shared" si="9"/>
        <v>0</v>
      </c>
      <c r="L21" s="137">
        <f t="shared" si="9"/>
        <v>1</v>
      </c>
      <c r="M21" s="137">
        <f t="shared" si="9"/>
        <v>2</v>
      </c>
      <c r="N21" s="7"/>
    </row>
    <row r="22" spans="1:14" ht="35.25" customHeight="1" thickBot="1" x14ac:dyDescent="0.35">
      <c r="A22" s="415"/>
      <c r="B22" s="1111" t="str">
        <f>IF(B3="","",B3)</f>
        <v>SCHOOL RESULT  SESSION  -  2025-26</v>
      </c>
      <c r="C22" s="1112"/>
      <c r="D22" s="1112"/>
      <c r="E22" s="1112"/>
      <c r="F22" s="1112"/>
      <c r="G22" s="1113"/>
      <c r="H22" s="1114" t="str">
        <f>IF(M20="","",ROUNDUP((M20*100/M4),2)&amp;" %")</f>
        <v>100 %</v>
      </c>
      <c r="I22" s="1112"/>
      <c r="J22" s="1112"/>
      <c r="K22" s="1112"/>
      <c r="L22" s="1112"/>
      <c r="M22" s="1113"/>
      <c r="N22" s="7"/>
    </row>
    <row r="23" spans="1:14" ht="16.5" customHeight="1" x14ac:dyDescent="0.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</sheetData>
  <sheetProtection algorithmName="SHA-512" hashValue="oLvrOdoh3j2F6Lg52gzxkqo64Pq3/i7k1SqBePipipW0vAGPUSaHdDrGXw85MvB127srRxZxMitYbmKsOZVbvg==" saltValue="BT5rMnvCTiY3l9ChTjl1CQ==" spinCount="100000" sheet="1" objects="1" scenarios="1" formatColumns="0" formatRows="0" selectLockedCells="1"/>
  <mergeCells count="10">
    <mergeCell ref="B22:G22"/>
    <mergeCell ref="H22:M22"/>
    <mergeCell ref="A6:A13"/>
    <mergeCell ref="A16:A19"/>
    <mergeCell ref="B1:M1"/>
    <mergeCell ref="B2:M2"/>
    <mergeCell ref="B3:G3"/>
    <mergeCell ref="H3:J3"/>
    <mergeCell ref="C4:G4"/>
    <mergeCell ref="H4:L4"/>
  </mergeCells>
  <pageMargins left="0.7" right="0.7" top="0.23" bottom="0.3" header="0.22" footer="0.2"/>
  <pageSetup paperSize="9" scale="9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FFC000"/>
    <pageSetUpPr fitToPage="1"/>
  </sheetPr>
  <dimension ref="A1:AM115"/>
  <sheetViews>
    <sheetView topLeftCell="K1" workbookViewId="0">
      <selection activeCell="G55" sqref="G55"/>
    </sheetView>
  </sheetViews>
  <sheetFormatPr defaultColWidth="0" defaultRowHeight="0" customHeight="1" zeroHeight="1" x14ac:dyDescent="0.25"/>
  <cols>
    <col min="1" max="1" width="4.33203125" style="70" customWidth="1"/>
    <col min="2" max="2" width="6" style="70" customWidth="1"/>
    <col min="3" max="4" width="7.33203125" style="70" hidden="1" customWidth="1"/>
    <col min="5" max="6" width="10.5546875" style="70" customWidth="1"/>
    <col min="7" max="7" width="39.6640625" style="70" customWidth="1"/>
    <col min="8" max="8" width="36" style="70" customWidth="1"/>
    <col min="9" max="9" width="34" style="70" hidden="1" customWidth="1"/>
    <col min="10" max="10" width="19.109375" style="70" hidden="1" customWidth="1"/>
    <col min="11" max="11" width="7.88671875" style="70" customWidth="1"/>
    <col min="12" max="12" width="10.5546875" style="70" bestFit="1" customWidth="1"/>
    <col min="13" max="13" width="28" style="70" hidden="1" customWidth="1"/>
    <col min="14" max="21" width="10.77734375" style="70" customWidth="1"/>
    <col min="22" max="23" width="10.77734375" style="164" customWidth="1"/>
    <col min="24" max="25" width="10.77734375" style="70" customWidth="1"/>
    <col min="26" max="26" width="9.5546875" style="70" bestFit="1" customWidth="1"/>
    <col min="27" max="27" width="10.5546875" style="165" customWidth="1"/>
    <col min="28" max="28" width="10.5546875" style="70" bestFit="1" customWidth="1"/>
    <col min="29" max="29" width="10.5546875" style="166" bestFit="1" customWidth="1"/>
    <col min="30" max="30" width="10.33203125" style="166" hidden="1" customWidth="1"/>
    <col min="31" max="31" width="9.88671875" style="166" hidden="1" customWidth="1"/>
    <col min="32" max="32" width="8.6640625" style="166" hidden="1" customWidth="1"/>
    <col min="33" max="33" width="7.109375" style="166" hidden="1" customWidth="1"/>
    <col min="34" max="34" width="3.5546875" style="176" customWidth="1"/>
    <col min="35" max="39" width="0" style="43" hidden="1" customWidth="1"/>
    <col min="40" max="16384" width="9.109375" style="43" hidden="1"/>
  </cols>
  <sheetData>
    <row r="1" spans="1:33" ht="18" customHeight="1" thickBot="1" x14ac:dyDescent="0.3">
      <c r="A1" s="143" t="s">
        <v>24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8"/>
      <c r="W1" s="178"/>
      <c r="X1" s="177"/>
      <c r="Y1" s="177"/>
      <c r="Z1" s="177"/>
      <c r="AA1" s="179"/>
      <c r="AB1" s="177"/>
      <c r="AC1" s="180"/>
      <c r="AD1" s="180"/>
      <c r="AE1" s="180"/>
      <c r="AF1" s="180"/>
      <c r="AG1" s="180"/>
    </row>
    <row r="2" spans="1:33" ht="34.799999999999997" x14ac:dyDescent="0.25">
      <c r="A2" s="177"/>
      <c r="B2" s="1125" t="str">
        <f>"SWAMI VIVEKANAND GOVT. MODEL SCHOOL,"&amp;DASHBOARD!C3</f>
        <v>SWAMI VIVEKANAND GOVT. MODEL SCHOOL,XXXX,  BLOCK-XXXX (RAJSAMAND)</v>
      </c>
      <c r="C2" s="1126"/>
      <c r="D2" s="1126"/>
      <c r="E2" s="1126"/>
      <c r="F2" s="1126"/>
      <c r="G2" s="1126"/>
      <c r="H2" s="1126"/>
      <c r="I2" s="1126"/>
      <c r="J2" s="1126"/>
      <c r="K2" s="1126"/>
      <c r="L2" s="1126"/>
      <c r="M2" s="1127"/>
      <c r="N2" s="1128" t="str">
        <f>IF('GREEN SHEET'!L3="","",'GREEN SHEET'!L3)</f>
        <v>XXXXX</v>
      </c>
      <c r="O2" s="1128"/>
      <c r="P2" s="1129" t="str">
        <f>IF('GREEN SHEET'!AG3="","",'GREEN SHEET'!AG3)</f>
        <v>XXXXX / XXXXX</v>
      </c>
      <c r="Q2" s="1129"/>
      <c r="R2" s="1128" t="str">
        <f>IF('GREEN SHEET'!BC3="","",'GREEN SHEET'!BC3)</f>
        <v>XXXXX</v>
      </c>
      <c r="S2" s="1128"/>
      <c r="T2" s="1129" t="str">
        <f>IF('GREEN SHEET'!BX3="","",'GREEN SHEET'!BX3)</f>
        <v>XXXXX</v>
      </c>
      <c r="U2" s="1129"/>
      <c r="V2" s="1121" t="str">
        <f>IF('GREEN SHEET'!CS3="","",'GREEN SHEET'!CS3)</f>
        <v>XXXXX</v>
      </c>
      <c r="W2" s="1122"/>
      <c r="X2" s="1121" t="str">
        <f>IF('GREEN SHEET'!DO3="","",'GREEN SHEET'!DO3)</f>
        <v>XXXXX / XXXXX / XXXXX</v>
      </c>
      <c r="Y2" s="1122"/>
      <c r="Z2" s="1144" t="s">
        <v>211</v>
      </c>
      <c r="AA2" s="1146" t="s">
        <v>212</v>
      </c>
      <c r="AB2" s="1144" t="s">
        <v>213</v>
      </c>
      <c r="AC2" s="1148" t="s">
        <v>110</v>
      </c>
      <c r="AD2" s="187"/>
      <c r="AE2" s="187"/>
      <c r="AF2" s="187"/>
      <c r="AG2" s="188"/>
    </row>
    <row r="3" spans="1:33" ht="35.4" thickBot="1" x14ac:dyDescent="0.3">
      <c r="A3" s="177"/>
      <c r="B3" s="1130" t="str">
        <f>IF(DASHBOARD!B4="","",DASHBOARD!B4)&amp;"                CLASS :- "&amp;DASHBOARD!B8&amp; DASHBOARD!C8</f>
        <v>SESSION  -  2025-26                CLASS :- 9A</v>
      </c>
      <c r="C3" s="1131"/>
      <c r="D3" s="1131"/>
      <c r="E3" s="1131"/>
      <c r="F3" s="1131"/>
      <c r="G3" s="1131"/>
      <c r="H3" s="1131"/>
      <c r="I3" s="1131"/>
      <c r="J3" s="1131"/>
      <c r="K3" s="1131"/>
      <c r="L3" s="1131"/>
      <c r="M3" s="1132"/>
      <c r="N3" s="1133" t="str">
        <f>IF('GREEN SHEET'!L4="","",'GREEN SHEET'!L4)</f>
        <v>ENGLISH</v>
      </c>
      <c r="O3" s="1133"/>
      <c r="P3" s="1133" t="str">
        <f>IF('GREEN SHEET'!AG4="","",'GREEN SHEET'!AG4)</f>
        <v>HINDI / SANSKRIT</v>
      </c>
      <c r="Q3" s="1133"/>
      <c r="R3" s="1133" t="str">
        <f>IF('GREEN SHEET'!BC4="","",'GREEN SHEET'!BC4)</f>
        <v>MATHS</v>
      </c>
      <c r="S3" s="1133"/>
      <c r="T3" s="1134" t="str">
        <f>IF('GREEN SHEET'!BX4="","",'GREEN SHEET'!BX4)</f>
        <v>SCIENCE</v>
      </c>
      <c r="U3" s="1134"/>
      <c r="V3" s="1123" t="str">
        <f>IF('GREEN SHEET'!CS4="","",'GREEN SHEET'!CS4)</f>
        <v>SOCIAL SCIENCE</v>
      </c>
      <c r="W3" s="1124"/>
      <c r="X3" s="1123" t="str">
        <f>IF('GREEN SHEET'!DO4="","",'GREEN SHEET'!DO4)</f>
        <v>BEAUTY &amp; WELLNESS / IT / APPAREL MADE-UPS HOME FURNISHING</v>
      </c>
      <c r="Y3" s="1124"/>
      <c r="Z3" s="1145"/>
      <c r="AA3" s="1147"/>
      <c r="AB3" s="1145"/>
      <c r="AC3" s="1149"/>
      <c r="AD3" s="189"/>
      <c r="AE3" s="189"/>
      <c r="AF3" s="189"/>
      <c r="AG3" s="190"/>
    </row>
    <row r="4" spans="1:33" ht="55.2" thickBot="1" x14ac:dyDescent="0.3">
      <c r="A4" s="177"/>
      <c r="B4" s="1152" t="s">
        <v>209</v>
      </c>
      <c r="C4" s="1153"/>
      <c r="D4" s="1153"/>
      <c r="E4" s="1153"/>
      <c r="F4" s="1153"/>
      <c r="G4" s="1153"/>
      <c r="H4" s="1153"/>
      <c r="I4" s="1153"/>
      <c r="J4" s="1153"/>
      <c r="K4" s="1153"/>
      <c r="L4" s="1153"/>
      <c r="M4" s="1154"/>
      <c r="N4" s="1124" t="s">
        <v>210</v>
      </c>
      <c r="O4" s="1133"/>
      <c r="P4" s="1134" t="s">
        <v>210</v>
      </c>
      <c r="Q4" s="1134"/>
      <c r="R4" s="1133" t="s">
        <v>210</v>
      </c>
      <c r="S4" s="1133"/>
      <c r="T4" s="1134" t="s">
        <v>210</v>
      </c>
      <c r="U4" s="1134"/>
      <c r="V4" s="1133" t="s">
        <v>210</v>
      </c>
      <c r="W4" s="1133"/>
      <c r="X4" s="1133" t="s">
        <v>210</v>
      </c>
      <c r="Y4" s="1133"/>
      <c r="Z4" s="1145"/>
      <c r="AA4" s="1147"/>
      <c r="AB4" s="1145"/>
      <c r="AC4" s="1149"/>
      <c r="AD4" s="193" t="s">
        <v>214</v>
      </c>
      <c r="AE4" s="191" t="s">
        <v>215</v>
      </c>
      <c r="AF4" s="191" t="s">
        <v>216</v>
      </c>
      <c r="AG4" s="191" t="s">
        <v>217</v>
      </c>
    </row>
    <row r="5" spans="1:33" ht="36.6" hidden="1" x14ac:dyDescent="0.25">
      <c r="A5" s="177"/>
      <c r="B5" s="1150" t="s">
        <v>218</v>
      </c>
      <c r="C5" s="1151"/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46" t="s">
        <v>57</v>
      </c>
      <c r="O5" s="146" t="s">
        <v>146</v>
      </c>
      <c r="P5" s="147" t="s">
        <v>57</v>
      </c>
      <c r="Q5" s="147" t="s">
        <v>146</v>
      </c>
      <c r="R5" s="146" t="s">
        <v>57</v>
      </c>
      <c r="S5" s="146" t="s">
        <v>146</v>
      </c>
      <c r="T5" s="147" t="s">
        <v>57</v>
      </c>
      <c r="U5" s="147" t="s">
        <v>146</v>
      </c>
      <c r="V5" s="146" t="s">
        <v>57</v>
      </c>
      <c r="W5" s="146" t="s">
        <v>146</v>
      </c>
      <c r="X5" s="147" t="s">
        <v>57</v>
      </c>
      <c r="Y5" s="147" t="s">
        <v>146</v>
      </c>
      <c r="Z5" s="185"/>
      <c r="AA5" s="186"/>
      <c r="AB5" s="185"/>
      <c r="AC5" s="468"/>
      <c r="AD5" s="465"/>
      <c r="AE5" s="192"/>
      <c r="AF5" s="192"/>
      <c r="AG5" s="192"/>
    </row>
    <row r="6" spans="1:33" ht="16.8" hidden="1" x14ac:dyDescent="0.25">
      <c r="A6" s="177"/>
      <c r="B6" s="469" t="s">
        <v>4</v>
      </c>
      <c r="C6" s="416" t="s">
        <v>214</v>
      </c>
      <c r="D6" s="416" t="s">
        <v>214</v>
      </c>
      <c r="E6" s="416" t="s">
        <v>5</v>
      </c>
      <c r="F6" s="416" t="s">
        <v>6</v>
      </c>
      <c r="G6" s="416" t="s">
        <v>7</v>
      </c>
      <c r="H6" s="417" t="s">
        <v>8</v>
      </c>
      <c r="I6" s="417" t="s">
        <v>9</v>
      </c>
      <c r="J6" s="417" t="s">
        <v>10</v>
      </c>
      <c r="K6" s="417" t="s">
        <v>11</v>
      </c>
      <c r="L6" s="417" t="s">
        <v>12</v>
      </c>
      <c r="M6" s="417" t="s">
        <v>13</v>
      </c>
      <c r="N6" s="418">
        <f>IF('GREEN SHEET'!AA6="","",'GREEN SHEET'!AA6)</f>
        <v>100</v>
      </c>
      <c r="O6" s="418" t="str">
        <f>IF('GREEN SHEET'!AB6="","",'GREEN SHEET'!AB6)</f>
        <v>A1</v>
      </c>
      <c r="P6" s="418">
        <f>IF('GREEN SHEET'!AW6="","",'GREEN SHEET'!AW6)</f>
        <v>100</v>
      </c>
      <c r="Q6" s="418" t="str">
        <f>IF('GREEN SHEET'!AX6="","",'GREEN SHEET'!AX6)</f>
        <v>A1</v>
      </c>
      <c r="R6" s="418">
        <f>IF('GREEN SHEET'!BR6="","",'GREEN SHEET'!BR6)</f>
        <v>100</v>
      </c>
      <c r="S6" s="418" t="str">
        <f>IF('GREEN SHEET'!BS6="","",'GREEN SHEET'!BS6)</f>
        <v>A1</v>
      </c>
      <c r="T6" s="418">
        <f>IF('GREEN SHEET'!CM6="","",'GREEN SHEET'!CM6)</f>
        <v>100</v>
      </c>
      <c r="U6" s="418" t="str">
        <f>IF('GREEN SHEET'!CN6="","",'GREEN SHEET'!CN6)</f>
        <v>A1</v>
      </c>
      <c r="V6" s="419">
        <f>IF('GREEN SHEET'!DH6="","",'GREEN SHEET'!DH6)</f>
        <v>100</v>
      </c>
      <c r="W6" s="419" t="str">
        <f>IF('GREEN SHEET'!DI6="","",'GREEN SHEET'!DI6)</f>
        <v>A1</v>
      </c>
      <c r="X6" s="418">
        <f>IF('GREEN SHEET'!DR6="","",'GREEN SHEET'!DR6)</f>
        <v>100</v>
      </c>
      <c r="Y6" s="418" t="str">
        <f>IF('GREEN SHEET'!DS6="","",'GREEN SHEET'!DS6)</f>
        <v>A1</v>
      </c>
      <c r="Z6" s="418">
        <f>IF('GREEN SHEET'!FK6="PASS",'GREEN SHEET'!FP6,'GREEN SHEET'!FQ6)</f>
        <v>500</v>
      </c>
      <c r="AA6" s="420">
        <f>IFERROR(Z6*100/$Z$6,"")</f>
        <v>100</v>
      </c>
      <c r="AB6" s="421" t="str">
        <f>IF(AA6="","",IF(AA6&lt;33,"E",IF(AND(AA6&gt;=33,AA6&lt;41),"D",IF(AND(AA6&gt;=41,AA6&lt;51),"C2",IF(AND(AA6&gt;=51,AA6&lt;61),"C1",IF(AND(AA6&gt;=61,AA6&lt;71),"B2",IF(AND(AA6&gt;=71,AA6&lt;81),"B1",IF(AND(AA6&gt;=81,AA6&lt;91),"A2",IF(AND(AA6&gt;=91,AA6&lt;=100),"A1")))))))))</f>
        <v>A1</v>
      </c>
      <c r="AC6" s="470" t="str">
        <f>IF('GREEN SHEET'!FU6="","",'GREEN SHEET'!FU6)</f>
        <v/>
      </c>
      <c r="AD6" s="466"/>
      <c r="AE6" s="155"/>
      <c r="AF6" s="155">
        <v>50</v>
      </c>
      <c r="AG6" s="155">
        <v>1</v>
      </c>
    </row>
    <row r="7" spans="1:33" ht="16.8" hidden="1" x14ac:dyDescent="0.25">
      <c r="A7" s="177"/>
      <c r="B7" s="376">
        <v>1</v>
      </c>
      <c r="C7" s="156">
        <f>IF(AE7="","",ROUND(AE7,0))</f>
        <v>1</v>
      </c>
      <c r="D7" s="156">
        <f t="shared" ref="D7:D51" si="0">IF(AC7="","",ROUND(AC7,0))</f>
        <v>1</v>
      </c>
      <c r="E7" s="96">
        <f>IF('GREEN SHEET'!C7="","",'GREEN SHEET'!C7)</f>
        <v>901</v>
      </c>
      <c r="F7" s="96">
        <f>IF('GREEN SHEET'!D7="","",'GREEN SHEET'!D7)</f>
        <v>974</v>
      </c>
      <c r="G7" s="96" t="str">
        <f>IF('GREEN SHEET'!E7="","",'GREEN SHEET'!E7)</f>
        <v>ARTI PRAJAPAT</v>
      </c>
      <c r="H7" s="96" t="str">
        <f>IF('GREEN SHEET'!F7="","",'GREEN SHEET'!F7)</f>
        <v>MR PRABHU LAL</v>
      </c>
      <c r="I7" s="96" t="str">
        <f>IF('GREEN SHEET'!G7="","",'GREEN SHEET'!G7)</f>
        <v>MRS PREM DEVI</v>
      </c>
      <c r="J7" s="96">
        <f>IF('GREEN SHEET'!H7="","",'GREEN SHEET'!H7)</f>
        <v>40203</v>
      </c>
      <c r="K7" s="96" t="str">
        <f>IF('GREEN SHEET'!I7="","",'GREEN SHEET'!I7)</f>
        <v>GIRL</v>
      </c>
      <c r="L7" s="96" t="str">
        <f>IF('GREEN SHEET'!J7="","",'GREEN SHEET'!J7)</f>
        <v>OBC</v>
      </c>
      <c r="M7" s="96" t="str">
        <f>IF('GREEN SHEET'!K7="","",'GREEN SHEET'!K7)</f>
        <v/>
      </c>
      <c r="N7" s="149">
        <f>IF('GREEN SHEET'!AA7="","",'GREEN SHEET'!AA7)</f>
        <v>68</v>
      </c>
      <c r="O7" s="149" t="str">
        <f>IF('GREEN SHEET'!AB7="","",'GREEN SHEET'!AB7)</f>
        <v>B2</v>
      </c>
      <c r="P7" s="150">
        <f>IF('GREEN SHEET'!AW7="","",'GREEN SHEET'!AW7)</f>
        <v>44</v>
      </c>
      <c r="Q7" s="150" t="str">
        <f>IF('GREEN SHEET'!AX7="","",'GREEN SHEET'!AX7)</f>
        <v>C2</v>
      </c>
      <c r="R7" s="149">
        <f>IF('GREEN SHEET'!BR7="","",'GREEN SHEET'!BR7)</f>
        <v>62</v>
      </c>
      <c r="S7" s="149" t="str">
        <f>IF('GREEN SHEET'!BS7="","",'GREEN SHEET'!BS7)</f>
        <v>B2</v>
      </c>
      <c r="T7" s="150">
        <f>IF('GREEN SHEET'!CM7="","",'GREEN SHEET'!CM7)</f>
        <v>22</v>
      </c>
      <c r="U7" s="150" t="str">
        <f>IF('GREEN SHEET'!CN7="","",'GREEN SHEET'!CN7)</f>
        <v>E</v>
      </c>
      <c r="V7" s="152">
        <f>IF('GREEN SHEET'!DH7="","",'GREEN SHEET'!DH7)</f>
        <v>65</v>
      </c>
      <c r="W7" s="152" t="str">
        <f>IF('GREEN SHEET'!DI7="","",'GREEN SHEET'!DI7)</f>
        <v>B2</v>
      </c>
      <c r="X7" s="150">
        <f>IF('GREEN SHEET'!DR7="","",'GREEN SHEET'!DR7)</f>
        <v>55</v>
      </c>
      <c r="Y7" s="150" t="str">
        <f>IF('GREEN SHEET'!DS7="","",'GREEN SHEET'!DS7)</f>
        <v>C1</v>
      </c>
      <c r="Z7" s="153">
        <f>IF('GREEN SHEET'!FK7="PASS",'GREEN SHEET'!FP7,'GREEN SHEET'!FQ7)</f>
        <v>294</v>
      </c>
      <c r="AA7" s="154">
        <f t="shared" ref="AA7:AA51" si="1">IFERROR(Z7*100/$Z$6,"")</f>
        <v>58.8</v>
      </c>
      <c r="AB7" s="171" t="str">
        <f>IF(AA7="","",IF(AA7&lt;33,"E",IF(AND(AA7&gt;=33,AA7&lt;41),"D",IF(AND(AA7&gt;=41,AA7&lt;51),"C2",IF(AND(AA7&gt;=51,AA7&lt;61),"C1",IF(AND(AA7&gt;=61,AA7&lt;71),"B2",IF(AND(AA7&gt;=71,AA7&lt;81),"B1",IF(AND(AA7&gt;=81,AA7&lt;91),"A2",IF(AND(AA7&gt;=91,AA7&lt;=100),"A1")))))))))</f>
        <v>C1</v>
      </c>
      <c r="AC7" s="436">
        <f>IF('GREEN SHEET'!FU7="","",'GREEN SHEET'!FU7)</f>
        <v>1.0000000000000007</v>
      </c>
      <c r="AD7" s="338">
        <f>IF(Z7="","",RANK(Z7,Z$7:$Z$51,0)+COUNTIF($Z$7:Z7,Z7)-1)</f>
        <v>2</v>
      </c>
      <c r="AE7" s="158">
        <f t="shared" ref="AE7:AE51" si="2">IF(AD7="","",SMALL($AD$7:$AD$53,B7))</f>
        <v>1</v>
      </c>
      <c r="AF7" s="158">
        <f t="shared" ref="AF7:AF51" si="3">IF(ISNUMBER(SEARCH($G$55,$AB$7:$AB$53)),AE7,"")</f>
        <v>1</v>
      </c>
      <c r="AG7" s="158">
        <f>IFERROR(SMALL($AF$7:$AF$53,AE7),"")</f>
        <v>1</v>
      </c>
    </row>
    <row r="8" spans="1:33" ht="16.8" hidden="1" x14ac:dyDescent="0.25">
      <c r="A8" s="177"/>
      <c r="B8" s="376">
        <v>2</v>
      </c>
      <c r="C8" s="156">
        <f t="shared" ref="C8:C51" si="4">IF(AE8="","",ROUND(AE8,0))</f>
        <v>2</v>
      </c>
      <c r="D8" s="156" t="str">
        <f t="shared" si="0"/>
        <v/>
      </c>
      <c r="E8" s="96">
        <f>IF('GREEN SHEET'!C8="","",'GREEN SHEET'!C8)</f>
        <v>902</v>
      </c>
      <c r="F8" s="96">
        <f>IF('GREEN SHEET'!D8="","",'GREEN SHEET'!D8)</f>
        <v>971</v>
      </c>
      <c r="G8" s="96" t="str">
        <f>IF('GREEN SHEET'!E8="","",'GREEN SHEET'!E8)</f>
        <v>ARVIND SINGH BALLA</v>
      </c>
      <c r="H8" s="96" t="str">
        <f>IF('GREEN SHEET'!F8="","",'GREEN SHEET'!F8)</f>
        <v>INDRA SINGH BALLA</v>
      </c>
      <c r="I8" s="96" t="str">
        <f>IF('GREEN SHEET'!G8="","",'GREEN SHEET'!G8)</f>
        <v>MEENA KANWAR BALLA</v>
      </c>
      <c r="J8" s="96">
        <f>IF('GREEN SHEET'!H8="","",'GREEN SHEET'!H8)</f>
        <v>40292</v>
      </c>
      <c r="K8" s="96" t="str">
        <f>IF('GREEN SHEET'!I8="","",'GREEN SHEET'!I8)</f>
        <v>BOY</v>
      </c>
      <c r="L8" s="96" t="str">
        <f>IF('GREEN SHEET'!J8="","",'GREEN SHEET'!J8)</f>
        <v>GEN</v>
      </c>
      <c r="M8" s="96" t="str">
        <f>IF('GREEN SHEET'!K8="","",'GREEN SHEET'!K8)</f>
        <v/>
      </c>
      <c r="N8" s="149">
        <f>IF('GREEN SHEET'!AA8="","",'GREEN SHEET'!AA8)</f>
        <v>63</v>
      </c>
      <c r="O8" s="149" t="str">
        <f>IF('GREEN SHEET'!AB8="","",'GREEN SHEET'!AB8)</f>
        <v>B2</v>
      </c>
      <c r="P8" s="150">
        <f>IF('GREEN SHEET'!AW8="","",'GREEN SHEET'!AW8)</f>
        <v>70</v>
      </c>
      <c r="Q8" s="150" t="str">
        <f>IF('GREEN SHEET'!AX8="","",'GREEN SHEET'!AX8)</f>
        <v>B2</v>
      </c>
      <c r="R8" s="149">
        <f>IF('GREEN SHEET'!BR8="","",'GREEN SHEET'!BR8)</f>
        <v>64</v>
      </c>
      <c r="S8" s="149" t="str">
        <f>IF('GREEN SHEET'!BS8="","",'GREEN SHEET'!BS8)</f>
        <v>B2</v>
      </c>
      <c r="T8" s="150">
        <f>IF('GREEN SHEET'!CM8="","",'GREEN SHEET'!CM8)</f>
        <v>36</v>
      </c>
      <c r="U8" s="150" t="str">
        <f>IF('GREEN SHEET'!CN8="","",'GREEN SHEET'!CN8)</f>
        <v>D</v>
      </c>
      <c r="V8" s="152">
        <f>IF('GREEN SHEET'!DH8="","",'GREEN SHEET'!DH8)</f>
        <v>16</v>
      </c>
      <c r="W8" s="152" t="str">
        <f>IF('GREEN SHEET'!DI8="","",'GREEN SHEET'!DI8)</f>
        <v>E</v>
      </c>
      <c r="X8" s="150">
        <f>IF('GREEN SHEET'!DR8="","",'GREEN SHEET'!DR8)</f>
        <v>25</v>
      </c>
      <c r="Y8" s="150" t="str">
        <f>IF('GREEN SHEET'!DS8="","",'GREEN SHEET'!DS8)</f>
        <v>E</v>
      </c>
      <c r="Z8" s="153">
        <f>IF('GREEN SHEET'!FK8="PASS",'GREEN SHEET'!FP8,'GREEN SHEET'!FQ8)</f>
        <v>299</v>
      </c>
      <c r="AA8" s="154">
        <f t="shared" si="1"/>
        <v>59.8</v>
      </c>
      <c r="AB8" s="171" t="str">
        <f t="shared" ref="AB8:AB50" si="5">IF(AA8="","",IF(AA8&lt;33,"E",IF(AND(AA8&gt;=33,AA8&lt;41),"D",IF(AND(AA8&gt;=41,AA8&lt;51),"C2",IF(AND(AA8&gt;=51,AA8&lt;61),"C1",IF(AND(AA8&gt;=61,AA8&lt;71),"B2",IF(AND(AA8&gt;=71,AA8&lt;81),"B1",IF(AND(AA8&gt;=81,AA8&lt;91),"A2",IF(AND(AA8&gt;=91,AA8&lt;=100),"A1")))))))))</f>
        <v>C1</v>
      </c>
      <c r="AC8" s="436" t="str">
        <f>IF('GREEN SHEET'!FU8="","",'GREEN SHEET'!FU8)</f>
        <v/>
      </c>
      <c r="AD8" s="338">
        <f>IF(Z8="","",RANK(Z8,Z$7:$Z$51,0)+COUNTIF($Z$7:Z8,Z8)-1)</f>
        <v>1</v>
      </c>
      <c r="AE8" s="158">
        <f t="shared" si="2"/>
        <v>2</v>
      </c>
      <c r="AF8" s="158">
        <f t="shared" si="3"/>
        <v>2</v>
      </c>
      <c r="AG8" s="158">
        <f t="shared" ref="AG8:AG51" si="6">IFERROR(SMALL($AF$7:$AF$53,AE8),"")</f>
        <v>2</v>
      </c>
    </row>
    <row r="9" spans="1:33" ht="16.8" hidden="1" x14ac:dyDescent="0.25">
      <c r="A9" s="177"/>
      <c r="B9" s="376">
        <v>3</v>
      </c>
      <c r="C9" s="156" t="str">
        <f t="shared" si="4"/>
        <v/>
      </c>
      <c r="D9" s="156" t="str">
        <f t="shared" si="0"/>
        <v/>
      </c>
      <c r="E9" s="96" t="str">
        <f>IF('GREEN SHEET'!C9="","",'GREEN SHEET'!C9)</f>
        <v>TC</v>
      </c>
      <c r="F9" s="96">
        <f>IF('GREEN SHEET'!D9="","",'GREEN SHEET'!D9)</f>
        <v>1370</v>
      </c>
      <c r="G9" s="96" t="str">
        <f>IF('GREEN SHEET'!E9="","",'GREEN SHEET'!E9)</f>
        <v>BHAVESH SINGH RAO</v>
      </c>
      <c r="H9" s="96" t="str">
        <f>IF('GREEN SHEET'!F9="","",'GREEN SHEET'!F9)</f>
        <v>FATEH SINGH RAO</v>
      </c>
      <c r="I9" s="96" t="str">
        <f>IF('GREEN SHEET'!G9="","",'GREEN SHEET'!G9)</f>
        <v>GANGA KUNWAR</v>
      </c>
      <c r="J9" s="96">
        <f>IF('GREEN SHEET'!H9="","",'GREEN SHEET'!H9)</f>
        <v>40431</v>
      </c>
      <c r="K9" s="96" t="str">
        <f>IF('GREEN SHEET'!I9="","",'GREEN SHEET'!I9)</f>
        <v>BOY</v>
      </c>
      <c r="L9" s="96" t="str">
        <f>IF('GREEN SHEET'!J9="","",'GREEN SHEET'!J9)</f>
        <v>OBC</v>
      </c>
      <c r="M9" s="96" t="str">
        <f>IF('GREEN SHEET'!K9="","",'GREEN SHEET'!K9)</f>
        <v/>
      </c>
      <c r="N9" s="149" t="str">
        <f>IF('GREEN SHEET'!AA9="","",'GREEN SHEET'!AA9)</f>
        <v/>
      </c>
      <c r="O9" s="149" t="str">
        <f>IF('GREEN SHEET'!AB9="","",'GREEN SHEET'!AB9)</f>
        <v/>
      </c>
      <c r="P9" s="150" t="str">
        <f>IF('GREEN SHEET'!AW9="","",'GREEN SHEET'!AW9)</f>
        <v/>
      </c>
      <c r="Q9" s="150" t="str">
        <f>IF('GREEN SHEET'!AX9="","",'GREEN SHEET'!AX9)</f>
        <v/>
      </c>
      <c r="R9" s="149" t="str">
        <f>IF('GREEN SHEET'!BR9="","",'GREEN SHEET'!BR9)</f>
        <v/>
      </c>
      <c r="S9" s="149" t="str">
        <f>IF('GREEN SHEET'!BS9="","",'GREEN SHEET'!BS9)</f>
        <v/>
      </c>
      <c r="T9" s="150" t="str">
        <f>IF('GREEN SHEET'!CM9="","",'GREEN SHEET'!CM9)</f>
        <v/>
      </c>
      <c r="U9" s="150" t="str">
        <f>IF('GREEN SHEET'!CN9="","",'GREEN SHEET'!CN9)</f>
        <v/>
      </c>
      <c r="V9" s="152" t="str">
        <f>IF('GREEN SHEET'!DH9="","",'GREEN SHEET'!DH9)</f>
        <v/>
      </c>
      <c r="W9" s="152" t="str">
        <f>IF('GREEN SHEET'!DI9="","",'GREEN SHEET'!DI9)</f>
        <v/>
      </c>
      <c r="X9" s="150" t="str">
        <f>IF('GREEN SHEET'!DR9="","",'GREEN SHEET'!DR9)</f>
        <v/>
      </c>
      <c r="Y9" s="150" t="str">
        <f>IF('GREEN SHEET'!DS9="","",'GREEN SHEET'!DS9)</f>
        <v/>
      </c>
      <c r="Z9" s="153" t="str">
        <f>IF('GREEN SHEET'!FK9="PASS",'GREEN SHEET'!FP9,'GREEN SHEET'!FQ9)</f>
        <v/>
      </c>
      <c r="AA9" s="154" t="str">
        <f t="shared" si="1"/>
        <v/>
      </c>
      <c r="AB9" s="171" t="str">
        <f t="shared" si="5"/>
        <v/>
      </c>
      <c r="AC9" s="436" t="str">
        <f>IF('GREEN SHEET'!FU9="","",'GREEN SHEET'!FU9)</f>
        <v/>
      </c>
      <c r="AD9" s="338" t="str">
        <f>IF(Z9="","",RANK(Z9,Z$7:$Z$51,0)+COUNTIF($Z$7:Z9,Z9)-1)</f>
        <v/>
      </c>
      <c r="AE9" s="158" t="str">
        <f t="shared" si="2"/>
        <v/>
      </c>
      <c r="AF9" s="158" t="str">
        <f t="shared" si="3"/>
        <v/>
      </c>
      <c r="AG9" s="158" t="str">
        <f t="shared" si="6"/>
        <v/>
      </c>
    </row>
    <row r="10" spans="1:33" ht="16.8" hidden="1" x14ac:dyDescent="0.25">
      <c r="A10" s="177"/>
      <c r="B10" s="376">
        <v>4</v>
      </c>
      <c r="C10" s="156" t="str">
        <f t="shared" si="4"/>
        <v/>
      </c>
      <c r="D10" s="156" t="str">
        <f t="shared" si="0"/>
        <v/>
      </c>
      <c r="E10" s="96" t="str">
        <f>IF('GREEN SHEET'!C10="","",'GREEN SHEET'!C10)</f>
        <v/>
      </c>
      <c r="F10" s="96" t="str">
        <f>IF('GREEN SHEET'!D10="","",'GREEN SHEET'!D10)</f>
        <v/>
      </c>
      <c r="G10" s="96" t="str">
        <f>IF('GREEN SHEET'!E10="","",'GREEN SHEET'!E10)</f>
        <v/>
      </c>
      <c r="H10" s="96" t="str">
        <f>IF('GREEN SHEET'!F10="","",'GREEN SHEET'!F10)</f>
        <v/>
      </c>
      <c r="I10" s="96" t="str">
        <f>IF('GREEN SHEET'!G10="","",'GREEN SHEET'!G10)</f>
        <v/>
      </c>
      <c r="J10" s="96" t="str">
        <f>IF('GREEN SHEET'!H10="","",'GREEN SHEET'!H10)</f>
        <v/>
      </c>
      <c r="K10" s="96" t="str">
        <f>IF('GREEN SHEET'!I10="","",'GREEN SHEET'!I10)</f>
        <v/>
      </c>
      <c r="L10" s="96" t="str">
        <f>IF('GREEN SHEET'!J10="","",'GREEN SHEET'!J10)</f>
        <v/>
      </c>
      <c r="M10" s="96" t="str">
        <f>IF('GREEN SHEET'!K10="","",'GREEN SHEET'!K10)</f>
        <v/>
      </c>
      <c r="N10" s="149" t="str">
        <f>IF('GREEN SHEET'!AA10="","",'GREEN SHEET'!AA10)</f>
        <v/>
      </c>
      <c r="O10" s="149" t="str">
        <f>IF('GREEN SHEET'!AB10="","",'GREEN SHEET'!AB10)</f>
        <v/>
      </c>
      <c r="P10" s="150" t="str">
        <f>IF('GREEN SHEET'!AW10="","",'GREEN SHEET'!AW10)</f>
        <v/>
      </c>
      <c r="Q10" s="150" t="str">
        <f>IF('GREEN SHEET'!AX10="","",'GREEN SHEET'!AX10)</f>
        <v/>
      </c>
      <c r="R10" s="149" t="str">
        <f>IF('GREEN SHEET'!BR10="","",'GREEN SHEET'!BR10)</f>
        <v/>
      </c>
      <c r="S10" s="149" t="str">
        <f>IF('GREEN SHEET'!BS10="","",'GREEN SHEET'!BS10)</f>
        <v/>
      </c>
      <c r="T10" s="150" t="str">
        <f>IF('GREEN SHEET'!CM10="","",'GREEN SHEET'!CM10)</f>
        <v/>
      </c>
      <c r="U10" s="150" t="str">
        <f>IF('GREEN SHEET'!CN10="","",'GREEN SHEET'!CN10)</f>
        <v/>
      </c>
      <c r="V10" s="152" t="str">
        <f>IF('GREEN SHEET'!DH10="","",'GREEN SHEET'!DH10)</f>
        <v/>
      </c>
      <c r="W10" s="152" t="str">
        <f>IF('GREEN SHEET'!DI10="","",'GREEN SHEET'!DI10)</f>
        <v/>
      </c>
      <c r="X10" s="150" t="str">
        <f>IF('GREEN SHEET'!DR10="","",'GREEN SHEET'!DR10)</f>
        <v/>
      </c>
      <c r="Y10" s="150" t="str">
        <f>IF('GREEN SHEET'!DS10="","",'GREEN SHEET'!DS10)</f>
        <v/>
      </c>
      <c r="Z10" s="153" t="str">
        <f>IF('GREEN SHEET'!FK10="PASS",'GREEN SHEET'!FP10,'GREEN SHEET'!FQ10)</f>
        <v/>
      </c>
      <c r="AA10" s="154" t="str">
        <f t="shared" si="1"/>
        <v/>
      </c>
      <c r="AB10" s="171" t="str">
        <f t="shared" si="5"/>
        <v/>
      </c>
      <c r="AC10" s="436" t="str">
        <f>IF('GREEN SHEET'!FU10="","",'GREEN SHEET'!FU10)</f>
        <v/>
      </c>
      <c r="AD10" s="338" t="str">
        <f>IF(Z10="","",RANK(Z10,Z$7:$Z$51,0)+COUNTIF($Z$7:Z10,Z10)-1)</f>
        <v/>
      </c>
      <c r="AE10" s="158" t="str">
        <f t="shared" si="2"/>
        <v/>
      </c>
      <c r="AF10" s="158" t="str">
        <f t="shared" si="3"/>
        <v/>
      </c>
      <c r="AG10" s="158" t="str">
        <f t="shared" si="6"/>
        <v/>
      </c>
    </row>
    <row r="11" spans="1:33" ht="16.8" hidden="1" x14ac:dyDescent="0.25">
      <c r="A11" s="177"/>
      <c r="B11" s="376">
        <v>5</v>
      </c>
      <c r="C11" s="156" t="str">
        <f t="shared" si="4"/>
        <v/>
      </c>
      <c r="D11" s="156" t="str">
        <f t="shared" si="0"/>
        <v/>
      </c>
      <c r="E11" s="96" t="str">
        <f>IF('GREEN SHEET'!C11="","",'GREEN SHEET'!C11)</f>
        <v/>
      </c>
      <c r="F11" s="96" t="str">
        <f>IF('GREEN SHEET'!D11="","",'GREEN SHEET'!D11)</f>
        <v/>
      </c>
      <c r="G11" s="96" t="str">
        <f>IF('GREEN SHEET'!E11="","",'GREEN SHEET'!E11)</f>
        <v/>
      </c>
      <c r="H11" s="96" t="str">
        <f>IF('GREEN SHEET'!F11="","",'GREEN SHEET'!F11)</f>
        <v/>
      </c>
      <c r="I11" s="96" t="str">
        <f>IF('GREEN SHEET'!G11="","",'GREEN SHEET'!G11)</f>
        <v/>
      </c>
      <c r="J11" s="96" t="str">
        <f>IF('GREEN SHEET'!H11="","",'GREEN SHEET'!H11)</f>
        <v/>
      </c>
      <c r="K11" s="96" t="str">
        <f>IF('GREEN SHEET'!I11="","",'GREEN SHEET'!I11)</f>
        <v/>
      </c>
      <c r="L11" s="96" t="str">
        <f>IF('GREEN SHEET'!J11="","",'GREEN SHEET'!J11)</f>
        <v/>
      </c>
      <c r="M11" s="96" t="str">
        <f>IF('GREEN SHEET'!K11="","",'GREEN SHEET'!K11)</f>
        <v/>
      </c>
      <c r="N11" s="149" t="str">
        <f>IF('GREEN SHEET'!AA11="","",'GREEN SHEET'!AA11)</f>
        <v/>
      </c>
      <c r="O11" s="149" t="str">
        <f>IF('GREEN SHEET'!AB11="","",'GREEN SHEET'!AB11)</f>
        <v/>
      </c>
      <c r="P11" s="150" t="str">
        <f>IF('GREEN SHEET'!AW11="","",'GREEN SHEET'!AW11)</f>
        <v/>
      </c>
      <c r="Q11" s="150" t="str">
        <f>IF('GREEN SHEET'!AX11="","",'GREEN SHEET'!AX11)</f>
        <v/>
      </c>
      <c r="R11" s="149" t="str">
        <f>IF('GREEN SHEET'!BR11="","",'GREEN SHEET'!BR11)</f>
        <v/>
      </c>
      <c r="S11" s="149" t="str">
        <f>IF('GREEN SHEET'!BS11="","",'GREEN SHEET'!BS11)</f>
        <v/>
      </c>
      <c r="T11" s="150" t="str">
        <f>IF('GREEN SHEET'!CM11="","",'GREEN SHEET'!CM11)</f>
        <v/>
      </c>
      <c r="U11" s="150" t="str">
        <f>IF('GREEN SHEET'!CN11="","",'GREEN SHEET'!CN11)</f>
        <v/>
      </c>
      <c r="V11" s="152" t="str">
        <f>IF('GREEN SHEET'!DH11="","",'GREEN SHEET'!DH11)</f>
        <v/>
      </c>
      <c r="W11" s="152" t="str">
        <f>IF('GREEN SHEET'!DI11="","",'GREEN SHEET'!DI11)</f>
        <v/>
      </c>
      <c r="X11" s="150" t="str">
        <f>IF('GREEN SHEET'!DR11="","",'GREEN SHEET'!DR11)</f>
        <v/>
      </c>
      <c r="Y11" s="150" t="str">
        <f>IF('GREEN SHEET'!DS11="","",'GREEN SHEET'!DS11)</f>
        <v/>
      </c>
      <c r="Z11" s="153" t="str">
        <f>IF('GREEN SHEET'!FK11="PASS",'GREEN SHEET'!FP11,'GREEN SHEET'!FQ11)</f>
        <v/>
      </c>
      <c r="AA11" s="154" t="str">
        <f t="shared" si="1"/>
        <v/>
      </c>
      <c r="AB11" s="171" t="str">
        <f t="shared" si="5"/>
        <v/>
      </c>
      <c r="AC11" s="436" t="str">
        <f>IF('GREEN SHEET'!FU11="","",'GREEN SHEET'!FU11)</f>
        <v/>
      </c>
      <c r="AD11" s="338" t="str">
        <f>IF(Z11="","",RANK(Z11,Z$7:$Z$51,0)+COUNTIF($Z$7:Z11,Z11)-1)</f>
        <v/>
      </c>
      <c r="AE11" s="158" t="str">
        <f t="shared" si="2"/>
        <v/>
      </c>
      <c r="AF11" s="158" t="str">
        <f t="shared" si="3"/>
        <v/>
      </c>
      <c r="AG11" s="158" t="str">
        <f t="shared" si="6"/>
        <v/>
      </c>
    </row>
    <row r="12" spans="1:33" ht="16.8" hidden="1" x14ac:dyDescent="0.25">
      <c r="A12" s="177"/>
      <c r="B12" s="376">
        <v>6</v>
      </c>
      <c r="C12" s="156" t="str">
        <f t="shared" si="4"/>
        <v/>
      </c>
      <c r="D12" s="156" t="str">
        <f t="shared" si="0"/>
        <v/>
      </c>
      <c r="E12" s="96" t="str">
        <f>IF('GREEN SHEET'!C12="","",'GREEN SHEET'!C12)</f>
        <v/>
      </c>
      <c r="F12" s="96" t="str">
        <f>IF('GREEN SHEET'!D12="","",'GREEN SHEET'!D12)</f>
        <v/>
      </c>
      <c r="G12" s="96" t="str">
        <f>IF('GREEN SHEET'!E12="","",'GREEN SHEET'!E12)</f>
        <v/>
      </c>
      <c r="H12" s="96" t="str">
        <f>IF('GREEN SHEET'!F12="","",'GREEN SHEET'!F12)</f>
        <v/>
      </c>
      <c r="I12" s="96" t="str">
        <f>IF('GREEN SHEET'!G12="","",'GREEN SHEET'!G12)</f>
        <v/>
      </c>
      <c r="J12" s="96" t="str">
        <f>IF('GREEN SHEET'!H12="","",'GREEN SHEET'!H12)</f>
        <v/>
      </c>
      <c r="K12" s="96" t="str">
        <f>IF('GREEN SHEET'!I12="","",'GREEN SHEET'!I12)</f>
        <v/>
      </c>
      <c r="L12" s="96" t="str">
        <f>IF('GREEN SHEET'!J12="","",'GREEN SHEET'!J12)</f>
        <v/>
      </c>
      <c r="M12" s="96" t="str">
        <f>IF('GREEN SHEET'!K12="","",'GREEN SHEET'!K12)</f>
        <v/>
      </c>
      <c r="N12" s="149" t="str">
        <f>IF('GREEN SHEET'!AA12="","",'GREEN SHEET'!AA12)</f>
        <v/>
      </c>
      <c r="O12" s="149" t="str">
        <f>IF('GREEN SHEET'!AB12="","",'GREEN SHEET'!AB12)</f>
        <v/>
      </c>
      <c r="P12" s="150" t="str">
        <f>IF('GREEN SHEET'!AW12="","",'GREEN SHEET'!AW12)</f>
        <v/>
      </c>
      <c r="Q12" s="150" t="str">
        <f>IF('GREEN SHEET'!AX12="","",'GREEN SHEET'!AX12)</f>
        <v/>
      </c>
      <c r="R12" s="149" t="str">
        <f>IF('GREEN SHEET'!BR12="","",'GREEN SHEET'!BR12)</f>
        <v/>
      </c>
      <c r="S12" s="149" t="str">
        <f>IF('GREEN SHEET'!BS12="","",'GREEN SHEET'!BS12)</f>
        <v/>
      </c>
      <c r="T12" s="150" t="str">
        <f>IF('GREEN SHEET'!CM12="","",'GREEN SHEET'!CM12)</f>
        <v/>
      </c>
      <c r="U12" s="150" t="str">
        <f>IF('GREEN SHEET'!CN12="","",'GREEN SHEET'!CN12)</f>
        <v/>
      </c>
      <c r="V12" s="152" t="str">
        <f>IF('GREEN SHEET'!DH12="","",'GREEN SHEET'!DH12)</f>
        <v/>
      </c>
      <c r="W12" s="152" t="str">
        <f>IF('GREEN SHEET'!DI12="","",'GREEN SHEET'!DI12)</f>
        <v/>
      </c>
      <c r="X12" s="150" t="str">
        <f>IF('GREEN SHEET'!DR12="","",'GREEN SHEET'!DR12)</f>
        <v/>
      </c>
      <c r="Y12" s="150" t="str">
        <f>IF('GREEN SHEET'!DS12="","",'GREEN SHEET'!DS12)</f>
        <v/>
      </c>
      <c r="Z12" s="153" t="str">
        <f>IF('GREEN SHEET'!FK12="PASS",'GREEN SHEET'!FP12,'GREEN SHEET'!FQ12)</f>
        <v/>
      </c>
      <c r="AA12" s="154" t="str">
        <f t="shared" si="1"/>
        <v/>
      </c>
      <c r="AB12" s="171" t="str">
        <f t="shared" si="5"/>
        <v/>
      </c>
      <c r="AC12" s="436" t="str">
        <f>IF('GREEN SHEET'!FU12="","",'GREEN SHEET'!FU12)</f>
        <v/>
      </c>
      <c r="AD12" s="338" t="str">
        <f>IF(Z12="","",RANK(Z12,Z$7:$Z$51,0)+COUNTIF($Z$7:Z12,Z12)-1)</f>
        <v/>
      </c>
      <c r="AE12" s="158" t="str">
        <f t="shared" si="2"/>
        <v/>
      </c>
      <c r="AF12" s="158" t="str">
        <f t="shared" si="3"/>
        <v/>
      </c>
      <c r="AG12" s="158" t="str">
        <f t="shared" si="6"/>
        <v/>
      </c>
    </row>
    <row r="13" spans="1:33" ht="16.8" hidden="1" x14ac:dyDescent="0.25">
      <c r="A13" s="177"/>
      <c r="B13" s="376">
        <v>7</v>
      </c>
      <c r="C13" s="156" t="str">
        <f t="shared" si="4"/>
        <v/>
      </c>
      <c r="D13" s="156" t="str">
        <f t="shared" si="0"/>
        <v/>
      </c>
      <c r="E13" s="96" t="str">
        <f>IF('GREEN SHEET'!C13="","",'GREEN SHEET'!C13)</f>
        <v/>
      </c>
      <c r="F13" s="96" t="str">
        <f>IF('GREEN SHEET'!D13="","",'GREEN SHEET'!D13)</f>
        <v/>
      </c>
      <c r="G13" s="96" t="str">
        <f>IF('GREEN SHEET'!E13="","",'GREEN SHEET'!E13)</f>
        <v/>
      </c>
      <c r="H13" s="96" t="str">
        <f>IF('GREEN SHEET'!F13="","",'GREEN SHEET'!F13)</f>
        <v/>
      </c>
      <c r="I13" s="96" t="str">
        <f>IF('GREEN SHEET'!G13="","",'GREEN SHEET'!G13)</f>
        <v/>
      </c>
      <c r="J13" s="96" t="str">
        <f>IF('GREEN SHEET'!H13="","",'GREEN SHEET'!H13)</f>
        <v/>
      </c>
      <c r="K13" s="96" t="str">
        <f>IF('GREEN SHEET'!I13="","",'GREEN SHEET'!I13)</f>
        <v/>
      </c>
      <c r="L13" s="96" t="str">
        <f>IF('GREEN SHEET'!J13="","",'GREEN SHEET'!J13)</f>
        <v/>
      </c>
      <c r="M13" s="96" t="str">
        <f>IF('GREEN SHEET'!K13="","",'GREEN SHEET'!K13)</f>
        <v/>
      </c>
      <c r="N13" s="149" t="str">
        <f>IF('GREEN SHEET'!AA13="","",'GREEN SHEET'!AA13)</f>
        <v/>
      </c>
      <c r="O13" s="149" t="str">
        <f>IF('GREEN SHEET'!AB13="","",'GREEN SHEET'!AB13)</f>
        <v/>
      </c>
      <c r="P13" s="150" t="str">
        <f>IF('GREEN SHEET'!AW13="","",'GREEN SHEET'!AW13)</f>
        <v/>
      </c>
      <c r="Q13" s="150" t="str">
        <f>IF('GREEN SHEET'!AX13="","",'GREEN SHEET'!AX13)</f>
        <v/>
      </c>
      <c r="R13" s="149" t="str">
        <f>IF('GREEN SHEET'!BR13="","",'GREEN SHEET'!BR13)</f>
        <v/>
      </c>
      <c r="S13" s="149" t="str">
        <f>IF('GREEN SHEET'!BS13="","",'GREEN SHEET'!BS13)</f>
        <v/>
      </c>
      <c r="T13" s="150" t="str">
        <f>IF('GREEN SHEET'!CM13="","",'GREEN SHEET'!CM13)</f>
        <v/>
      </c>
      <c r="U13" s="150" t="str">
        <f>IF('GREEN SHEET'!CN13="","",'GREEN SHEET'!CN13)</f>
        <v/>
      </c>
      <c r="V13" s="152" t="str">
        <f>IF('GREEN SHEET'!DH13="","",'GREEN SHEET'!DH13)</f>
        <v/>
      </c>
      <c r="W13" s="152" t="str">
        <f>IF('GREEN SHEET'!DI13="","",'GREEN SHEET'!DI13)</f>
        <v/>
      </c>
      <c r="X13" s="150" t="str">
        <f>IF('GREEN SHEET'!DR13="","",'GREEN SHEET'!DR13)</f>
        <v/>
      </c>
      <c r="Y13" s="150" t="str">
        <f>IF('GREEN SHEET'!DS13="","",'GREEN SHEET'!DS13)</f>
        <v/>
      </c>
      <c r="Z13" s="153" t="str">
        <f>IF('GREEN SHEET'!FK13="PASS",'GREEN SHEET'!FP13,'GREEN SHEET'!FQ13)</f>
        <v/>
      </c>
      <c r="AA13" s="154" t="str">
        <f t="shared" si="1"/>
        <v/>
      </c>
      <c r="AB13" s="171" t="str">
        <f t="shared" si="5"/>
        <v/>
      </c>
      <c r="AC13" s="436" t="str">
        <f>IF('GREEN SHEET'!FU13="","",'GREEN SHEET'!FU13)</f>
        <v/>
      </c>
      <c r="AD13" s="338" t="str">
        <f>IF(Z13="","",RANK(Z13,Z$7:$Z$51,0)+COUNTIF($Z$7:Z13,Z13)-1)</f>
        <v/>
      </c>
      <c r="AE13" s="158" t="str">
        <f t="shared" si="2"/>
        <v/>
      </c>
      <c r="AF13" s="158" t="str">
        <f t="shared" si="3"/>
        <v/>
      </c>
      <c r="AG13" s="158" t="str">
        <f t="shared" si="6"/>
        <v/>
      </c>
    </row>
    <row r="14" spans="1:33" ht="16.8" hidden="1" x14ac:dyDescent="0.25">
      <c r="A14" s="177"/>
      <c r="B14" s="376">
        <v>8</v>
      </c>
      <c r="C14" s="156" t="str">
        <f t="shared" si="4"/>
        <v/>
      </c>
      <c r="D14" s="156" t="str">
        <f t="shared" si="0"/>
        <v/>
      </c>
      <c r="E14" s="96" t="str">
        <f>IF('GREEN SHEET'!C14="","",'GREEN SHEET'!C14)</f>
        <v/>
      </c>
      <c r="F14" s="96" t="str">
        <f>IF('GREEN SHEET'!D14="","",'GREEN SHEET'!D14)</f>
        <v/>
      </c>
      <c r="G14" s="96" t="str">
        <f>IF('GREEN SHEET'!E14="","",'GREEN SHEET'!E14)</f>
        <v/>
      </c>
      <c r="H14" s="96" t="str">
        <f>IF('GREEN SHEET'!F14="","",'GREEN SHEET'!F14)</f>
        <v/>
      </c>
      <c r="I14" s="96" t="str">
        <f>IF('GREEN SHEET'!G14="","",'GREEN SHEET'!G14)</f>
        <v/>
      </c>
      <c r="J14" s="96" t="str">
        <f>IF('GREEN SHEET'!H14="","",'GREEN SHEET'!H14)</f>
        <v/>
      </c>
      <c r="K14" s="96" t="str">
        <f>IF('GREEN SHEET'!I14="","",'GREEN SHEET'!I14)</f>
        <v/>
      </c>
      <c r="L14" s="96" t="str">
        <f>IF('GREEN SHEET'!J14="","",'GREEN SHEET'!J14)</f>
        <v/>
      </c>
      <c r="M14" s="96" t="str">
        <f>IF('GREEN SHEET'!K14="","",'GREEN SHEET'!K14)</f>
        <v/>
      </c>
      <c r="N14" s="149" t="str">
        <f>IF('GREEN SHEET'!AA14="","",'GREEN SHEET'!AA14)</f>
        <v/>
      </c>
      <c r="O14" s="149" t="str">
        <f>IF('GREEN SHEET'!AB14="","",'GREEN SHEET'!AB14)</f>
        <v/>
      </c>
      <c r="P14" s="150" t="str">
        <f>IF('GREEN SHEET'!AW14="","",'GREEN SHEET'!AW14)</f>
        <v/>
      </c>
      <c r="Q14" s="150" t="str">
        <f>IF('GREEN SHEET'!AX14="","",'GREEN SHEET'!AX14)</f>
        <v/>
      </c>
      <c r="R14" s="149" t="str">
        <f>IF('GREEN SHEET'!BR14="","",'GREEN SHEET'!BR14)</f>
        <v/>
      </c>
      <c r="S14" s="149" t="str">
        <f>IF('GREEN SHEET'!BS14="","",'GREEN SHEET'!BS14)</f>
        <v/>
      </c>
      <c r="T14" s="150" t="str">
        <f>IF('GREEN SHEET'!CM14="","",'GREEN SHEET'!CM14)</f>
        <v/>
      </c>
      <c r="U14" s="150" t="str">
        <f>IF('GREEN SHEET'!CN14="","",'GREEN SHEET'!CN14)</f>
        <v/>
      </c>
      <c r="V14" s="152" t="str">
        <f>IF('GREEN SHEET'!DH14="","",'GREEN SHEET'!DH14)</f>
        <v/>
      </c>
      <c r="W14" s="152" t="str">
        <f>IF('GREEN SHEET'!DI14="","",'GREEN SHEET'!DI14)</f>
        <v/>
      </c>
      <c r="X14" s="150" t="str">
        <f>IF('GREEN SHEET'!DR14="","",'GREEN SHEET'!DR14)</f>
        <v/>
      </c>
      <c r="Y14" s="150" t="str">
        <f>IF('GREEN SHEET'!DS14="","",'GREEN SHEET'!DS14)</f>
        <v/>
      </c>
      <c r="Z14" s="153" t="str">
        <f>IF('GREEN SHEET'!FK14="PASS",'GREEN SHEET'!FP14,'GREEN SHEET'!FQ14)</f>
        <v/>
      </c>
      <c r="AA14" s="154" t="str">
        <f t="shared" si="1"/>
        <v/>
      </c>
      <c r="AB14" s="171" t="str">
        <f t="shared" si="5"/>
        <v/>
      </c>
      <c r="AC14" s="436" t="str">
        <f>IF('GREEN SHEET'!FU14="","",'GREEN SHEET'!FU14)</f>
        <v/>
      </c>
      <c r="AD14" s="338" t="str">
        <f>IF(Z14="","",RANK(Z14,Z$7:$Z$51,0)+COUNTIF($Z$7:Z14,Z14)-1)</f>
        <v/>
      </c>
      <c r="AE14" s="158" t="str">
        <f t="shared" si="2"/>
        <v/>
      </c>
      <c r="AF14" s="158" t="str">
        <f t="shared" si="3"/>
        <v/>
      </c>
      <c r="AG14" s="158" t="str">
        <f t="shared" si="6"/>
        <v/>
      </c>
    </row>
    <row r="15" spans="1:33" ht="16.8" hidden="1" x14ac:dyDescent="0.25">
      <c r="A15" s="177"/>
      <c r="B15" s="376">
        <v>9</v>
      </c>
      <c r="C15" s="156" t="str">
        <f t="shared" si="4"/>
        <v/>
      </c>
      <c r="D15" s="156" t="str">
        <f t="shared" si="0"/>
        <v/>
      </c>
      <c r="E15" s="96" t="str">
        <f>IF('GREEN SHEET'!C15="","",'GREEN SHEET'!C15)</f>
        <v/>
      </c>
      <c r="F15" s="96" t="str">
        <f>IF('GREEN SHEET'!D15="","",'GREEN SHEET'!D15)</f>
        <v/>
      </c>
      <c r="G15" s="96" t="str">
        <f>IF('GREEN SHEET'!E15="","",'GREEN SHEET'!E15)</f>
        <v/>
      </c>
      <c r="H15" s="96" t="str">
        <f>IF('GREEN SHEET'!F15="","",'GREEN SHEET'!F15)</f>
        <v/>
      </c>
      <c r="I15" s="96" t="str">
        <f>IF('GREEN SHEET'!G15="","",'GREEN SHEET'!G15)</f>
        <v/>
      </c>
      <c r="J15" s="96" t="str">
        <f>IF('GREEN SHEET'!H15="","",'GREEN SHEET'!H15)</f>
        <v/>
      </c>
      <c r="K15" s="96" t="str">
        <f>IF('GREEN SHEET'!I15="","",'GREEN SHEET'!I15)</f>
        <v/>
      </c>
      <c r="L15" s="96" t="str">
        <f>IF('GREEN SHEET'!J15="","",'GREEN SHEET'!J15)</f>
        <v/>
      </c>
      <c r="M15" s="96" t="str">
        <f>IF('GREEN SHEET'!K15="","",'GREEN SHEET'!K15)</f>
        <v/>
      </c>
      <c r="N15" s="149" t="str">
        <f>IF('GREEN SHEET'!AA15="","",'GREEN SHEET'!AA15)</f>
        <v/>
      </c>
      <c r="O15" s="149" t="str">
        <f>IF('GREEN SHEET'!AB15="","",'GREEN SHEET'!AB15)</f>
        <v/>
      </c>
      <c r="P15" s="150" t="str">
        <f>IF('GREEN SHEET'!AW15="","",'GREEN SHEET'!AW15)</f>
        <v/>
      </c>
      <c r="Q15" s="150" t="str">
        <f>IF('GREEN SHEET'!AX15="","",'GREEN SHEET'!AX15)</f>
        <v/>
      </c>
      <c r="R15" s="149" t="str">
        <f>IF('GREEN SHEET'!BR15="","",'GREEN SHEET'!BR15)</f>
        <v/>
      </c>
      <c r="S15" s="149" t="str">
        <f>IF('GREEN SHEET'!BS15="","",'GREEN SHEET'!BS15)</f>
        <v/>
      </c>
      <c r="T15" s="150" t="str">
        <f>IF('GREEN SHEET'!CM15="","",'GREEN SHEET'!CM15)</f>
        <v/>
      </c>
      <c r="U15" s="150" t="str">
        <f>IF('GREEN SHEET'!CN15="","",'GREEN SHEET'!CN15)</f>
        <v/>
      </c>
      <c r="V15" s="152" t="str">
        <f>IF('GREEN SHEET'!DH15="","",'GREEN SHEET'!DH15)</f>
        <v/>
      </c>
      <c r="W15" s="152" t="str">
        <f>IF('GREEN SHEET'!DI15="","",'GREEN SHEET'!DI15)</f>
        <v/>
      </c>
      <c r="X15" s="150" t="str">
        <f>IF('GREEN SHEET'!DR15="","",'GREEN SHEET'!DR15)</f>
        <v/>
      </c>
      <c r="Y15" s="150" t="str">
        <f>IF('GREEN SHEET'!DS15="","",'GREEN SHEET'!DS15)</f>
        <v/>
      </c>
      <c r="Z15" s="153" t="str">
        <f>IF('GREEN SHEET'!FK15="PASS",'GREEN SHEET'!FP15,'GREEN SHEET'!FQ15)</f>
        <v/>
      </c>
      <c r="AA15" s="154" t="str">
        <f t="shared" si="1"/>
        <v/>
      </c>
      <c r="AB15" s="171" t="str">
        <f t="shared" si="5"/>
        <v/>
      </c>
      <c r="AC15" s="436" t="str">
        <f>IF('GREEN SHEET'!FU15="","",'GREEN SHEET'!FU15)</f>
        <v/>
      </c>
      <c r="AD15" s="338" t="str">
        <f>IF(Z15="","",RANK(Z15,Z$7:$Z$51,0)+COUNTIF($Z$7:Z15,Z15)-1)</f>
        <v/>
      </c>
      <c r="AE15" s="158" t="str">
        <f t="shared" si="2"/>
        <v/>
      </c>
      <c r="AF15" s="158" t="str">
        <f t="shared" si="3"/>
        <v/>
      </c>
      <c r="AG15" s="158" t="str">
        <f t="shared" si="6"/>
        <v/>
      </c>
    </row>
    <row r="16" spans="1:33" ht="16.8" hidden="1" x14ac:dyDescent="0.25">
      <c r="A16" s="177"/>
      <c r="B16" s="376">
        <v>10</v>
      </c>
      <c r="C16" s="156" t="str">
        <f t="shared" si="4"/>
        <v/>
      </c>
      <c r="D16" s="156" t="str">
        <f t="shared" si="0"/>
        <v/>
      </c>
      <c r="E16" s="96" t="str">
        <f>IF('GREEN SHEET'!C16="","",'GREEN SHEET'!C16)</f>
        <v/>
      </c>
      <c r="F16" s="96" t="str">
        <f>IF('GREEN SHEET'!D16="","",'GREEN SHEET'!D16)</f>
        <v/>
      </c>
      <c r="G16" s="96" t="str">
        <f>IF('GREEN SHEET'!E16="","",'GREEN SHEET'!E16)</f>
        <v/>
      </c>
      <c r="H16" s="96" t="str">
        <f>IF('GREEN SHEET'!F16="","",'GREEN SHEET'!F16)</f>
        <v/>
      </c>
      <c r="I16" s="96" t="str">
        <f>IF('GREEN SHEET'!G16="","",'GREEN SHEET'!G16)</f>
        <v/>
      </c>
      <c r="J16" s="96" t="str">
        <f>IF('GREEN SHEET'!H16="","",'GREEN SHEET'!H16)</f>
        <v/>
      </c>
      <c r="K16" s="96" t="str">
        <f>IF('GREEN SHEET'!I16="","",'GREEN SHEET'!I16)</f>
        <v/>
      </c>
      <c r="L16" s="96" t="str">
        <f>IF('GREEN SHEET'!J16="","",'GREEN SHEET'!J16)</f>
        <v/>
      </c>
      <c r="M16" s="96" t="str">
        <f>IF('GREEN SHEET'!K16="","",'GREEN SHEET'!K16)</f>
        <v/>
      </c>
      <c r="N16" s="149" t="str">
        <f>IF('GREEN SHEET'!AA16="","",'GREEN SHEET'!AA16)</f>
        <v/>
      </c>
      <c r="O16" s="149" t="str">
        <f>IF('GREEN SHEET'!AB16="","",'GREEN SHEET'!AB16)</f>
        <v/>
      </c>
      <c r="P16" s="150" t="str">
        <f>IF('GREEN SHEET'!AW16="","",'GREEN SHEET'!AW16)</f>
        <v/>
      </c>
      <c r="Q16" s="150" t="str">
        <f>IF('GREEN SHEET'!AX16="","",'GREEN SHEET'!AX16)</f>
        <v/>
      </c>
      <c r="R16" s="149" t="str">
        <f>IF('GREEN SHEET'!BR16="","",'GREEN SHEET'!BR16)</f>
        <v/>
      </c>
      <c r="S16" s="149" t="str">
        <f>IF('GREEN SHEET'!BS16="","",'GREEN SHEET'!BS16)</f>
        <v/>
      </c>
      <c r="T16" s="150" t="str">
        <f>IF('GREEN SHEET'!CM16="","",'GREEN SHEET'!CM16)</f>
        <v/>
      </c>
      <c r="U16" s="150" t="str">
        <f>IF('GREEN SHEET'!CN16="","",'GREEN SHEET'!CN16)</f>
        <v/>
      </c>
      <c r="V16" s="152" t="str">
        <f>IF('GREEN SHEET'!DH16="","",'GREEN SHEET'!DH16)</f>
        <v/>
      </c>
      <c r="W16" s="152" t="str">
        <f>IF('GREEN SHEET'!DI16="","",'GREEN SHEET'!DI16)</f>
        <v/>
      </c>
      <c r="X16" s="150" t="str">
        <f>IF('GREEN SHEET'!DR16="","",'GREEN SHEET'!DR16)</f>
        <v/>
      </c>
      <c r="Y16" s="150" t="str">
        <f>IF('GREEN SHEET'!DS16="","",'GREEN SHEET'!DS16)</f>
        <v/>
      </c>
      <c r="Z16" s="153" t="str">
        <f>IF('GREEN SHEET'!FK16="PASS",'GREEN SHEET'!FP16,'GREEN SHEET'!FQ16)</f>
        <v/>
      </c>
      <c r="AA16" s="154" t="str">
        <f t="shared" si="1"/>
        <v/>
      </c>
      <c r="AB16" s="171" t="str">
        <f t="shared" si="5"/>
        <v/>
      </c>
      <c r="AC16" s="436" t="str">
        <f>IF('GREEN SHEET'!FU16="","",'GREEN SHEET'!FU16)</f>
        <v/>
      </c>
      <c r="AD16" s="338" t="str">
        <f>IF(Z16="","",RANK(Z16,Z$7:$Z$51,0)+COUNTIF($Z$7:Z16,Z16)-1)</f>
        <v/>
      </c>
      <c r="AE16" s="158" t="str">
        <f t="shared" si="2"/>
        <v/>
      </c>
      <c r="AF16" s="158" t="str">
        <f t="shared" si="3"/>
        <v/>
      </c>
      <c r="AG16" s="158" t="str">
        <f t="shared" si="6"/>
        <v/>
      </c>
    </row>
    <row r="17" spans="1:33" ht="16.8" hidden="1" x14ac:dyDescent="0.25">
      <c r="A17" s="177"/>
      <c r="B17" s="376">
        <v>11</v>
      </c>
      <c r="C17" s="156" t="str">
        <f t="shared" si="4"/>
        <v/>
      </c>
      <c r="D17" s="156" t="str">
        <f t="shared" si="0"/>
        <v/>
      </c>
      <c r="E17" s="96" t="str">
        <f>IF('GREEN SHEET'!C17="","",'GREEN SHEET'!C17)</f>
        <v/>
      </c>
      <c r="F17" s="96" t="str">
        <f>IF('GREEN SHEET'!D17="","",'GREEN SHEET'!D17)</f>
        <v/>
      </c>
      <c r="G17" s="96" t="str">
        <f>IF('GREEN SHEET'!E17="","",'GREEN SHEET'!E17)</f>
        <v/>
      </c>
      <c r="H17" s="96" t="str">
        <f>IF('GREEN SHEET'!F17="","",'GREEN SHEET'!F17)</f>
        <v/>
      </c>
      <c r="I17" s="96" t="str">
        <f>IF('GREEN SHEET'!G17="","",'GREEN SHEET'!G17)</f>
        <v/>
      </c>
      <c r="J17" s="96" t="str">
        <f>IF('GREEN SHEET'!H17="","",'GREEN SHEET'!H17)</f>
        <v/>
      </c>
      <c r="K17" s="96" t="str">
        <f>IF('GREEN SHEET'!I17="","",'GREEN SHEET'!I17)</f>
        <v/>
      </c>
      <c r="L17" s="96" t="str">
        <f>IF('GREEN SHEET'!J17="","",'GREEN SHEET'!J17)</f>
        <v/>
      </c>
      <c r="M17" s="96" t="str">
        <f>IF('GREEN SHEET'!K17="","",'GREEN SHEET'!K17)</f>
        <v/>
      </c>
      <c r="N17" s="149" t="str">
        <f>IF('GREEN SHEET'!AA17="","",'GREEN SHEET'!AA17)</f>
        <v/>
      </c>
      <c r="O17" s="149" t="str">
        <f>IF('GREEN SHEET'!AB17="","",'GREEN SHEET'!AB17)</f>
        <v/>
      </c>
      <c r="P17" s="150" t="str">
        <f>IF('GREEN SHEET'!AW17="","",'GREEN SHEET'!AW17)</f>
        <v/>
      </c>
      <c r="Q17" s="150" t="str">
        <f>IF('GREEN SHEET'!AX17="","",'GREEN SHEET'!AX17)</f>
        <v/>
      </c>
      <c r="R17" s="149" t="str">
        <f>IF('GREEN SHEET'!BR17="","",'GREEN SHEET'!BR17)</f>
        <v/>
      </c>
      <c r="S17" s="149" t="str">
        <f>IF('GREEN SHEET'!BS17="","",'GREEN SHEET'!BS17)</f>
        <v/>
      </c>
      <c r="T17" s="150" t="str">
        <f>IF('GREEN SHEET'!CM17="","",'GREEN SHEET'!CM17)</f>
        <v/>
      </c>
      <c r="U17" s="150" t="str">
        <f>IF('GREEN SHEET'!CN17="","",'GREEN SHEET'!CN17)</f>
        <v/>
      </c>
      <c r="V17" s="152" t="str">
        <f>IF('GREEN SHEET'!DH17="","",'GREEN SHEET'!DH17)</f>
        <v/>
      </c>
      <c r="W17" s="152" t="str">
        <f>IF('GREEN SHEET'!DI17="","",'GREEN SHEET'!DI17)</f>
        <v/>
      </c>
      <c r="X17" s="150" t="str">
        <f>IF('GREEN SHEET'!DR17="","",'GREEN SHEET'!DR17)</f>
        <v/>
      </c>
      <c r="Y17" s="150" t="str">
        <f>IF('GREEN SHEET'!DS17="","",'GREEN SHEET'!DS17)</f>
        <v/>
      </c>
      <c r="Z17" s="153" t="str">
        <f>IF('GREEN SHEET'!FK17="PASS",'GREEN SHEET'!FP17,'GREEN SHEET'!FQ17)</f>
        <v/>
      </c>
      <c r="AA17" s="154" t="str">
        <f t="shared" si="1"/>
        <v/>
      </c>
      <c r="AB17" s="171" t="str">
        <f t="shared" si="5"/>
        <v/>
      </c>
      <c r="AC17" s="436" t="str">
        <f>IF('GREEN SHEET'!FU17="","",'GREEN SHEET'!FU17)</f>
        <v/>
      </c>
      <c r="AD17" s="338" t="str">
        <f>IF(Z17="","",RANK(Z17,Z$7:$Z$51,0)+COUNTIF($Z$7:Z17,Z17)-1)</f>
        <v/>
      </c>
      <c r="AE17" s="158" t="str">
        <f t="shared" si="2"/>
        <v/>
      </c>
      <c r="AF17" s="158" t="str">
        <f t="shared" si="3"/>
        <v/>
      </c>
      <c r="AG17" s="158" t="str">
        <f t="shared" si="6"/>
        <v/>
      </c>
    </row>
    <row r="18" spans="1:33" ht="16.8" hidden="1" x14ac:dyDescent="0.25">
      <c r="A18" s="177"/>
      <c r="B18" s="376">
        <v>12</v>
      </c>
      <c r="C18" s="156" t="str">
        <f t="shared" si="4"/>
        <v/>
      </c>
      <c r="D18" s="156" t="str">
        <f t="shared" si="0"/>
        <v/>
      </c>
      <c r="E18" s="96" t="str">
        <f>IF('GREEN SHEET'!C18="","",'GREEN SHEET'!C18)</f>
        <v/>
      </c>
      <c r="F18" s="96" t="str">
        <f>IF('GREEN SHEET'!D18="","",'GREEN SHEET'!D18)</f>
        <v/>
      </c>
      <c r="G18" s="96" t="str">
        <f>IF('GREEN SHEET'!E18="","",'GREEN SHEET'!E18)</f>
        <v/>
      </c>
      <c r="H18" s="96" t="str">
        <f>IF('GREEN SHEET'!F18="","",'GREEN SHEET'!F18)</f>
        <v/>
      </c>
      <c r="I18" s="96" t="str">
        <f>IF('GREEN SHEET'!G18="","",'GREEN SHEET'!G18)</f>
        <v/>
      </c>
      <c r="J18" s="96" t="str">
        <f>IF('GREEN SHEET'!H18="","",'GREEN SHEET'!H18)</f>
        <v/>
      </c>
      <c r="K18" s="96" t="str">
        <f>IF('GREEN SHEET'!I18="","",'GREEN SHEET'!I18)</f>
        <v/>
      </c>
      <c r="L18" s="96" t="str">
        <f>IF('GREEN SHEET'!J18="","",'GREEN SHEET'!J18)</f>
        <v/>
      </c>
      <c r="M18" s="96" t="str">
        <f>IF('GREEN SHEET'!K18="","",'GREEN SHEET'!K18)</f>
        <v/>
      </c>
      <c r="N18" s="149" t="str">
        <f>IF('GREEN SHEET'!AA18="","",'GREEN SHEET'!AA18)</f>
        <v/>
      </c>
      <c r="O18" s="149" t="str">
        <f>IF('GREEN SHEET'!AB18="","",'GREEN SHEET'!AB18)</f>
        <v/>
      </c>
      <c r="P18" s="150" t="str">
        <f>IF('GREEN SHEET'!AW18="","",'GREEN SHEET'!AW18)</f>
        <v/>
      </c>
      <c r="Q18" s="150" t="str">
        <f>IF('GREEN SHEET'!AX18="","",'GREEN SHEET'!AX18)</f>
        <v/>
      </c>
      <c r="R18" s="149" t="str">
        <f>IF('GREEN SHEET'!BR18="","",'GREEN SHEET'!BR18)</f>
        <v/>
      </c>
      <c r="S18" s="149" t="str">
        <f>IF('GREEN SHEET'!BS18="","",'GREEN SHEET'!BS18)</f>
        <v/>
      </c>
      <c r="T18" s="150" t="str">
        <f>IF('GREEN SHEET'!CM18="","",'GREEN SHEET'!CM18)</f>
        <v/>
      </c>
      <c r="U18" s="150" t="str">
        <f>IF('GREEN SHEET'!CN18="","",'GREEN SHEET'!CN18)</f>
        <v/>
      </c>
      <c r="V18" s="152" t="str">
        <f>IF('GREEN SHEET'!DH18="","",'GREEN SHEET'!DH18)</f>
        <v/>
      </c>
      <c r="W18" s="152" t="str">
        <f>IF('GREEN SHEET'!DI18="","",'GREEN SHEET'!DI18)</f>
        <v/>
      </c>
      <c r="X18" s="150" t="str">
        <f>IF('GREEN SHEET'!DR18="","",'GREEN SHEET'!DR18)</f>
        <v/>
      </c>
      <c r="Y18" s="150" t="str">
        <f>IF('GREEN SHEET'!DS18="","",'GREEN SHEET'!DS18)</f>
        <v/>
      </c>
      <c r="Z18" s="153" t="str">
        <f>IF('GREEN SHEET'!FK18="PASS",'GREEN SHEET'!FP18,'GREEN SHEET'!FQ18)</f>
        <v/>
      </c>
      <c r="AA18" s="154" t="str">
        <f t="shared" si="1"/>
        <v/>
      </c>
      <c r="AB18" s="171" t="str">
        <f t="shared" si="5"/>
        <v/>
      </c>
      <c r="AC18" s="436" t="str">
        <f>IF('GREEN SHEET'!FU18="","",'GREEN SHEET'!FU18)</f>
        <v/>
      </c>
      <c r="AD18" s="338" t="str">
        <f>IF(Z18="","",RANK(Z18,Z$7:$Z$51,0)+COUNTIF($Z$7:Z18,Z18)-1)</f>
        <v/>
      </c>
      <c r="AE18" s="158" t="str">
        <f t="shared" si="2"/>
        <v/>
      </c>
      <c r="AF18" s="158" t="str">
        <f t="shared" si="3"/>
        <v/>
      </c>
      <c r="AG18" s="158" t="str">
        <f t="shared" si="6"/>
        <v/>
      </c>
    </row>
    <row r="19" spans="1:33" ht="16.8" hidden="1" x14ac:dyDescent="0.25">
      <c r="A19" s="177"/>
      <c r="B19" s="376">
        <v>13</v>
      </c>
      <c r="C19" s="156" t="str">
        <f t="shared" si="4"/>
        <v/>
      </c>
      <c r="D19" s="156" t="str">
        <f t="shared" si="0"/>
        <v/>
      </c>
      <c r="E19" s="96" t="str">
        <f>IF('GREEN SHEET'!C19="","",'GREEN SHEET'!C19)</f>
        <v/>
      </c>
      <c r="F19" s="96" t="str">
        <f>IF('GREEN SHEET'!D19="","",'GREEN SHEET'!D19)</f>
        <v/>
      </c>
      <c r="G19" s="96" t="str">
        <f>IF('GREEN SHEET'!E19="","",'GREEN SHEET'!E19)</f>
        <v/>
      </c>
      <c r="H19" s="96" t="str">
        <f>IF('GREEN SHEET'!F19="","",'GREEN SHEET'!F19)</f>
        <v/>
      </c>
      <c r="I19" s="96" t="str">
        <f>IF('GREEN SHEET'!G19="","",'GREEN SHEET'!G19)</f>
        <v/>
      </c>
      <c r="J19" s="96" t="str">
        <f>IF('GREEN SHEET'!H19="","",'GREEN SHEET'!H19)</f>
        <v/>
      </c>
      <c r="K19" s="96" t="str">
        <f>IF('GREEN SHEET'!I19="","",'GREEN SHEET'!I19)</f>
        <v/>
      </c>
      <c r="L19" s="96" t="str">
        <f>IF('GREEN SHEET'!J19="","",'GREEN SHEET'!J19)</f>
        <v/>
      </c>
      <c r="M19" s="96" t="str">
        <f>IF('GREEN SHEET'!K19="","",'GREEN SHEET'!K19)</f>
        <v/>
      </c>
      <c r="N19" s="149" t="str">
        <f>IF('GREEN SHEET'!AA19="","",'GREEN SHEET'!AA19)</f>
        <v/>
      </c>
      <c r="O19" s="149" t="str">
        <f>IF('GREEN SHEET'!AB19="","",'GREEN SHEET'!AB19)</f>
        <v/>
      </c>
      <c r="P19" s="150" t="str">
        <f>IF('GREEN SHEET'!AW19="","",'GREEN SHEET'!AW19)</f>
        <v/>
      </c>
      <c r="Q19" s="150" t="str">
        <f>IF('GREEN SHEET'!AX19="","",'GREEN SHEET'!AX19)</f>
        <v/>
      </c>
      <c r="R19" s="149" t="str">
        <f>IF('GREEN SHEET'!BR19="","",'GREEN SHEET'!BR19)</f>
        <v/>
      </c>
      <c r="S19" s="149" t="str">
        <f>IF('GREEN SHEET'!BS19="","",'GREEN SHEET'!BS19)</f>
        <v/>
      </c>
      <c r="T19" s="150" t="str">
        <f>IF('GREEN SHEET'!CM19="","",'GREEN SHEET'!CM19)</f>
        <v/>
      </c>
      <c r="U19" s="150" t="str">
        <f>IF('GREEN SHEET'!CN19="","",'GREEN SHEET'!CN19)</f>
        <v/>
      </c>
      <c r="V19" s="152" t="str">
        <f>IF('GREEN SHEET'!DH19="","",'GREEN SHEET'!DH19)</f>
        <v/>
      </c>
      <c r="W19" s="152" t="str">
        <f>IF('GREEN SHEET'!DI19="","",'GREEN SHEET'!DI19)</f>
        <v/>
      </c>
      <c r="X19" s="150" t="str">
        <f>IF('GREEN SHEET'!DR19="","",'GREEN SHEET'!DR19)</f>
        <v/>
      </c>
      <c r="Y19" s="150" t="str">
        <f>IF('GREEN SHEET'!DS19="","",'GREEN SHEET'!DS19)</f>
        <v/>
      </c>
      <c r="Z19" s="153" t="str">
        <f>IF('GREEN SHEET'!FK19="PASS",'GREEN SHEET'!FP19,'GREEN SHEET'!FQ19)</f>
        <v/>
      </c>
      <c r="AA19" s="154" t="str">
        <f t="shared" si="1"/>
        <v/>
      </c>
      <c r="AB19" s="171" t="str">
        <f t="shared" si="5"/>
        <v/>
      </c>
      <c r="AC19" s="436" t="str">
        <f>IF('GREEN SHEET'!FU19="","",'GREEN SHEET'!FU19)</f>
        <v/>
      </c>
      <c r="AD19" s="338" t="str">
        <f>IF(Z19="","",RANK(Z19,Z$7:$Z$51,0)+COUNTIF($Z$7:Z19,Z19)-1)</f>
        <v/>
      </c>
      <c r="AE19" s="158" t="str">
        <f t="shared" si="2"/>
        <v/>
      </c>
      <c r="AF19" s="158" t="str">
        <f t="shared" si="3"/>
        <v/>
      </c>
      <c r="AG19" s="158" t="str">
        <f t="shared" si="6"/>
        <v/>
      </c>
    </row>
    <row r="20" spans="1:33" ht="16.8" hidden="1" x14ac:dyDescent="0.25">
      <c r="A20" s="177"/>
      <c r="B20" s="376">
        <v>14</v>
      </c>
      <c r="C20" s="156" t="str">
        <f t="shared" si="4"/>
        <v/>
      </c>
      <c r="D20" s="156" t="str">
        <f t="shared" si="0"/>
        <v/>
      </c>
      <c r="E20" s="96" t="str">
        <f>IF('GREEN SHEET'!C20="","",'GREEN SHEET'!C20)</f>
        <v/>
      </c>
      <c r="F20" s="96" t="str">
        <f>IF('GREEN SHEET'!D20="","",'GREEN SHEET'!D20)</f>
        <v/>
      </c>
      <c r="G20" s="96" t="str">
        <f>IF('GREEN SHEET'!E20="","",'GREEN SHEET'!E20)</f>
        <v/>
      </c>
      <c r="H20" s="96" t="str">
        <f>IF('GREEN SHEET'!F20="","",'GREEN SHEET'!F20)</f>
        <v/>
      </c>
      <c r="I20" s="96" t="str">
        <f>IF('GREEN SHEET'!G20="","",'GREEN SHEET'!G20)</f>
        <v/>
      </c>
      <c r="J20" s="96" t="str">
        <f>IF('GREEN SHEET'!H20="","",'GREEN SHEET'!H20)</f>
        <v/>
      </c>
      <c r="K20" s="96" t="str">
        <f>IF('GREEN SHEET'!I20="","",'GREEN SHEET'!I20)</f>
        <v/>
      </c>
      <c r="L20" s="96" t="str">
        <f>IF('GREEN SHEET'!J20="","",'GREEN SHEET'!J20)</f>
        <v/>
      </c>
      <c r="M20" s="96" t="str">
        <f>IF('GREEN SHEET'!K20="","",'GREEN SHEET'!K20)</f>
        <v/>
      </c>
      <c r="N20" s="149" t="str">
        <f>IF('GREEN SHEET'!AA20="","",'GREEN SHEET'!AA20)</f>
        <v/>
      </c>
      <c r="O20" s="149" t="str">
        <f>IF('GREEN SHEET'!AB20="","",'GREEN SHEET'!AB20)</f>
        <v/>
      </c>
      <c r="P20" s="150" t="str">
        <f>IF('GREEN SHEET'!AW20="","",'GREEN SHEET'!AW20)</f>
        <v/>
      </c>
      <c r="Q20" s="150" t="str">
        <f>IF('GREEN SHEET'!AX20="","",'GREEN SHEET'!AX20)</f>
        <v/>
      </c>
      <c r="R20" s="149" t="str">
        <f>IF('GREEN SHEET'!BR20="","",'GREEN SHEET'!BR20)</f>
        <v/>
      </c>
      <c r="S20" s="149" t="str">
        <f>IF('GREEN SHEET'!BS20="","",'GREEN SHEET'!BS20)</f>
        <v/>
      </c>
      <c r="T20" s="150" t="str">
        <f>IF('GREEN SHEET'!CM20="","",'GREEN SHEET'!CM20)</f>
        <v/>
      </c>
      <c r="U20" s="150" t="str">
        <f>IF('GREEN SHEET'!CN20="","",'GREEN SHEET'!CN20)</f>
        <v/>
      </c>
      <c r="V20" s="152" t="str">
        <f>IF('GREEN SHEET'!DH20="","",'GREEN SHEET'!DH20)</f>
        <v/>
      </c>
      <c r="W20" s="152" t="str">
        <f>IF('GREEN SHEET'!DI20="","",'GREEN SHEET'!DI20)</f>
        <v/>
      </c>
      <c r="X20" s="150" t="str">
        <f>IF('GREEN SHEET'!DR20="","",'GREEN SHEET'!DR20)</f>
        <v/>
      </c>
      <c r="Y20" s="150" t="str">
        <f>IF('GREEN SHEET'!DS20="","",'GREEN SHEET'!DS20)</f>
        <v/>
      </c>
      <c r="Z20" s="153" t="str">
        <f>IF('GREEN SHEET'!FK20="PASS",'GREEN SHEET'!FP20,'GREEN SHEET'!FQ20)</f>
        <v/>
      </c>
      <c r="AA20" s="154" t="str">
        <f t="shared" si="1"/>
        <v/>
      </c>
      <c r="AB20" s="171" t="str">
        <f t="shared" si="5"/>
        <v/>
      </c>
      <c r="AC20" s="436" t="str">
        <f>IF('GREEN SHEET'!FU20="","",'GREEN SHEET'!FU20)</f>
        <v/>
      </c>
      <c r="AD20" s="338" t="str">
        <f>IF(Z20="","",RANK(Z20,Z$7:$Z$51,0)+COUNTIF($Z$7:Z20,Z20)-1)</f>
        <v/>
      </c>
      <c r="AE20" s="158" t="str">
        <f t="shared" si="2"/>
        <v/>
      </c>
      <c r="AF20" s="158" t="str">
        <f t="shared" si="3"/>
        <v/>
      </c>
      <c r="AG20" s="158" t="str">
        <f t="shared" si="6"/>
        <v/>
      </c>
    </row>
    <row r="21" spans="1:33" ht="16.8" hidden="1" x14ac:dyDescent="0.25">
      <c r="A21" s="177"/>
      <c r="B21" s="376">
        <v>15</v>
      </c>
      <c r="C21" s="156" t="str">
        <f t="shared" si="4"/>
        <v/>
      </c>
      <c r="D21" s="156" t="str">
        <f t="shared" si="0"/>
        <v/>
      </c>
      <c r="E21" s="96" t="str">
        <f>IF('GREEN SHEET'!C21="","",'GREEN SHEET'!C21)</f>
        <v/>
      </c>
      <c r="F21" s="96" t="str">
        <f>IF('GREEN SHEET'!D21="","",'GREEN SHEET'!D21)</f>
        <v/>
      </c>
      <c r="G21" s="96" t="str">
        <f>IF('GREEN SHEET'!E21="","",'GREEN SHEET'!E21)</f>
        <v/>
      </c>
      <c r="H21" s="96" t="str">
        <f>IF('GREEN SHEET'!F21="","",'GREEN SHEET'!F21)</f>
        <v/>
      </c>
      <c r="I21" s="96" t="str">
        <f>IF('GREEN SHEET'!G21="","",'GREEN SHEET'!G21)</f>
        <v/>
      </c>
      <c r="J21" s="96" t="str">
        <f>IF('GREEN SHEET'!H21="","",'GREEN SHEET'!H21)</f>
        <v/>
      </c>
      <c r="K21" s="96" t="str">
        <f>IF('GREEN SHEET'!I21="","",'GREEN SHEET'!I21)</f>
        <v/>
      </c>
      <c r="L21" s="96" t="str">
        <f>IF('GREEN SHEET'!J21="","",'GREEN SHEET'!J21)</f>
        <v/>
      </c>
      <c r="M21" s="96" t="str">
        <f>IF('GREEN SHEET'!K21="","",'GREEN SHEET'!K21)</f>
        <v/>
      </c>
      <c r="N21" s="149" t="str">
        <f>IF('GREEN SHEET'!AA21="","",'GREEN SHEET'!AA21)</f>
        <v/>
      </c>
      <c r="O21" s="149" t="str">
        <f>IF('GREEN SHEET'!AB21="","",'GREEN SHEET'!AB21)</f>
        <v/>
      </c>
      <c r="P21" s="150" t="str">
        <f>IF('GREEN SHEET'!AW21="","",'GREEN SHEET'!AW21)</f>
        <v/>
      </c>
      <c r="Q21" s="150" t="str">
        <f>IF('GREEN SHEET'!AX21="","",'GREEN SHEET'!AX21)</f>
        <v/>
      </c>
      <c r="R21" s="149" t="str">
        <f>IF('GREEN SHEET'!BR21="","",'GREEN SHEET'!BR21)</f>
        <v/>
      </c>
      <c r="S21" s="149" t="str">
        <f>IF('GREEN SHEET'!BS21="","",'GREEN SHEET'!BS21)</f>
        <v/>
      </c>
      <c r="T21" s="150" t="str">
        <f>IF('GREEN SHEET'!CM21="","",'GREEN SHEET'!CM21)</f>
        <v/>
      </c>
      <c r="U21" s="150" t="str">
        <f>IF('GREEN SHEET'!CN21="","",'GREEN SHEET'!CN21)</f>
        <v/>
      </c>
      <c r="V21" s="152" t="str">
        <f>IF('GREEN SHEET'!DH21="","",'GREEN SHEET'!DH21)</f>
        <v/>
      </c>
      <c r="W21" s="152" t="str">
        <f>IF('GREEN SHEET'!DI21="","",'GREEN SHEET'!DI21)</f>
        <v/>
      </c>
      <c r="X21" s="150" t="str">
        <f>IF('GREEN SHEET'!DR21="","",'GREEN SHEET'!DR21)</f>
        <v/>
      </c>
      <c r="Y21" s="150" t="str">
        <f>IF('GREEN SHEET'!DS21="","",'GREEN SHEET'!DS21)</f>
        <v/>
      </c>
      <c r="Z21" s="153" t="str">
        <f>IF('GREEN SHEET'!FK21="PASS",'GREEN SHEET'!FP21,'GREEN SHEET'!FQ21)</f>
        <v/>
      </c>
      <c r="AA21" s="154" t="str">
        <f t="shared" si="1"/>
        <v/>
      </c>
      <c r="AB21" s="171" t="str">
        <f t="shared" si="5"/>
        <v/>
      </c>
      <c r="AC21" s="436" t="str">
        <f>IF('GREEN SHEET'!FU21="","",'GREEN SHEET'!FU21)</f>
        <v/>
      </c>
      <c r="AD21" s="338" t="str">
        <f>IF(Z21="","",RANK(Z21,Z$7:$Z$51,0)+COUNTIF($Z$7:Z21,Z21)-1)</f>
        <v/>
      </c>
      <c r="AE21" s="158" t="str">
        <f t="shared" si="2"/>
        <v/>
      </c>
      <c r="AF21" s="158" t="str">
        <f t="shared" si="3"/>
        <v/>
      </c>
      <c r="AG21" s="158" t="str">
        <f t="shared" si="6"/>
        <v/>
      </c>
    </row>
    <row r="22" spans="1:33" ht="16.8" hidden="1" x14ac:dyDescent="0.25">
      <c r="A22" s="177"/>
      <c r="B22" s="376">
        <v>16</v>
      </c>
      <c r="C22" s="156" t="str">
        <f t="shared" si="4"/>
        <v/>
      </c>
      <c r="D22" s="156" t="str">
        <f t="shared" si="0"/>
        <v/>
      </c>
      <c r="E22" s="96" t="str">
        <f>IF('GREEN SHEET'!C22="","",'GREEN SHEET'!C22)</f>
        <v/>
      </c>
      <c r="F22" s="96" t="str">
        <f>IF('GREEN SHEET'!D22="","",'GREEN SHEET'!D22)</f>
        <v/>
      </c>
      <c r="G22" s="96" t="str">
        <f>IF('GREEN SHEET'!E22="","",'GREEN SHEET'!E22)</f>
        <v/>
      </c>
      <c r="H22" s="96" t="str">
        <f>IF('GREEN SHEET'!F22="","",'GREEN SHEET'!F22)</f>
        <v/>
      </c>
      <c r="I22" s="96" t="str">
        <f>IF('GREEN SHEET'!G22="","",'GREEN SHEET'!G22)</f>
        <v/>
      </c>
      <c r="J22" s="96" t="str">
        <f>IF('GREEN SHEET'!H22="","",'GREEN SHEET'!H22)</f>
        <v/>
      </c>
      <c r="K22" s="96" t="str">
        <f>IF('GREEN SHEET'!I22="","",'GREEN SHEET'!I22)</f>
        <v/>
      </c>
      <c r="L22" s="96" t="str">
        <f>IF('GREEN SHEET'!J22="","",'GREEN SHEET'!J22)</f>
        <v/>
      </c>
      <c r="M22" s="96" t="str">
        <f>IF('GREEN SHEET'!K22="","",'GREEN SHEET'!K22)</f>
        <v/>
      </c>
      <c r="N22" s="149" t="str">
        <f>IF('GREEN SHEET'!AA22="","",'GREEN SHEET'!AA22)</f>
        <v/>
      </c>
      <c r="O22" s="149" t="str">
        <f>IF('GREEN SHEET'!AB22="","",'GREEN SHEET'!AB22)</f>
        <v/>
      </c>
      <c r="P22" s="150" t="str">
        <f>IF('GREEN SHEET'!AW22="","",'GREEN SHEET'!AW22)</f>
        <v/>
      </c>
      <c r="Q22" s="150" t="str">
        <f>IF('GREEN SHEET'!AX22="","",'GREEN SHEET'!AX22)</f>
        <v/>
      </c>
      <c r="R22" s="149" t="str">
        <f>IF('GREEN SHEET'!BR22="","",'GREEN SHEET'!BR22)</f>
        <v/>
      </c>
      <c r="S22" s="149" t="str">
        <f>IF('GREEN SHEET'!BS22="","",'GREEN SHEET'!BS22)</f>
        <v/>
      </c>
      <c r="T22" s="150" t="str">
        <f>IF('GREEN SHEET'!CM22="","",'GREEN SHEET'!CM22)</f>
        <v/>
      </c>
      <c r="U22" s="150" t="str">
        <f>IF('GREEN SHEET'!CN22="","",'GREEN SHEET'!CN22)</f>
        <v/>
      </c>
      <c r="V22" s="152" t="str">
        <f>IF('GREEN SHEET'!DH22="","",'GREEN SHEET'!DH22)</f>
        <v/>
      </c>
      <c r="W22" s="152" t="str">
        <f>IF('GREEN SHEET'!DI22="","",'GREEN SHEET'!DI22)</f>
        <v/>
      </c>
      <c r="X22" s="150" t="str">
        <f>IF('GREEN SHEET'!DR22="","",'GREEN SHEET'!DR22)</f>
        <v/>
      </c>
      <c r="Y22" s="150" t="str">
        <f>IF('GREEN SHEET'!DS22="","",'GREEN SHEET'!DS22)</f>
        <v/>
      </c>
      <c r="Z22" s="153" t="str">
        <f>IF('GREEN SHEET'!FK22="PASS",'GREEN SHEET'!FP22,'GREEN SHEET'!FQ22)</f>
        <v/>
      </c>
      <c r="AA22" s="154" t="str">
        <f t="shared" si="1"/>
        <v/>
      </c>
      <c r="AB22" s="171" t="str">
        <f t="shared" si="5"/>
        <v/>
      </c>
      <c r="AC22" s="436" t="str">
        <f>IF('GREEN SHEET'!FU22="","",'GREEN SHEET'!FU22)</f>
        <v/>
      </c>
      <c r="AD22" s="338" t="str">
        <f>IF(Z22="","",RANK(Z22,Z$7:$Z$51,0)+COUNTIF($Z$7:Z22,Z22)-1)</f>
        <v/>
      </c>
      <c r="AE22" s="158" t="str">
        <f t="shared" si="2"/>
        <v/>
      </c>
      <c r="AF22" s="158" t="str">
        <f t="shared" si="3"/>
        <v/>
      </c>
      <c r="AG22" s="158" t="str">
        <f t="shared" si="6"/>
        <v/>
      </c>
    </row>
    <row r="23" spans="1:33" ht="16.8" hidden="1" x14ac:dyDescent="0.25">
      <c r="A23" s="177"/>
      <c r="B23" s="376">
        <v>17</v>
      </c>
      <c r="C23" s="156" t="str">
        <f t="shared" si="4"/>
        <v/>
      </c>
      <c r="D23" s="156" t="str">
        <f t="shared" si="0"/>
        <v/>
      </c>
      <c r="E23" s="96" t="str">
        <f>IF('GREEN SHEET'!C23="","",'GREEN SHEET'!C23)</f>
        <v/>
      </c>
      <c r="F23" s="96" t="str">
        <f>IF('GREEN SHEET'!D23="","",'GREEN SHEET'!D23)</f>
        <v/>
      </c>
      <c r="G23" s="96" t="str">
        <f>IF('GREEN SHEET'!E23="","",'GREEN SHEET'!E23)</f>
        <v/>
      </c>
      <c r="H23" s="96" t="str">
        <f>IF('GREEN SHEET'!F23="","",'GREEN SHEET'!F23)</f>
        <v/>
      </c>
      <c r="I23" s="96" t="str">
        <f>IF('GREEN SHEET'!G23="","",'GREEN SHEET'!G23)</f>
        <v/>
      </c>
      <c r="J23" s="96" t="str">
        <f>IF('GREEN SHEET'!H23="","",'GREEN SHEET'!H23)</f>
        <v/>
      </c>
      <c r="K23" s="96" t="str">
        <f>IF('GREEN SHEET'!I23="","",'GREEN SHEET'!I23)</f>
        <v/>
      </c>
      <c r="L23" s="96" t="str">
        <f>IF('GREEN SHEET'!J23="","",'GREEN SHEET'!J23)</f>
        <v/>
      </c>
      <c r="M23" s="96" t="str">
        <f>IF('GREEN SHEET'!K23="","",'GREEN SHEET'!K23)</f>
        <v/>
      </c>
      <c r="N23" s="149" t="str">
        <f>IF('GREEN SHEET'!AA23="","",'GREEN SHEET'!AA23)</f>
        <v/>
      </c>
      <c r="O23" s="149" t="str">
        <f>IF('GREEN SHEET'!AB23="","",'GREEN SHEET'!AB23)</f>
        <v/>
      </c>
      <c r="P23" s="150" t="str">
        <f>IF('GREEN SHEET'!AW23="","",'GREEN SHEET'!AW23)</f>
        <v/>
      </c>
      <c r="Q23" s="150" t="str">
        <f>IF('GREEN SHEET'!AX23="","",'GREEN SHEET'!AX23)</f>
        <v/>
      </c>
      <c r="R23" s="149" t="str">
        <f>IF('GREEN SHEET'!BR23="","",'GREEN SHEET'!BR23)</f>
        <v/>
      </c>
      <c r="S23" s="149" t="str">
        <f>IF('GREEN SHEET'!BS23="","",'GREEN SHEET'!BS23)</f>
        <v/>
      </c>
      <c r="T23" s="150" t="str">
        <f>IF('GREEN SHEET'!CM23="","",'GREEN SHEET'!CM23)</f>
        <v/>
      </c>
      <c r="U23" s="150" t="str">
        <f>IF('GREEN SHEET'!CN23="","",'GREEN SHEET'!CN23)</f>
        <v/>
      </c>
      <c r="V23" s="152" t="str">
        <f>IF('GREEN SHEET'!DH23="","",'GREEN SHEET'!DH23)</f>
        <v/>
      </c>
      <c r="W23" s="152" t="str">
        <f>IF('GREEN SHEET'!DI23="","",'GREEN SHEET'!DI23)</f>
        <v/>
      </c>
      <c r="X23" s="150" t="str">
        <f>IF('GREEN SHEET'!DR23="","",'GREEN SHEET'!DR23)</f>
        <v/>
      </c>
      <c r="Y23" s="150" t="str">
        <f>IF('GREEN SHEET'!DS23="","",'GREEN SHEET'!DS23)</f>
        <v/>
      </c>
      <c r="Z23" s="153" t="str">
        <f>IF('GREEN SHEET'!FK23="PASS",'GREEN SHEET'!FP23,'GREEN SHEET'!FQ23)</f>
        <v/>
      </c>
      <c r="AA23" s="154" t="str">
        <f t="shared" si="1"/>
        <v/>
      </c>
      <c r="AB23" s="171" t="str">
        <f t="shared" si="5"/>
        <v/>
      </c>
      <c r="AC23" s="436" t="str">
        <f>IF('GREEN SHEET'!FU23="","",'GREEN SHEET'!FU23)</f>
        <v/>
      </c>
      <c r="AD23" s="338" t="str">
        <f>IF(Z23="","",RANK(Z23,Z$7:$Z$51,0)+COUNTIF($Z$7:Z23,Z23)-1)</f>
        <v/>
      </c>
      <c r="AE23" s="158" t="str">
        <f t="shared" si="2"/>
        <v/>
      </c>
      <c r="AF23" s="158" t="str">
        <f t="shared" si="3"/>
        <v/>
      </c>
      <c r="AG23" s="158" t="str">
        <f t="shared" si="6"/>
        <v/>
      </c>
    </row>
    <row r="24" spans="1:33" ht="16.8" hidden="1" x14ac:dyDescent="0.25">
      <c r="A24" s="177"/>
      <c r="B24" s="376">
        <v>18</v>
      </c>
      <c r="C24" s="156" t="str">
        <f t="shared" si="4"/>
        <v/>
      </c>
      <c r="D24" s="156" t="str">
        <f t="shared" si="0"/>
        <v/>
      </c>
      <c r="E24" s="96" t="str">
        <f>IF('GREEN SHEET'!C24="","",'GREEN SHEET'!C24)</f>
        <v/>
      </c>
      <c r="F24" s="96" t="str">
        <f>IF('GREEN SHEET'!D24="","",'GREEN SHEET'!D24)</f>
        <v/>
      </c>
      <c r="G24" s="96" t="str">
        <f>IF('GREEN SHEET'!E24="","",'GREEN SHEET'!E24)</f>
        <v/>
      </c>
      <c r="H24" s="96" t="str">
        <f>IF('GREEN SHEET'!F24="","",'GREEN SHEET'!F24)</f>
        <v/>
      </c>
      <c r="I24" s="96" t="str">
        <f>IF('GREEN SHEET'!G24="","",'GREEN SHEET'!G24)</f>
        <v/>
      </c>
      <c r="J24" s="96" t="str">
        <f>IF('GREEN SHEET'!H24="","",'GREEN SHEET'!H24)</f>
        <v/>
      </c>
      <c r="K24" s="96" t="str">
        <f>IF('GREEN SHEET'!I24="","",'GREEN SHEET'!I24)</f>
        <v/>
      </c>
      <c r="L24" s="96" t="str">
        <f>IF('GREEN SHEET'!J24="","",'GREEN SHEET'!J24)</f>
        <v/>
      </c>
      <c r="M24" s="96" t="str">
        <f>IF('GREEN SHEET'!K24="","",'GREEN SHEET'!K24)</f>
        <v/>
      </c>
      <c r="N24" s="149" t="str">
        <f>IF('GREEN SHEET'!AA24="","",'GREEN SHEET'!AA24)</f>
        <v/>
      </c>
      <c r="O24" s="149" t="str">
        <f>IF('GREEN SHEET'!AB24="","",'GREEN SHEET'!AB24)</f>
        <v/>
      </c>
      <c r="P24" s="150" t="str">
        <f>IF('GREEN SHEET'!AW24="","",'GREEN SHEET'!AW24)</f>
        <v/>
      </c>
      <c r="Q24" s="150" t="str">
        <f>IF('GREEN SHEET'!AX24="","",'GREEN SHEET'!AX24)</f>
        <v/>
      </c>
      <c r="R24" s="149" t="str">
        <f>IF('GREEN SHEET'!BR24="","",'GREEN SHEET'!BR24)</f>
        <v/>
      </c>
      <c r="S24" s="149" t="str">
        <f>IF('GREEN SHEET'!BS24="","",'GREEN SHEET'!BS24)</f>
        <v/>
      </c>
      <c r="T24" s="150" t="str">
        <f>IF('GREEN SHEET'!CM24="","",'GREEN SHEET'!CM24)</f>
        <v/>
      </c>
      <c r="U24" s="150" t="str">
        <f>IF('GREEN SHEET'!CN24="","",'GREEN SHEET'!CN24)</f>
        <v/>
      </c>
      <c r="V24" s="152" t="str">
        <f>IF('GREEN SHEET'!DH24="","",'GREEN SHEET'!DH24)</f>
        <v/>
      </c>
      <c r="W24" s="152" t="str">
        <f>IF('GREEN SHEET'!DI24="","",'GREEN SHEET'!DI24)</f>
        <v/>
      </c>
      <c r="X24" s="150" t="str">
        <f>IF('GREEN SHEET'!DR24="","",'GREEN SHEET'!DR24)</f>
        <v/>
      </c>
      <c r="Y24" s="150" t="str">
        <f>IF('GREEN SHEET'!DS24="","",'GREEN SHEET'!DS24)</f>
        <v/>
      </c>
      <c r="Z24" s="153" t="str">
        <f>IF('GREEN SHEET'!FK24="PASS",'GREEN SHEET'!FP24,'GREEN SHEET'!FQ24)</f>
        <v/>
      </c>
      <c r="AA24" s="154" t="str">
        <f t="shared" si="1"/>
        <v/>
      </c>
      <c r="AB24" s="171" t="str">
        <f t="shared" si="5"/>
        <v/>
      </c>
      <c r="AC24" s="436" t="str">
        <f>IF('GREEN SHEET'!FU24="","",'GREEN SHEET'!FU24)</f>
        <v/>
      </c>
      <c r="AD24" s="338" t="str">
        <f>IF(Z24="","",RANK(Z24,Z$7:$Z$51,0)+COUNTIF($Z$7:Z24,Z24)-1)</f>
        <v/>
      </c>
      <c r="AE24" s="158" t="str">
        <f t="shared" si="2"/>
        <v/>
      </c>
      <c r="AF24" s="158" t="str">
        <f t="shared" si="3"/>
        <v/>
      </c>
      <c r="AG24" s="158" t="str">
        <f t="shared" si="6"/>
        <v/>
      </c>
    </row>
    <row r="25" spans="1:33" ht="16.8" hidden="1" x14ac:dyDescent="0.25">
      <c r="A25" s="177"/>
      <c r="B25" s="376">
        <v>19</v>
      </c>
      <c r="C25" s="156" t="str">
        <f t="shared" si="4"/>
        <v/>
      </c>
      <c r="D25" s="156" t="str">
        <f t="shared" si="0"/>
        <v/>
      </c>
      <c r="E25" s="96" t="str">
        <f>IF('GREEN SHEET'!C25="","",'GREEN SHEET'!C25)</f>
        <v/>
      </c>
      <c r="F25" s="96" t="str">
        <f>IF('GREEN SHEET'!D25="","",'GREEN SHEET'!D25)</f>
        <v/>
      </c>
      <c r="G25" s="96" t="str">
        <f>IF('GREEN SHEET'!E25="","",'GREEN SHEET'!E25)</f>
        <v/>
      </c>
      <c r="H25" s="96" t="str">
        <f>IF('GREEN SHEET'!F25="","",'GREEN SHEET'!F25)</f>
        <v/>
      </c>
      <c r="I25" s="96" t="str">
        <f>IF('GREEN SHEET'!G25="","",'GREEN SHEET'!G25)</f>
        <v/>
      </c>
      <c r="J25" s="96" t="str">
        <f>IF('GREEN SHEET'!H25="","",'GREEN SHEET'!H25)</f>
        <v/>
      </c>
      <c r="K25" s="96" t="str">
        <f>IF('GREEN SHEET'!I25="","",'GREEN SHEET'!I25)</f>
        <v/>
      </c>
      <c r="L25" s="96" t="str">
        <f>IF('GREEN SHEET'!J25="","",'GREEN SHEET'!J25)</f>
        <v/>
      </c>
      <c r="M25" s="96" t="str">
        <f>IF('GREEN SHEET'!K25="","",'GREEN SHEET'!K25)</f>
        <v/>
      </c>
      <c r="N25" s="149" t="str">
        <f>IF('GREEN SHEET'!AA25="","",'GREEN SHEET'!AA25)</f>
        <v/>
      </c>
      <c r="O25" s="149" t="str">
        <f>IF('GREEN SHEET'!AB25="","",'GREEN SHEET'!AB25)</f>
        <v/>
      </c>
      <c r="P25" s="150" t="str">
        <f>IF('GREEN SHEET'!AW25="","",'GREEN SHEET'!AW25)</f>
        <v/>
      </c>
      <c r="Q25" s="150" t="str">
        <f>IF('GREEN SHEET'!AX25="","",'GREEN SHEET'!AX25)</f>
        <v/>
      </c>
      <c r="R25" s="149" t="str">
        <f>IF('GREEN SHEET'!BR25="","",'GREEN SHEET'!BR25)</f>
        <v/>
      </c>
      <c r="S25" s="149" t="str">
        <f>IF('GREEN SHEET'!BS25="","",'GREEN SHEET'!BS25)</f>
        <v/>
      </c>
      <c r="T25" s="150" t="str">
        <f>IF('GREEN SHEET'!CM25="","",'GREEN SHEET'!CM25)</f>
        <v/>
      </c>
      <c r="U25" s="150" t="str">
        <f>IF('GREEN SHEET'!CN25="","",'GREEN SHEET'!CN25)</f>
        <v/>
      </c>
      <c r="V25" s="152" t="str">
        <f>IF('GREEN SHEET'!DH25="","",'GREEN SHEET'!DH25)</f>
        <v/>
      </c>
      <c r="W25" s="152" t="str">
        <f>IF('GREEN SHEET'!DI25="","",'GREEN SHEET'!DI25)</f>
        <v/>
      </c>
      <c r="X25" s="150" t="str">
        <f>IF('GREEN SHEET'!DR25="","",'GREEN SHEET'!DR25)</f>
        <v/>
      </c>
      <c r="Y25" s="150" t="str">
        <f>IF('GREEN SHEET'!DS25="","",'GREEN SHEET'!DS25)</f>
        <v/>
      </c>
      <c r="Z25" s="153" t="str">
        <f>IF('GREEN SHEET'!FK25="PASS",'GREEN SHEET'!FP25,'GREEN SHEET'!FQ25)</f>
        <v/>
      </c>
      <c r="AA25" s="154" t="str">
        <f t="shared" si="1"/>
        <v/>
      </c>
      <c r="AB25" s="171" t="str">
        <f t="shared" si="5"/>
        <v/>
      </c>
      <c r="AC25" s="436" t="str">
        <f>IF('GREEN SHEET'!FU25="","",'GREEN SHEET'!FU25)</f>
        <v/>
      </c>
      <c r="AD25" s="338" t="str">
        <f>IF(Z25="","",RANK(Z25,Z$7:$Z$51,0)+COUNTIF($Z$7:Z25,Z25)-1)</f>
        <v/>
      </c>
      <c r="AE25" s="158" t="str">
        <f t="shared" si="2"/>
        <v/>
      </c>
      <c r="AF25" s="158" t="str">
        <f t="shared" si="3"/>
        <v/>
      </c>
      <c r="AG25" s="158" t="str">
        <f t="shared" si="6"/>
        <v/>
      </c>
    </row>
    <row r="26" spans="1:33" ht="16.8" hidden="1" x14ac:dyDescent="0.25">
      <c r="A26" s="177"/>
      <c r="B26" s="376">
        <v>20</v>
      </c>
      <c r="C26" s="156" t="str">
        <f t="shared" si="4"/>
        <v/>
      </c>
      <c r="D26" s="156" t="str">
        <f t="shared" si="0"/>
        <v/>
      </c>
      <c r="E26" s="96" t="str">
        <f>IF('GREEN SHEET'!C26="","",'GREEN SHEET'!C26)</f>
        <v/>
      </c>
      <c r="F26" s="96" t="str">
        <f>IF('GREEN SHEET'!D26="","",'GREEN SHEET'!D26)</f>
        <v/>
      </c>
      <c r="G26" s="96" t="str">
        <f>IF('GREEN SHEET'!E26="","",'GREEN SHEET'!E26)</f>
        <v/>
      </c>
      <c r="H26" s="96" t="str">
        <f>IF('GREEN SHEET'!F26="","",'GREEN SHEET'!F26)</f>
        <v/>
      </c>
      <c r="I26" s="96" t="str">
        <f>IF('GREEN SHEET'!G26="","",'GREEN SHEET'!G26)</f>
        <v/>
      </c>
      <c r="J26" s="96" t="str">
        <f>IF('GREEN SHEET'!H26="","",'GREEN SHEET'!H26)</f>
        <v/>
      </c>
      <c r="K26" s="96" t="str">
        <f>IF('GREEN SHEET'!I26="","",'GREEN SHEET'!I26)</f>
        <v/>
      </c>
      <c r="L26" s="96" t="str">
        <f>IF('GREEN SHEET'!J26="","",'GREEN SHEET'!J26)</f>
        <v/>
      </c>
      <c r="M26" s="96" t="str">
        <f>IF('GREEN SHEET'!K26="","",'GREEN SHEET'!K26)</f>
        <v/>
      </c>
      <c r="N26" s="149" t="str">
        <f>IF('GREEN SHEET'!AA26="","",'GREEN SHEET'!AA26)</f>
        <v/>
      </c>
      <c r="O26" s="149" t="str">
        <f>IF('GREEN SHEET'!AB26="","",'GREEN SHEET'!AB26)</f>
        <v/>
      </c>
      <c r="P26" s="150" t="str">
        <f>IF('GREEN SHEET'!AW26="","",'GREEN SHEET'!AW26)</f>
        <v/>
      </c>
      <c r="Q26" s="150" t="str">
        <f>IF('GREEN SHEET'!AX26="","",'GREEN SHEET'!AX26)</f>
        <v/>
      </c>
      <c r="R26" s="149" t="str">
        <f>IF('GREEN SHEET'!BR26="","",'GREEN SHEET'!BR26)</f>
        <v/>
      </c>
      <c r="S26" s="149" t="str">
        <f>IF('GREEN SHEET'!BS26="","",'GREEN SHEET'!BS26)</f>
        <v/>
      </c>
      <c r="T26" s="150" t="str">
        <f>IF('GREEN SHEET'!CM26="","",'GREEN SHEET'!CM26)</f>
        <v/>
      </c>
      <c r="U26" s="150" t="str">
        <f>IF('GREEN SHEET'!CN26="","",'GREEN SHEET'!CN26)</f>
        <v/>
      </c>
      <c r="V26" s="152" t="str">
        <f>IF('GREEN SHEET'!DH26="","",'GREEN SHEET'!DH26)</f>
        <v/>
      </c>
      <c r="W26" s="152" t="str">
        <f>IF('GREEN SHEET'!DI26="","",'GREEN SHEET'!DI26)</f>
        <v/>
      </c>
      <c r="X26" s="150" t="str">
        <f>IF('GREEN SHEET'!DR26="","",'GREEN SHEET'!DR26)</f>
        <v/>
      </c>
      <c r="Y26" s="150" t="str">
        <f>IF('GREEN SHEET'!DS26="","",'GREEN SHEET'!DS26)</f>
        <v/>
      </c>
      <c r="Z26" s="153" t="str">
        <f>IF('GREEN SHEET'!FK26="PASS",'GREEN SHEET'!FP26,'GREEN SHEET'!FQ26)</f>
        <v/>
      </c>
      <c r="AA26" s="154" t="str">
        <f t="shared" si="1"/>
        <v/>
      </c>
      <c r="AB26" s="171" t="str">
        <f t="shared" si="5"/>
        <v/>
      </c>
      <c r="AC26" s="436" t="str">
        <f>IF('GREEN SHEET'!FU26="","",'GREEN SHEET'!FU26)</f>
        <v/>
      </c>
      <c r="AD26" s="338" t="str">
        <f>IF(Z26="","",RANK(Z26,Z$7:$Z$51,0)+COUNTIF($Z$7:Z26,Z26)-1)</f>
        <v/>
      </c>
      <c r="AE26" s="158" t="str">
        <f t="shared" si="2"/>
        <v/>
      </c>
      <c r="AF26" s="158" t="str">
        <f t="shared" si="3"/>
        <v/>
      </c>
      <c r="AG26" s="158" t="str">
        <f t="shared" si="6"/>
        <v/>
      </c>
    </row>
    <row r="27" spans="1:33" ht="16.8" hidden="1" x14ac:dyDescent="0.25">
      <c r="A27" s="177"/>
      <c r="B27" s="376">
        <v>21</v>
      </c>
      <c r="C27" s="156" t="str">
        <f t="shared" si="4"/>
        <v/>
      </c>
      <c r="D27" s="156" t="str">
        <f t="shared" si="0"/>
        <v/>
      </c>
      <c r="E27" s="96" t="str">
        <f>IF('GREEN SHEET'!C27="","",'GREEN SHEET'!C27)</f>
        <v/>
      </c>
      <c r="F27" s="96" t="str">
        <f>IF('GREEN SHEET'!D27="","",'GREEN SHEET'!D27)</f>
        <v/>
      </c>
      <c r="G27" s="96" t="str">
        <f>IF('GREEN SHEET'!E27="","",'GREEN SHEET'!E27)</f>
        <v/>
      </c>
      <c r="H27" s="96" t="str">
        <f>IF('GREEN SHEET'!F27="","",'GREEN SHEET'!F27)</f>
        <v/>
      </c>
      <c r="I27" s="96" t="str">
        <f>IF('GREEN SHEET'!G27="","",'GREEN SHEET'!G27)</f>
        <v/>
      </c>
      <c r="J27" s="96" t="str">
        <f>IF('GREEN SHEET'!H27="","",'GREEN SHEET'!H27)</f>
        <v/>
      </c>
      <c r="K27" s="96" t="str">
        <f>IF('GREEN SHEET'!I27="","",'GREEN SHEET'!I27)</f>
        <v/>
      </c>
      <c r="L27" s="96" t="str">
        <f>IF('GREEN SHEET'!J27="","",'GREEN SHEET'!J27)</f>
        <v/>
      </c>
      <c r="M27" s="96" t="str">
        <f>IF('GREEN SHEET'!K27="","",'GREEN SHEET'!K27)</f>
        <v/>
      </c>
      <c r="N27" s="149" t="str">
        <f>IF('GREEN SHEET'!AA27="","",'GREEN SHEET'!AA27)</f>
        <v/>
      </c>
      <c r="O27" s="149" t="str">
        <f>IF('GREEN SHEET'!AB27="","",'GREEN SHEET'!AB27)</f>
        <v/>
      </c>
      <c r="P27" s="150" t="str">
        <f>IF('GREEN SHEET'!AW27="","",'GREEN SHEET'!AW27)</f>
        <v/>
      </c>
      <c r="Q27" s="150" t="str">
        <f>IF('GREEN SHEET'!AX27="","",'GREEN SHEET'!AX27)</f>
        <v/>
      </c>
      <c r="R27" s="149" t="str">
        <f>IF('GREEN SHEET'!BR27="","",'GREEN SHEET'!BR27)</f>
        <v/>
      </c>
      <c r="S27" s="149" t="str">
        <f>IF('GREEN SHEET'!BS27="","",'GREEN SHEET'!BS27)</f>
        <v/>
      </c>
      <c r="T27" s="150" t="str">
        <f>IF('GREEN SHEET'!CM27="","",'GREEN SHEET'!CM27)</f>
        <v/>
      </c>
      <c r="U27" s="150" t="str">
        <f>IF('GREEN SHEET'!CN27="","",'GREEN SHEET'!CN27)</f>
        <v/>
      </c>
      <c r="V27" s="152" t="str">
        <f>IF('GREEN SHEET'!DH27="","",'GREEN SHEET'!DH27)</f>
        <v/>
      </c>
      <c r="W27" s="152" t="str">
        <f>IF('GREEN SHEET'!DI27="","",'GREEN SHEET'!DI27)</f>
        <v/>
      </c>
      <c r="X27" s="150" t="str">
        <f>IF('GREEN SHEET'!DR27="","",'GREEN SHEET'!DR27)</f>
        <v/>
      </c>
      <c r="Y27" s="150" t="str">
        <f>IF('GREEN SHEET'!DS27="","",'GREEN SHEET'!DS27)</f>
        <v/>
      </c>
      <c r="Z27" s="153" t="str">
        <f>IF('GREEN SHEET'!FK27="PASS",'GREEN SHEET'!FP27,'GREEN SHEET'!FQ27)</f>
        <v/>
      </c>
      <c r="AA27" s="154" t="str">
        <f t="shared" si="1"/>
        <v/>
      </c>
      <c r="AB27" s="171" t="str">
        <f t="shared" si="5"/>
        <v/>
      </c>
      <c r="AC27" s="436" t="str">
        <f>IF('GREEN SHEET'!FU27="","",'GREEN SHEET'!FU27)</f>
        <v/>
      </c>
      <c r="AD27" s="338" t="str">
        <f>IF(Z27="","",RANK(Z27,Z$7:$Z$51,0)+COUNTIF($Z$7:Z27,Z27)-1)</f>
        <v/>
      </c>
      <c r="AE27" s="158" t="str">
        <f t="shared" si="2"/>
        <v/>
      </c>
      <c r="AF27" s="158" t="str">
        <f t="shared" si="3"/>
        <v/>
      </c>
      <c r="AG27" s="158" t="str">
        <f t="shared" si="6"/>
        <v/>
      </c>
    </row>
    <row r="28" spans="1:33" ht="16.8" hidden="1" x14ac:dyDescent="0.25">
      <c r="A28" s="177"/>
      <c r="B28" s="376">
        <v>22</v>
      </c>
      <c r="C28" s="156" t="str">
        <f t="shared" si="4"/>
        <v/>
      </c>
      <c r="D28" s="156" t="str">
        <f t="shared" si="0"/>
        <v/>
      </c>
      <c r="E28" s="96" t="str">
        <f>IF('GREEN SHEET'!C28="","",'GREEN SHEET'!C28)</f>
        <v/>
      </c>
      <c r="F28" s="96" t="str">
        <f>IF('GREEN SHEET'!D28="","",'GREEN SHEET'!D28)</f>
        <v/>
      </c>
      <c r="G28" s="96" t="str">
        <f>IF('GREEN SHEET'!E28="","",'GREEN SHEET'!E28)</f>
        <v/>
      </c>
      <c r="H28" s="96" t="str">
        <f>IF('GREEN SHEET'!F28="","",'GREEN SHEET'!F28)</f>
        <v/>
      </c>
      <c r="I28" s="96" t="str">
        <f>IF('GREEN SHEET'!G28="","",'GREEN SHEET'!G28)</f>
        <v/>
      </c>
      <c r="J28" s="96" t="str">
        <f>IF('GREEN SHEET'!H28="","",'GREEN SHEET'!H28)</f>
        <v/>
      </c>
      <c r="K28" s="96" t="str">
        <f>IF('GREEN SHEET'!I28="","",'GREEN SHEET'!I28)</f>
        <v/>
      </c>
      <c r="L28" s="96" t="str">
        <f>IF('GREEN SHEET'!J28="","",'GREEN SHEET'!J28)</f>
        <v/>
      </c>
      <c r="M28" s="96" t="str">
        <f>IF('GREEN SHEET'!K28="","",'GREEN SHEET'!K28)</f>
        <v/>
      </c>
      <c r="N28" s="149" t="str">
        <f>IF('GREEN SHEET'!AA28="","",'GREEN SHEET'!AA28)</f>
        <v/>
      </c>
      <c r="O28" s="149" t="str">
        <f>IF('GREEN SHEET'!AB28="","",'GREEN SHEET'!AB28)</f>
        <v/>
      </c>
      <c r="P28" s="150" t="str">
        <f>IF('GREEN SHEET'!AW28="","",'GREEN SHEET'!AW28)</f>
        <v/>
      </c>
      <c r="Q28" s="150" t="str">
        <f>IF('GREEN SHEET'!AX28="","",'GREEN SHEET'!AX28)</f>
        <v/>
      </c>
      <c r="R28" s="149" t="str">
        <f>IF('GREEN SHEET'!BR28="","",'GREEN SHEET'!BR28)</f>
        <v/>
      </c>
      <c r="S28" s="149" t="str">
        <f>IF('GREEN SHEET'!BS28="","",'GREEN SHEET'!BS28)</f>
        <v/>
      </c>
      <c r="T28" s="150" t="str">
        <f>IF('GREEN SHEET'!CM28="","",'GREEN SHEET'!CM28)</f>
        <v/>
      </c>
      <c r="U28" s="150" t="str">
        <f>IF('GREEN SHEET'!CN28="","",'GREEN SHEET'!CN28)</f>
        <v/>
      </c>
      <c r="V28" s="152" t="str">
        <f>IF('GREEN SHEET'!DH28="","",'GREEN SHEET'!DH28)</f>
        <v/>
      </c>
      <c r="W28" s="152" t="str">
        <f>IF('GREEN SHEET'!DI28="","",'GREEN SHEET'!DI28)</f>
        <v/>
      </c>
      <c r="X28" s="150" t="str">
        <f>IF('GREEN SHEET'!DR28="","",'GREEN SHEET'!DR28)</f>
        <v/>
      </c>
      <c r="Y28" s="150" t="str">
        <f>IF('GREEN SHEET'!DS28="","",'GREEN SHEET'!DS28)</f>
        <v/>
      </c>
      <c r="Z28" s="153" t="str">
        <f>IF('GREEN SHEET'!FK28="PASS",'GREEN SHEET'!FP28,'GREEN SHEET'!FQ28)</f>
        <v/>
      </c>
      <c r="AA28" s="154" t="str">
        <f t="shared" si="1"/>
        <v/>
      </c>
      <c r="AB28" s="171" t="str">
        <f t="shared" si="5"/>
        <v/>
      </c>
      <c r="AC28" s="436" t="str">
        <f>IF('GREEN SHEET'!FU28="","",'GREEN SHEET'!FU28)</f>
        <v/>
      </c>
      <c r="AD28" s="338" t="str">
        <f>IF(Z28="","",RANK(Z28,Z$7:$Z$51,0)+COUNTIF($Z$7:Z28,Z28)-1)</f>
        <v/>
      </c>
      <c r="AE28" s="158" t="str">
        <f t="shared" si="2"/>
        <v/>
      </c>
      <c r="AF28" s="158" t="str">
        <f t="shared" si="3"/>
        <v/>
      </c>
      <c r="AG28" s="158" t="str">
        <f t="shared" si="6"/>
        <v/>
      </c>
    </row>
    <row r="29" spans="1:33" ht="16.8" hidden="1" x14ac:dyDescent="0.25">
      <c r="A29" s="177"/>
      <c r="B29" s="376">
        <v>23</v>
      </c>
      <c r="C29" s="156" t="str">
        <f t="shared" si="4"/>
        <v/>
      </c>
      <c r="D29" s="156" t="str">
        <f t="shared" si="0"/>
        <v/>
      </c>
      <c r="E29" s="96" t="str">
        <f>IF('GREEN SHEET'!C29="","",'GREEN SHEET'!C29)</f>
        <v/>
      </c>
      <c r="F29" s="96" t="str">
        <f>IF('GREEN SHEET'!D29="","",'GREEN SHEET'!D29)</f>
        <v/>
      </c>
      <c r="G29" s="96" t="str">
        <f>IF('GREEN SHEET'!E29="","",'GREEN SHEET'!E29)</f>
        <v/>
      </c>
      <c r="H29" s="96" t="str">
        <f>IF('GREEN SHEET'!F29="","",'GREEN SHEET'!F29)</f>
        <v/>
      </c>
      <c r="I29" s="96" t="str">
        <f>IF('GREEN SHEET'!G29="","",'GREEN SHEET'!G29)</f>
        <v/>
      </c>
      <c r="J29" s="96" t="str">
        <f>IF('GREEN SHEET'!H29="","",'GREEN SHEET'!H29)</f>
        <v/>
      </c>
      <c r="K29" s="96" t="str">
        <f>IF('GREEN SHEET'!I29="","",'GREEN SHEET'!I29)</f>
        <v/>
      </c>
      <c r="L29" s="96" t="str">
        <f>IF('GREEN SHEET'!J29="","",'GREEN SHEET'!J29)</f>
        <v/>
      </c>
      <c r="M29" s="96" t="str">
        <f>IF('GREEN SHEET'!K29="","",'GREEN SHEET'!K29)</f>
        <v/>
      </c>
      <c r="N29" s="149" t="str">
        <f>IF('GREEN SHEET'!AA29="","",'GREEN SHEET'!AA29)</f>
        <v/>
      </c>
      <c r="O29" s="149" t="str">
        <f>IF('GREEN SHEET'!AB29="","",'GREEN SHEET'!AB29)</f>
        <v/>
      </c>
      <c r="P29" s="150" t="str">
        <f>IF('GREEN SHEET'!AW29="","",'GREEN SHEET'!AW29)</f>
        <v/>
      </c>
      <c r="Q29" s="150" t="str">
        <f>IF('GREEN SHEET'!AX29="","",'GREEN SHEET'!AX29)</f>
        <v/>
      </c>
      <c r="R29" s="149" t="str">
        <f>IF('GREEN SHEET'!BR29="","",'GREEN SHEET'!BR29)</f>
        <v/>
      </c>
      <c r="S29" s="149" t="str">
        <f>IF('GREEN SHEET'!BS29="","",'GREEN SHEET'!BS29)</f>
        <v/>
      </c>
      <c r="T29" s="150" t="str">
        <f>IF('GREEN SHEET'!CM29="","",'GREEN SHEET'!CM29)</f>
        <v/>
      </c>
      <c r="U29" s="150" t="str">
        <f>IF('GREEN SHEET'!CN29="","",'GREEN SHEET'!CN29)</f>
        <v/>
      </c>
      <c r="V29" s="152" t="str">
        <f>IF('GREEN SHEET'!DH29="","",'GREEN SHEET'!DH29)</f>
        <v/>
      </c>
      <c r="W29" s="152" t="str">
        <f>IF('GREEN SHEET'!DI29="","",'GREEN SHEET'!DI29)</f>
        <v/>
      </c>
      <c r="X29" s="150" t="str">
        <f>IF('GREEN SHEET'!DR29="","",'GREEN SHEET'!DR29)</f>
        <v/>
      </c>
      <c r="Y29" s="150" t="str">
        <f>IF('GREEN SHEET'!DS29="","",'GREEN SHEET'!DS29)</f>
        <v/>
      </c>
      <c r="Z29" s="153" t="str">
        <f>IF('GREEN SHEET'!FK29="PASS",'GREEN SHEET'!FP29,'GREEN SHEET'!FQ29)</f>
        <v/>
      </c>
      <c r="AA29" s="154" t="str">
        <f t="shared" si="1"/>
        <v/>
      </c>
      <c r="AB29" s="171" t="str">
        <f t="shared" si="5"/>
        <v/>
      </c>
      <c r="AC29" s="436" t="str">
        <f>IF('GREEN SHEET'!FU29="","",'GREEN SHEET'!FU29)</f>
        <v/>
      </c>
      <c r="AD29" s="338" t="str">
        <f>IF(Z29="","",RANK(Z29,Z$7:$Z$51,0)+COUNTIF($Z$7:Z29,Z29)-1)</f>
        <v/>
      </c>
      <c r="AE29" s="158" t="str">
        <f t="shared" si="2"/>
        <v/>
      </c>
      <c r="AF29" s="158" t="str">
        <f t="shared" si="3"/>
        <v/>
      </c>
      <c r="AG29" s="158" t="str">
        <f t="shared" si="6"/>
        <v/>
      </c>
    </row>
    <row r="30" spans="1:33" ht="16.8" hidden="1" x14ac:dyDescent="0.25">
      <c r="A30" s="177"/>
      <c r="B30" s="376">
        <v>24</v>
      </c>
      <c r="C30" s="156" t="str">
        <f t="shared" si="4"/>
        <v/>
      </c>
      <c r="D30" s="156" t="str">
        <f t="shared" si="0"/>
        <v/>
      </c>
      <c r="E30" s="96" t="str">
        <f>IF('GREEN SHEET'!C30="","",'GREEN SHEET'!C30)</f>
        <v/>
      </c>
      <c r="F30" s="96" t="str">
        <f>IF('GREEN SHEET'!D30="","",'GREEN SHEET'!D30)</f>
        <v/>
      </c>
      <c r="G30" s="96" t="str">
        <f>IF('GREEN SHEET'!E30="","",'GREEN SHEET'!E30)</f>
        <v/>
      </c>
      <c r="H30" s="96" t="str">
        <f>IF('GREEN SHEET'!F30="","",'GREEN SHEET'!F30)</f>
        <v/>
      </c>
      <c r="I30" s="96" t="str">
        <f>IF('GREEN SHEET'!G30="","",'GREEN SHEET'!G30)</f>
        <v/>
      </c>
      <c r="J30" s="96" t="str">
        <f>IF('GREEN SHEET'!H30="","",'GREEN SHEET'!H30)</f>
        <v/>
      </c>
      <c r="K30" s="96" t="str">
        <f>IF('GREEN SHEET'!I30="","",'GREEN SHEET'!I30)</f>
        <v/>
      </c>
      <c r="L30" s="96" t="str">
        <f>IF('GREEN SHEET'!J30="","",'GREEN SHEET'!J30)</f>
        <v/>
      </c>
      <c r="M30" s="96" t="str">
        <f>IF('GREEN SHEET'!K30="","",'GREEN SHEET'!K30)</f>
        <v/>
      </c>
      <c r="N30" s="149" t="str">
        <f>IF('GREEN SHEET'!AA30="","",'GREEN SHEET'!AA30)</f>
        <v/>
      </c>
      <c r="O30" s="149" t="str">
        <f>IF('GREEN SHEET'!AB30="","",'GREEN SHEET'!AB30)</f>
        <v/>
      </c>
      <c r="P30" s="150" t="str">
        <f>IF('GREEN SHEET'!AW30="","",'GREEN SHEET'!AW30)</f>
        <v/>
      </c>
      <c r="Q30" s="150" t="str">
        <f>IF('GREEN SHEET'!AX30="","",'GREEN SHEET'!AX30)</f>
        <v/>
      </c>
      <c r="R30" s="149" t="str">
        <f>IF('GREEN SHEET'!BR30="","",'GREEN SHEET'!BR30)</f>
        <v/>
      </c>
      <c r="S30" s="149" t="str">
        <f>IF('GREEN SHEET'!BS30="","",'GREEN SHEET'!BS30)</f>
        <v/>
      </c>
      <c r="T30" s="150" t="str">
        <f>IF('GREEN SHEET'!CM30="","",'GREEN SHEET'!CM30)</f>
        <v/>
      </c>
      <c r="U30" s="150" t="str">
        <f>IF('GREEN SHEET'!CN30="","",'GREEN SHEET'!CN30)</f>
        <v/>
      </c>
      <c r="V30" s="152" t="str">
        <f>IF('GREEN SHEET'!DH30="","",'GREEN SHEET'!DH30)</f>
        <v/>
      </c>
      <c r="W30" s="152" t="str">
        <f>IF('GREEN SHEET'!DI30="","",'GREEN SHEET'!DI30)</f>
        <v/>
      </c>
      <c r="X30" s="150" t="str">
        <f>IF('GREEN SHEET'!DR30="","",'GREEN SHEET'!DR30)</f>
        <v/>
      </c>
      <c r="Y30" s="150" t="str">
        <f>IF('GREEN SHEET'!DS30="","",'GREEN SHEET'!DS30)</f>
        <v/>
      </c>
      <c r="Z30" s="153" t="str">
        <f>IF('GREEN SHEET'!FK30="PASS",'GREEN SHEET'!FP30,'GREEN SHEET'!FQ30)</f>
        <v/>
      </c>
      <c r="AA30" s="154" t="str">
        <f t="shared" si="1"/>
        <v/>
      </c>
      <c r="AB30" s="171" t="str">
        <f t="shared" si="5"/>
        <v/>
      </c>
      <c r="AC30" s="436" t="str">
        <f>IF('GREEN SHEET'!FU30="","",'GREEN SHEET'!FU30)</f>
        <v/>
      </c>
      <c r="AD30" s="338" t="str">
        <f>IF(Z30="","",RANK(Z30,Z$7:$Z$51,0)+COUNTIF($Z$7:Z30,Z30)-1)</f>
        <v/>
      </c>
      <c r="AE30" s="158" t="str">
        <f t="shared" si="2"/>
        <v/>
      </c>
      <c r="AF30" s="158" t="str">
        <f t="shared" si="3"/>
        <v/>
      </c>
      <c r="AG30" s="158" t="str">
        <f t="shared" si="6"/>
        <v/>
      </c>
    </row>
    <row r="31" spans="1:33" ht="16.8" hidden="1" x14ac:dyDescent="0.25">
      <c r="A31" s="177"/>
      <c r="B31" s="376">
        <v>25</v>
      </c>
      <c r="C31" s="156" t="str">
        <f t="shared" si="4"/>
        <v/>
      </c>
      <c r="D31" s="156" t="str">
        <f t="shared" si="0"/>
        <v/>
      </c>
      <c r="E31" s="96" t="str">
        <f>IF('GREEN SHEET'!C31="","",'GREEN SHEET'!C31)</f>
        <v/>
      </c>
      <c r="F31" s="96" t="str">
        <f>IF('GREEN SHEET'!D31="","",'GREEN SHEET'!D31)</f>
        <v/>
      </c>
      <c r="G31" s="96" t="str">
        <f>IF('GREEN SHEET'!E31="","",'GREEN SHEET'!E31)</f>
        <v/>
      </c>
      <c r="H31" s="96" t="str">
        <f>IF('GREEN SHEET'!F31="","",'GREEN SHEET'!F31)</f>
        <v/>
      </c>
      <c r="I31" s="96" t="str">
        <f>IF('GREEN SHEET'!G31="","",'GREEN SHEET'!G31)</f>
        <v/>
      </c>
      <c r="J31" s="96" t="str">
        <f>IF('GREEN SHEET'!H31="","",'GREEN SHEET'!H31)</f>
        <v/>
      </c>
      <c r="K31" s="96" t="str">
        <f>IF('GREEN SHEET'!I31="","",'GREEN SHEET'!I31)</f>
        <v/>
      </c>
      <c r="L31" s="96" t="str">
        <f>IF('GREEN SHEET'!J31="","",'GREEN SHEET'!J31)</f>
        <v/>
      </c>
      <c r="M31" s="96" t="str">
        <f>IF('GREEN SHEET'!K31="","",'GREEN SHEET'!K31)</f>
        <v/>
      </c>
      <c r="N31" s="149" t="str">
        <f>IF('GREEN SHEET'!AA31="","",'GREEN SHEET'!AA31)</f>
        <v/>
      </c>
      <c r="O31" s="149" t="str">
        <f>IF('GREEN SHEET'!AB31="","",'GREEN SHEET'!AB31)</f>
        <v/>
      </c>
      <c r="P31" s="150" t="str">
        <f>IF('GREEN SHEET'!AW31="","",'GREEN SHEET'!AW31)</f>
        <v/>
      </c>
      <c r="Q31" s="150" t="str">
        <f>IF('GREEN SHEET'!AX31="","",'GREEN SHEET'!AX31)</f>
        <v/>
      </c>
      <c r="R31" s="149" t="str">
        <f>IF('GREEN SHEET'!BR31="","",'GREEN SHEET'!BR31)</f>
        <v/>
      </c>
      <c r="S31" s="149" t="str">
        <f>IF('GREEN SHEET'!BS31="","",'GREEN SHEET'!BS31)</f>
        <v/>
      </c>
      <c r="T31" s="150" t="str">
        <f>IF('GREEN SHEET'!CM31="","",'GREEN SHEET'!CM31)</f>
        <v/>
      </c>
      <c r="U31" s="150" t="str">
        <f>IF('GREEN SHEET'!CN31="","",'GREEN SHEET'!CN31)</f>
        <v/>
      </c>
      <c r="V31" s="152" t="str">
        <f>IF('GREEN SHEET'!DH31="","",'GREEN SHEET'!DH31)</f>
        <v/>
      </c>
      <c r="W31" s="152" t="str">
        <f>IF('GREEN SHEET'!DI31="","",'GREEN SHEET'!DI31)</f>
        <v/>
      </c>
      <c r="X31" s="150" t="str">
        <f>IF('GREEN SHEET'!DR31="","",'GREEN SHEET'!DR31)</f>
        <v/>
      </c>
      <c r="Y31" s="150" t="str">
        <f>IF('GREEN SHEET'!DS31="","",'GREEN SHEET'!DS31)</f>
        <v/>
      </c>
      <c r="Z31" s="153" t="str">
        <f>IF('GREEN SHEET'!FK31="PASS",'GREEN SHEET'!FP31,'GREEN SHEET'!FQ31)</f>
        <v/>
      </c>
      <c r="AA31" s="154" t="str">
        <f t="shared" si="1"/>
        <v/>
      </c>
      <c r="AB31" s="171" t="str">
        <f t="shared" si="5"/>
        <v/>
      </c>
      <c r="AC31" s="436" t="str">
        <f>IF('GREEN SHEET'!FU31="","",'GREEN SHEET'!FU31)</f>
        <v/>
      </c>
      <c r="AD31" s="338" t="str">
        <f>IF(Z31="","",RANK(Z31,Z$7:$Z$51,0)+COUNTIF($Z$7:Z31,Z31)-1)</f>
        <v/>
      </c>
      <c r="AE31" s="158" t="str">
        <f t="shared" si="2"/>
        <v/>
      </c>
      <c r="AF31" s="158" t="str">
        <f t="shared" si="3"/>
        <v/>
      </c>
      <c r="AG31" s="158" t="str">
        <f t="shared" si="6"/>
        <v/>
      </c>
    </row>
    <row r="32" spans="1:33" ht="16.8" hidden="1" x14ac:dyDescent="0.25">
      <c r="A32" s="177"/>
      <c r="B32" s="376">
        <v>26</v>
      </c>
      <c r="C32" s="156" t="str">
        <f t="shared" si="4"/>
        <v/>
      </c>
      <c r="D32" s="156" t="str">
        <f t="shared" si="0"/>
        <v/>
      </c>
      <c r="E32" s="96" t="str">
        <f>IF('GREEN SHEET'!C32="","",'GREEN SHEET'!C32)</f>
        <v/>
      </c>
      <c r="F32" s="96" t="str">
        <f>IF('GREEN SHEET'!D32="","",'GREEN SHEET'!D32)</f>
        <v/>
      </c>
      <c r="G32" s="96" t="str">
        <f>IF('GREEN SHEET'!E32="","",'GREEN SHEET'!E32)</f>
        <v/>
      </c>
      <c r="H32" s="96" t="str">
        <f>IF('GREEN SHEET'!F32="","",'GREEN SHEET'!F32)</f>
        <v/>
      </c>
      <c r="I32" s="96" t="str">
        <f>IF('GREEN SHEET'!G32="","",'GREEN SHEET'!G32)</f>
        <v/>
      </c>
      <c r="J32" s="96" t="str">
        <f>IF('GREEN SHEET'!H32="","",'GREEN SHEET'!H32)</f>
        <v/>
      </c>
      <c r="K32" s="96" t="str">
        <f>IF('GREEN SHEET'!I32="","",'GREEN SHEET'!I32)</f>
        <v/>
      </c>
      <c r="L32" s="96" t="str">
        <f>IF('GREEN SHEET'!J32="","",'GREEN SHEET'!J32)</f>
        <v/>
      </c>
      <c r="M32" s="96" t="str">
        <f>IF('GREEN SHEET'!K32="","",'GREEN SHEET'!K32)</f>
        <v/>
      </c>
      <c r="N32" s="149" t="str">
        <f>IF('GREEN SHEET'!AA32="","",'GREEN SHEET'!AA32)</f>
        <v/>
      </c>
      <c r="O32" s="149" t="str">
        <f>IF('GREEN SHEET'!AB32="","",'GREEN SHEET'!AB32)</f>
        <v/>
      </c>
      <c r="P32" s="150" t="str">
        <f>IF('GREEN SHEET'!AW32="","",'GREEN SHEET'!AW32)</f>
        <v/>
      </c>
      <c r="Q32" s="150" t="str">
        <f>IF('GREEN SHEET'!AX32="","",'GREEN SHEET'!AX32)</f>
        <v/>
      </c>
      <c r="R32" s="149" t="str">
        <f>IF('GREEN SHEET'!BR32="","",'GREEN SHEET'!BR32)</f>
        <v/>
      </c>
      <c r="S32" s="149" t="str">
        <f>IF('GREEN SHEET'!BS32="","",'GREEN SHEET'!BS32)</f>
        <v/>
      </c>
      <c r="T32" s="150" t="str">
        <f>IF('GREEN SHEET'!CM32="","",'GREEN SHEET'!CM32)</f>
        <v/>
      </c>
      <c r="U32" s="150" t="str">
        <f>IF('GREEN SHEET'!CN32="","",'GREEN SHEET'!CN32)</f>
        <v/>
      </c>
      <c r="V32" s="152" t="str">
        <f>IF('GREEN SHEET'!DH32="","",'GREEN SHEET'!DH32)</f>
        <v/>
      </c>
      <c r="W32" s="152" t="str">
        <f>IF('GREEN SHEET'!DI32="","",'GREEN SHEET'!DI32)</f>
        <v/>
      </c>
      <c r="X32" s="150" t="str">
        <f>IF('GREEN SHEET'!DR32="","",'GREEN SHEET'!DR32)</f>
        <v/>
      </c>
      <c r="Y32" s="150" t="str">
        <f>IF('GREEN SHEET'!DS32="","",'GREEN SHEET'!DS32)</f>
        <v/>
      </c>
      <c r="Z32" s="153" t="str">
        <f>IF('GREEN SHEET'!FK32="PASS",'GREEN SHEET'!FP32,'GREEN SHEET'!FQ32)</f>
        <v/>
      </c>
      <c r="AA32" s="154" t="str">
        <f t="shared" si="1"/>
        <v/>
      </c>
      <c r="AB32" s="171" t="str">
        <f t="shared" si="5"/>
        <v/>
      </c>
      <c r="AC32" s="436" t="str">
        <f>IF('GREEN SHEET'!FU32="","",'GREEN SHEET'!FU32)</f>
        <v/>
      </c>
      <c r="AD32" s="338" t="str">
        <f>IF(Z32="","",RANK(Z32,Z$7:$Z$51,0)+COUNTIF($Z$7:Z32,Z32)-1)</f>
        <v/>
      </c>
      <c r="AE32" s="158" t="str">
        <f t="shared" si="2"/>
        <v/>
      </c>
      <c r="AF32" s="158" t="str">
        <f t="shared" si="3"/>
        <v/>
      </c>
      <c r="AG32" s="158" t="str">
        <f t="shared" si="6"/>
        <v/>
      </c>
    </row>
    <row r="33" spans="1:33" ht="16.8" hidden="1" x14ac:dyDescent="0.25">
      <c r="A33" s="177"/>
      <c r="B33" s="376">
        <v>27</v>
      </c>
      <c r="C33" s="156" t="str">
        <f t="shared" si="4"/>
        <v/>
      </c>
      <c r="D33" s="156" t="str">
        <f t="shared" si="0"/>
        <v/>
      </c>
      <c r="E33" s="96" t="str">
        <f>IF('GREEN SHEET'!C33="","",'GREEN SHEET'!C33)</f>
        <v/>
      </c>
      <c r="F33" s="96" t="str">
        <f>IF('GREEN SHEET'!D33="","",'GREEN SHEET'!D33)</f>
        <v/>
      </c>
      <c r="G33" s="96" t="str">
        <f>IF('GREEN SHEET'!E33="","",'GREEN SHEET'!E33)</f>
        <v/>
      </c>
      <c r="H33" s="96" t="str">
        <f>IF('GREEN SHEET'!F33="","",'GREEN SHEET'!F33)</f>
        <v/>
      </c>
      <c r="I33" s="96" t="str">
        <f>IF('GREEN SHEET'!G33="","",'GREEN SHEET'!G33)</f>
        <v/>
      </c>
      <c r="J33" s="96" t="str">
        <f>IF('GREEN SHEET'!H33="","",'GREEN SHEET'!H33)</f>
        <v/>
      </c>
      <c r="K33" s="96" t="str">
        <f>IF('GREEN SHEET'!I33="","",'GREEN SHEET'!I33)</f>
        <v/>
      </c>
      <c r="L33" s="96" t="str">
        <f>IF('GREEN SHEET'!J33="","",'GREEN SHEET'!J33)</f>
        <v/>
      </c>
      <c r="M33" s="96" t="str">
        <f>IF('GREEN SHEET'!K33="","",'GREEN SHEET'!K33)</f>
        <v/>
      </c>
      <c r="N33" s="149" t="str">
        <f>IF('GREEN SHEET'!AA33="","",'GREEN SHEET'!AA33)</f>
        <v/>
      </c>
      <c r="O33" s="149" t="str">
        <f>IF('GREEN SHEET'!AB33="","",'GREEN SHEET'!AB33)</f>
        <v/>
      </c>
      <c r="P33" s="150" t="str">
        <f>IF('GREEN SHEET'!AW33="","",'GREEN SHEET'!AW33)</f>
        <v/>
      </c>
      <c r="Q33" s="150" t="str">
        <f>IF('GREEN SHEET'!AX33="","",'GREEN SHEET'!AX33)</f>
        <v/>
      </c>
      <c r="R33" s="149" t="str">
        <f>IF('GREEN SHEET'!BR33="","",'GREEN SHEET'!BR33)</f>
        <v/>
      </c>
      <c r="S33" s="149" t="str">
        <f>IF('GREEN SHEET'!BS33="","",'GREEN SHEET'!BS33)</f>
        <v/>
      </c>
      <c r="T33" s="150" t="str">
        <f>IF('GREEN SHEET'!CM33="","",'GREEN SHEET'!CM33)</f>
        <v/>
      </c>
      <c r="U33" s="150" t="str">
        <f>IF('GREEN SHEET'!CN33="","",'GREEN SHEET'!CN33)</f>
        <v/>
      </c>
      <c r="V33" s="152" t="str">
        <f>IF('GREEN SHEET'!DH33="","",'GREEN SHEET'!DH33)</f>
        <v/>
      </c>
      <c r="W33" s="152" t="str">
        <f>IF('GREEN SHEET'!DI33="","",'GREEN SHEET'!DI33)</f>
        <v/>
      </c>
      <c r="X33" s="150" t="str">
        <f>IF('GREEN SHEET'!DR33="","",'GREEN SHEET'!DR33)</f>
        <v/>
      </c>
      <c r="Y33" s="150" t="str">
        <f>IF('GREEN SHEET'!DS33="","",'GREEN SHEET'!DS33)</f>
        <v/>
      </c>
      <c r="Z33" s="153" t="str">
        <f>IF('GREEN SHEET'!FK33="PASS",'GREEN SHEET'!FP33,'GREEN SHEET'!FQ33)</f>
        <v/>
      </c>
      <c r="AA33" s="154" t="str">
        <f t="shared" si="1"/>
        <v/>
      </c>
      <c r="AB33" s="171" t="str">
        <f t="shared" si="5"/>
        <v/>
      </c>
      <c r="AC33" s="436" t="str">
        <f>IF('GREEN SHEET'!FU33="","",'GREEN SHEET'!FU33)</f>
        <v/>
      </c>
      <c r="AD33" s="338" t="str">
        <f>IF(Z33="","",RANK(Z33,Z$7:$Z$51,0)+COUNTIF($Z$7:Z33,Z33)-1)</f>
        <v/>
      </c>
      <c r="AE33" s="158" t="str">
        <f t="shared" si="2"/>
        <v/>
      </c>
      <c r="AF33" s="158" t="str">
        <f t="shared" si="3"/>
        <v/>
      </c>
      <c r="AG33" s="158" t="str">
        <f t="shared" si="6"/>
        <v/>
      </c>
    </row>
    <row r="34" spans="1:33" ht="16.8" hidden="1" x14ac:dyDescent="0.25">
      <c r="A34" s="177"/>
      <c r="B34" s="376">
        <v>28</v>
      </c>
      <c r="C34" s="156" t="str">
        <f t="shared" si="4"/>
        <v/>
      </c>
      <c r="D34" s="156" t="str">
        <f t="shared" si="0"/>
        <v/>
      </c>
      <c r="E34" s="96" t="str">
        <f>IF('GREEN SHEET'!C34="","",'GREEN SHEET'!C34)</f>
        <v/>
      </c>
      <c r="F34" s="96" t="str">
        <f>IF('GREEN SHEET'!D34="","",'GREEN SHEET'!D34)</f>
        <v/>
      </c>
      <c r="G34" s="96" t="str">
        <f>IF('GREEN SHEET'!E34="","",'GREEN SHEET'!E34)</f>
        <v/>
      </c>
      <c r="H34" s="96" t="str">
        <f>IF('GREEN SHEET'!F34="","",'GREEN SHEET'!F34)</f>
        <v/>
      </c>
      <c r="I34" s="96" t="str">
        <f>IF('GREEN SHEET'!G34="","",'GREEN SHEET'!G34)</f>
        <v/>
      </c>
      <c r="J34" s="96" t="str">
        <f>IF('GREEN SHEET'!H34="","",'GREEN SHEET'!H34)</f>
        <v/>
      </c>
      <c r="K34" s="96" t="str">
        <f>IF('GREEN SHEET'!I34="","",'GREEN SHEET'!I34)</f>
        <v/>
      </c>
      <c r="L34" s="96" t="str">
        <f>IF('GREEN SHEET'!J34="","",'GREEN SHEET'!J34)</f>
        <v/>
      </c>
      <c r="M34" s="96" t="str">
        <f>IF('GREEN SHEET'!K34="","",'GREEN SHEET'!K34)</f>
        <v/>
      </c>
      <c r="N34" s="149" t="str">
        <f>IF('GREEN SHEET'!AA34="","",'GREEN SHEET'!AA34)</f>
        <v/>
      </c>
      <c r="O34" s="149" t="str">
        <f>IF('GREEN SHEET'!AB34="","",'GREEN SHEET'!AB34)</f>
        <v/>
      </c>
      <c r="P34" s="150" t="str">
        <f>IF('GREEN SHEET'!AW34="","",'GREEN SHEET'!AW34)</f>
        <v/>
      </c>
      <c r="Q34" s="150" t="str">
        <f>IF('GREEN SHEET'!AX34="","",'GREEN SHEET'!AX34)</f>
        <v/>
      </c>
      <c r="R34" s="149" t="str">
        <f>IF('GREEN SHEET'!BR34="","",'GREEN SHEET'!BR34)</f>
        <v/>
      </c>
      <c r="S34" s="149" t="str">
        <f>IF('GREEN SHEET'!BS34="","",'GREEN SHEET'!BS34)</f>
        <v/>
      </c>
      <c r="T34" s="150" t="str">
        <f>IF('GREEN SHEET'!CM34="","",'GREEN SHEET'!CM34)</f>
        <v/>
      </c>
      <c r="U34" s="150" t="str">
        <f>IF('GREEN SHEET'!CN34="","",'GREEN SHEET'!CN34)</f>
        <v/>
      </c>
      <c r="V34" s="152" t="str">
        <f>IF('GREEN SHEET'!DH34="","",'GREEN SHEET'!DH34)</f>
        <v/>
      </c>
      <c r="W34" s="152" t="str">
        <f>IF('GREEN SHEET'!DI34="","",'GREEN SHEET'!DI34)</f>
        <v/>
      </c>
      <c r="X34" s="150" t="str">
        <f>IF('GREEN SHEET'!DR34="","",'GREEN SHEET'!DR34)</f>
        <v/>
      </c>
      <c r="Y34" s="150" t="str">
        <f>IF('GREEN SHEET'!DS34="","",'GREEN SHEET'!DS34)</f>
        <v/>
      </c>
      <c r="Z34" s="153" t="str">
        <f>IF('GREEN SHEET'!FK34="PASS",'GREEN SHEET'!FP34,'GREEN SHEET'!FQ34)</f>
        <v/>
      </c>
      <c r="AA34" s="154" t="str">
        <f t="shared" si="1"/>
        <v/>
      </c>
      <c r="AB34" s="171" t="str">
        <f t="shared" si="5"/>
        <v/>
      </c>
      <c r="AC34" s="436" t="str">
        <f>IF('GREEN SHEET'!FU34="","",'GREEN SHEET'!FU34)</f>
        <v/>
      </c>
      <c r="AD34" s="338" t="str">
        <f>IF(Z34="","",RANK(Z34,Z$7:$Z$51,0)+COUNTIF($Z$7:Z34,Z34)-1)</f>
        <v/>
      </c>
      <c r="AE34" s="158" t="str">
        <f t="shared" si="2"/>
        <v/>
      </c>
      <c r="AF34" s="158" t="str">
        <f t="shared" si="3"/>
        <v/>
      </c>
      <c r="AG34" s="158" t="str">
        <f t="shared" si="6"/>
        <v/>
      </c>
    </row>
    <row r="35" spans="1:33" ht="16.8" hidden="1" x14ac:dyDescent="0.25">
      <c r="A35" s="177"/>
      <c r="B35" s="376">
        <v>29</v>
      </c>
      <c r="C35" s="156" t="str">
        <f t="shared" si="4"/>
        <v/>
      </c>
      <c r="D35" s="156" t="str">
        <f t="shared" si="0"/>
        <v/>
      </c>
      <c r="E35" s="96" t="str">
        <f>IF('GREEN SHEET'!C35="","",'GREEN SHEET'!C35)</f>
        <v/>
      </c>
      <c r="F35" s="96" t="str">
        <f>IF('GREEN SHEET'!D35="","",'GREEN SHEET'!D35)</f>
        <v/>
      </c>
      <c r="G35" s="96" t="str">
        <f>IF('GREEN SHEET'!E35="","",'GREEN SHEET'!E35)</f>
        <v/>
      </c>
      <c r="H35" s="96" t="str">
        <f>IF('GREEN SHEET'!F35="","",'GREEN SHEET'!F35)</f>
        <v/>
      </c>
      <c r="I35" s="96" t="str">
        <f>IF('GREEN SHEET'!G35="","",'GREEN SHEET'!G35)</f>
        <v/>
      </c>
      <c r="J35" s="96" t="str">
        <f>IF('GREEN SHEET'!H35="","",'GREEN SHEET'!H35)</f>
        <v/>
      </c>
      <c r="K35" s="96" t="str">
        <f>IF('GREEN SHEET'!I35="","",'GREEN SHEET'!I35)</f>
        <v/>
      </c>
      <c r="L35" s="96" t="str">
        <f>IF('GREEN SHEET'!J35="","",'GREEN SHEET'!J35)</f>
        <v/>
      </c>
      <c r="M35" s="96" t="str">
        <f>IF('GREEN SHEET'!K35="","",'GREEN SHEET'!K35)</f>
        <v/>
      </c>
      <c r="N35" s="149" t="str">
        <f>IF('GREEN SHEET'!AA35="","",'GREEN SHEET'!AA35)</f>
        <v/>
      </c>
      <c r="O35" s="149" t="str">
        <f>IF('GREEN SHEET'!AB35="","",'GREEN SHEET'!AB35)</f>
        <v/>
      </c>
      <c r="P35" s="150" t="str">
        <f>IF('GREEN SHEET'!AW35="","",'GREEN SHEET'!AW35)</f>
        <v/>
      </c>
      <c r="Q35" s="150" t="str">
        <f>IF('GREEN SHEET'!AX35="","",'GREEN SHEET'!AX35)</f>
        <v/>
      </c>
      <c r="R35" s="149" t="str">
        <f>IF('GREEN SHEET'!BR35="","",'GREEN SHEET'!BR35)</f>
        <v/>
      </c>
      <c r="S35" s="149" t="str">
        <f>IF('GREEN SHEET'!BS35="","",'GREEN SHEET'!BS35)</f>
        <v/>
      </c>
      <c r="T35" s="150" t="str">
        <f>IF('GREEN SHEET'!CM35="","",'GREEN SHEET'!CM35)</f>
        <v/>
      </c>
      <c r="U35" s="150" t="str">
        <f>IF('GREEN SHEET'!CN35="","",'GREEN SHEET'!CN35)</f>
        <v/>
      </c>
      <c r="V35" s="152" t="str">
        <f>IF('GREEN SHEET'!DH35="","",'GREEN SHEET'!DH35)</f>
        <v/>
      </c>
      <c r="W35" s="152" t="str">
        <f>IF('GREEN SHEET'!DI35="","",'GREEN SHEET'!DI35)</f>
        <v/>
      </c>
      <c r="X35" s="150" t="str">
        <f>IF('GREEN SHEET'!DR35="","",'GREEN SHEET'!DR35)</f>
        <v/>
      </c>
      <c r="Y35" s="150" t="str">
        <f>IF('GREEN SHEET'!DS35="","",'GREEN SHEET'!DS35)</f>
        <v/>
      </c>
      <c r="Z35" s="153" t="str">
        <f>IF('GREEN SHEET'!FK35="PASS",'GREEN SHEET'!FP35,'GREEN SHEET'!FQ35)</f>
        <v/>
      </c>
      <c r="AA35" s="154" t="str">
        <f t="shared" si="1"/>
        <v/>
      </c>
      <c r="AB35" s="171" t="str">
        <f t="shared" si="5"/>
        <v/>
      </c>
      <c r="AC35" s="436" t="str">
        <f>IF('GREEN SHEET'!FU35="","",'GREEN SHEET'!FU35)</f>
        <v/>
      </c>
      <c r="AD35" s="338" t="str">
        <f>IF(Z35="","",RANK(Z35,Z$7:$Z$51,0)+COUNTIF($Z$7:Z35,Z35)-1)</f>
        <v/>
      </c>
      <c r="AE35" s="158" t="str">
        <f t="shared" si="2"/>
        <v/>
      </c>
      <c r="AF35" s="158" t="str">
        <f t="shared" si="3"/>
        <v/>
      </c>
      <c r="AG35" s="158" t="str">
        <f t="shared" si="6"/>
        <v/>
      </c>
    </row>
    <row r="36" spans="1:33" ht="16.8" hidden="1" x14ac:dyDescent="0.25">
      <c r="A36" s="177"/>
      <c r="B36" s="376">
        <v>30</v>
      </c>
      <c r="C36" s="156" t="str">
        <f t="shared" si="4"/>
        <v/>
      </c>
      <c r="D36" s="156" t="str">
        <f t="shared" si="0"/>
        <v/>
      </c>
      <c r="E36" s="96" t="str">
        <f>IF('GREEN SHEET'!C36="","",'GREEN SHEET'!C36)</f>
        <v/>
      </c>
      <c r="F36" s="96" t="str">
        <f>IF('GREEN SHEET'!D36="","",'GREEN SHEET'!D36)</f>
        <v/>
      </c>
      <c r="G36" s="96" t="str">
        <f>IF('GREEN SHEET'!E36="","",'GREEN SHEET'!E36)</f>
        <v/>
      </c>
      <c r="H36" s="96" t="str">
        <f>IF('GREEN SHEET'!F36="","",'GREEN SHEET'!F36)</f>
        <v/>
      </c>
      <c r="I36" s="96" t="str">
        <f>IF('GREEN SHEET'!G36="","",'GREEN SHEET'!G36)</f>
        <v/>
      </c>
      <c r="J36" s="96" t="str">
        <f>IF('GREEN SHEET'!H36="","",'GREEN SHEET'!H36)</f>
        <v/>
      </c>
      <c r="K36" s="96" t="str">
        <f>IF('GREEN SHEET'!I36="","",'GREEN SHEET'!I36)</f>
        <v/>
      </c>
      <c r="L36" s="96" t="str">
        <f>IF('GREEN SHEET'!J36="","",'GREEN SHEET'!J36)</f>
        <v/>
      </c>
      <c r="M36" s="96" t="str">
        <f>IF('GREEN SHEET'!K36="","",'GREEN SHEET'!K36)</f>
        <v/>
      </c>
      <c r="N36" s="149" t="str">
        <f>IF('GREEN SHEET'!AA36="","",'GREEN SHEET'!AA36)</f>
        <v/>
      </c>
      <c r="O36" s="149" t="str">
        <f>IF('GREEN SHEET'!AB36="","",'GREEN SHEET'!AB36)</f>
        <v/>
      </c>
      <c r="P36" s="150" t="str">
        <f>IF('GREEN SHEET'!AW36="","",'GREEN SHEET'!AW36)</f>
        <v/>
      </c>
      <c r="Q36" s="150" t="str">
        <f>IF('GREEN SHEET'!AX36="","",'GREEN SHEET'!AX36)</f>
        <v/>
      </c>
      <c r="R36" s="149" t="str">
        <f>IF('GREEN SHEET'!BR36="","",'GREEN SHEET'!BR36)</f>
        <v/>
      </c>
      <c r="S36" s="149" t="str">
        <f>IF('GREEN SHEET'!BS36="","",'GREEN SHEET'!BS36)</f>
        <v/>
      </c>
      <c r="T36" s="150" t="str">
        <f>IF('GREEN SHEET'!CM36="","",'GREEN SHEET'!CM36)</f>
        <v/>
      </c>
      <c r="U36" s="150" t="str">
        <f>IF('GREEN SHEET'!CN36="","",'GREEN SHEET'!CN36)</f>
        <v/>
      </c>
      <c r="V36" s="152" t="str">
        <f>IF('GREEN SHEET'!DH36="","",'GREEN SHEET'!DH36)</f>
        <v/>
      </c>
      <c r="W36" s="152" t="str">
        <f>IF('GREEN SHEET'!DI36="","",'GREEN SHEET'!DI36)</f>
        <v/>
      </c>
      <c r="X36" s="150" t="str">
        <f>IF('GREEN SHEET'!DR36="","",'GREEN SHEET'!DR36)</f>
        <v/>
      </c>
      <c r="Y36" s="150" t="str">
        <f>IF('GREEN SHEET'!DS36="","",'GREEN SHEET'!DS36)</f>
        <v/>
      </c>
      <c r="Z36" s="153" t="str">
        <f>IF('GREEN SHEET'!FK36="PASS",'GREEN SHEET'!FP36,'GREEN SHEET'!FQ36)</f>
        <v/>
      </c>
      <c r="AA36" s="154" t="str">
        <f t="shared" si="1"/>
        <v/>
      </c>
      <c r="AB36" s="171" t="str">
        <f t="shared" si="5"/>
        <v/>
      </c>
      <c r="AC36" s="436" t="str">
        <f>IF('GREEN SHEET'!FU36="","",'GREEN SHEET'!FU36)</f>
        <v/>
      </c>
      <c r="AD36" s="338" t="str">
        <f>IF(Z36="","",RANK(Z36,Z$7:$Z$51,0)+COUNTIF($Z$7:Z36,Z36)-1)</f>
        <v/>
      </c>
      <c r="AE36" s="158" t="str">
        <f t="shared" si="2"/>
        <v/>
      </c>
      <c r="AF36" s="158" t="str">
        <f t="shared" si="3"/>
        <v/>
      </c>
      <c r="AG36" s="158" t="str">
        <f t="shared" si="6"/>
        <v/>
      </c>
    </row>
    <row r="37" spans="1:33" ht="16.8" hidden="1" x14ac:dyDescent="0.25">
      <c r="A37" s="177"/>
      <c r="B37" s="376">
        <v>31</v>
      </c>
      <c r="C37" s="156" t="str">
        <f t="shared" si="4"/>
        <v/>
      </c>
      <c r="D37" s="156" t="str">
        <f t="shared" si="0"/>
        <v/>
      </c>
      <c r="E37" s="96" t="str">
        <f>IF('GREEN SHEET'!C37="","",'GREEN SHEET'!C37)</f>
        <v/>
      </c>
      <c r="F37" s="96" t="str">
        <f>IF('GREEN SHEET'!D37="","",'GREEN SHEET'!D37)</f>
        <v/>
      </c>
      <c r="G37" s="96" t="str">
        <f>IF('GREEN SHEET'!E37="","",'GREEN SHEET'!E37)</f>
        <v/>
      </c>
      <c r="H37" s="96" t="str">
        <f>IF('GREEN SHEET'!F37="","",'GREEN SHEET'!F37)</f>
        <v/>
      </c>
      <c r="I37" s="96" t="str">
        <f>IF('GREEN SHEET'!G37="","",'GREEN SHEET'!G37)</f>
        <v/>
      </c>
      <c r="J37" s="96" t="str">
        <f>IF('GREEN SHEET'!H37="","",'GREEN SHEET'!H37)</f>
        <v/>
      </c>
      <c r="K37" s="96" t="str">
        <f>IF('GREEN SHEET'!I37="","",'GREEN SHEET'!I37)</f>
        <v/>
      </c>
      <c r="L37" s="96" t="str">
        <f>IF('GREEN SHEET'!J37="","",'GREEN SHEET'!J37)</f>
        <v/>
      </c>
      <c r="M37" s="96" t="str">
        <f>IF('GREEN SHEET'!K37="","",'GREEN SHEET'!K37)</f>
        <v/>
      </c>
      <c r="N37" s="149" t="str">
        <f>IF('GREEN SHEET'!AA37="","",'GREEN SHEET'!AA37)</f>
        <v/>
      </c>
      <c r="O37" s="149" t="str">
        <f>IF('GREEN SHEET'!AB37="","",'GREEN SHEET'!AB37)</f>
        <v/>
      </c>
      <c r="P37" s="150" t="str">
        <f>IF('GREEN SHEET'!AW37="","",'GREEN SHEET'!AW37)</f>
        <v/>
      </c>
      <c r="Q37" s="150" t="str">
        <f>IF('GREEN SHEET'!AX37="","",'GREEN SHEET'!AX37)</f>
        <v/>
      </c>
      <c r="R37" s="149" t="str">
        <f>IF('GREEN SHEET'!BR37="","",'GREEN SHEET'!BR37)</f>
        <v/>
      </c>
      <c r="S37" s="149" t="str">
        <f>IF('GREEN SHEET'!BS37="","",'GREEN SHEET'!BS37)</f>
        <v/>
      </c>
      <c r="T37" s="150" t="str">
        <f>IF('GREEN SHEET'!CM37="","",'GREEN SHEET'!CM37)</f>
        <v/>
      </c>
      <c r="U37" s="150" t="str">
        <f>IF('GREEN SHEET'!CN37="","",'GREEN SHEET'!CN37)</f>
        <v/>
      </c>
      <c r="V37" s="152" t="str">
        <f>IF('GREEN SHEET'!DH37="","",'GREEN SHEET'!DH37)</f>
        <v/>
      </c>
      <c r="W37" s="152" t="str">
        <f>IF('GREEN SHEET'!DI37="","",'GREEN SHEET'!DI37)</f>
        <v/>
      </c>
      <c r="X37" s="150" t="str">
        <f>IF('GREEN SHEET'!DR37="","",'GREEN SHEET'!DR37)</f>
        <v/>
      </c>
      <c r="Y37" s="150" t="str">
        <f>IF('GREEN SHEET'!DS37="","",'GREEN SHEET'!DS37)</f>
        <v/>
      </c>
      <c r="Z37" s="153" t="str">
        <f>IF('GREEN SHEET'!FK37="PASS",'GREEN SHEET'!FP37,'GREEN SHEET'!FQ37)</f>
        <v/>
      </c>
      <c r="AA37" s="154" t="str">
        <f t="shared" si="1"/>
        <v/>
      </c>
      <c r="AB37" s="171" t="str">
        <f t="shared" si="5"/>
        <v/>
      </c>
      <c r="AC37" s="436" t="str">
        <f>IF('GREEN SHEET'!FU37="","",'GREEN SHEET'!FU37)</f>
        <v/>
      </c>
      <c r="AD37" s="338" t="str">
        <f>IF(Z37="","",RANK(Z37,Z$7:$Z$51,0)+COUNTIF($Z$7:Z37,Z37)-1)</f>
        <v/>
      </c>
      <c r="AE37" s="158" t="str">
        <f t="shared" si="2"/>
        <v/>
      </c>
      <c r="AF37" s="158" t="str">
        <f t="shared" si="3"/>
        <v/>
      </c>
      <c r="AG37" s="158" t="str">
        <f t="shared" si="6"/>
        <v/>
      </c>
    </row>
    <row r="38" spans="1:33" ht="16.8" hidden="1" x14ac:dyDescent="0.25">
      <c r="A38" s="177"/>
      <c r="B38" s="376">
        <v>32</v>
      </c>
      <c r="C38" s="156" t="str">
        <f t="shared" si="4"/>
        <v/>
      </c>
      <c r="D38" s="156" t="str">
        <f t="shared" si="0"/>
        <v/>
      </c>
      <c r="E38" s="96" t="str">
        <f>IF('GREEN SHEET'!C38="","",'GREEN SHEET'!C38)</f>
        <v/>
      </c>
      <c r="F38" s="96" t="str">
        <f>IF('GREEN SHEET'!D38="","",'GREEN SHEET'!D38)</f>
        <v/>
      </c>
      <c r="G38" s="96" t="str">
        <f>IF('GREEN SHEET'!E38="","",'GREEN SHEET'!E38)</f>
        <v/>
      </c>
      <c r="H38" s="96" t="str">
        <f>IF('GREEN SHEET'!F38="","",'GREEN SHEET'!F38)</f>
        <v/>
      </c>
      <c r="I38" s="96" t="str">
        <f>IF('GREEN SHEET'!G38="","",'GREEN SHEET'!G38)</f>
        <v/>
      </c>
      <c r="J38" s="96" t="str">
        <f>IF('GREEN SHEET'!H38="","",'GREEN SHEET'!H38)</f>
        <v/>
      </c>
      <c r="K38" s="96" t="str">
        <f>IF('GREEN SHEET'!I38="","",'GREEN SHEET'!I38)</f>
        <v/>
      </c>
      <c r="L38" s="96" t="str">
        <f>IF('GREEN SHEET'!J38="","",'GREEN SHEET'!J38)</f>
        <v/>
      </c>
      <c r="M38" s="96" t="str">
        <f>IF('GREEN SHEET'!K38="","",'GREEN SHEET'!K38)</f>
        <v/>
      </c>
      <c r="N38" s="149" t="str">
        <f>IF('GREEN SHEET'!AA38="","",'GREEN SHEET'!AA38)</f>
        <v/>
      </c>
      <c r="O38" s="149" t="str">
        <f>IF('GREEN SHEET'!AB38="","",'GREEN SHEET'!AB38)</f>
        <v/>
      </c>
      <c r="P38" s="150" t="str">
        <f>IF('GREEN SHEET'!AW38="","",'GREEN SHEET'!AW38)</f>
        <v/>
      </c>
      <c r="Q38" s="150" t="str">
        <f>IF('GREEN SHEET'!AX38="","",'GREEN SHEET'!AX38)</f>
        <v/>
      </c>
      <c r="R38" s="149" t="str">
        <f>IF('GREEN SHEET'!BR38="","",'GREEN SHEET'!BR38)</f>
        <v/>
      </c>
      <c r="S38" s="149" t="str">
        <f>IF('GREEN SHEET'!BS38="","",'GREEN SHEET'!BS38)</f>
        <v/>
      </c>
      <c r="T38" s="150" t="str">
        <f>IF('GREEN SHEET'!CM38="","",'GREEN SHEET'!CM38)</f>
        <v/>
      </c>
      <c r="U38" s="150" t="str">
        <f>IF('GREEN SHEET'!CN38="","",'GREEN SHEET'!CN38)</f>
        <v/>
      </c>
      <c r="V38" s="152" t="str">
        <f>IF('GREEN SHEET'!DH38="","",'GREEN SHEET'!DH38)</f>
        <v/>
      </c>
      <c r="W38" s="152" t="str">
        <f>IF('GREEN SHEET'!DI38="","",'GREEN SHEET'!DI38)</f>
        <v/>
      </c>
      <c r="X38" s="150" t="str">
        <f>IF('GREEN SHEET'!DR38="","",'GREEN SHEET'!DR38)</f>
        <v/>
      </c>
      <c r="Y38" s="150" t="str">
        <f>IF('GREEN SHEET'!DS38="","",'GREEN SHEET'!DS38)</f>
        <v/>
      </c>
      <c r="Z38" s="153" t="str">
        <f>IF('GREEN SHEET'!FK38="PASS",'GREEN SHEET'!FP38,'GREEN SHEET'!FQ38)</f>
        <v/>
      </c>
      <c r="AA38" s="154" t="str">
        <f t="shared" si="1"/>
        <v/>
      </c>
      <c r="AB38" s="171" t="str">
        <f t="shared" si="5"/>
        <v/>
      </c>
      <c r="AC38" s="436" t="str">
        <f>IF('GREEN SHEET'!FU38="","",'GREEN SHEET'!FU38)</f>
        <v/>
      </c>
      <c r="AD38" s="338" t="str">
        <f>IF(Z38="","",RANK(Z38,Z$7:$Z$51,0)+COUNTIF($Z$7:Z38,Z38)-1)</f>
        <v/>
      </c>
      <c r="AE38" s="158" t="str">
        <f t="shared" si="2"/>
        <v/>
      </c>
      <c r="AF38" s="158" t="str">
        <f t="shared" si="3"/>
        <v/>
      </c>
      <c r="AG38" s="158" t="str">
        <f t="shared" si="6"/>
        <v/>
      </c>
    </row>
    <row r="39" spans="1:33" ht="16.8" hidden="1" x14ac:dyDescent="0.25">
      <c r="A39" s="177"/>
      <c r="B39" s="376">
        <v>33</v>
      </c>
      <c r="C39" s="156" t="str">
        <f t="shared" si="4"/>
        <v/>
      </c>
      <c r="D39" s="156" t="str">
        <f t="shared" si="0"/>
        <v/>
      </c>
      <c r="E39" s="96" t="str">
        <f>IF('GREEN SHEET'!C39="","",'GREEN SHEET'!C39)</f>
        <v/>
      </c>
      <c r="F39" s="96" t="str">
        <f>IF('GREEN SHEET'!D39="","",'GREEN SHEET'!D39)</f>
        <v/>
      </c>
      <c r="G39" s="96" t="str">
        <f>IF('GREEN SHEET'!E39="","",'GREEN SHEET'!E39)</f>
        <v/>
      </c>
      <c r="H39" s="96" t="str">
        <f>IF('GREEN SHEET'!F39="","",'GREEN SHEET'!F39)</f>
        <v/>
      </c>
      <c r="I39" s="96" t="str">
        <f>IF('GREEN SHEET'!G39="","",'GREEN SHEET'!G39)</f>
        <v/>
      </c>
      <c r="J39" s="96" t="str">
        <f>IF('GREEN SHEET'!H39="","",'GREEN SHEET'!H39)</f>
        <v/>
      </c>
      <c r="K39" s="96" t="str">
        <f>IF('GREEN SHEET'!I39="","",'GREEN SHEET'!I39)</f>
        <v/>
      </c>
      <c r="L39" s="96" t="str">
        <f>IF('GREEN SHEET'!J39="","",'GREEN SHEET'!J39)</f>
        <v/>
      </c>
      <c r="M39" s="96" t="str">
        <f>IF('GREEN SHEET'!K39="","",'GREEN SHEET'!K39)</f>
        <v/>
      </c>
      <c r="N39" s="149" t="str">
        <f>IF('GREEN SHEET'!AA39="","",'GREEN SHEET'!AA39)</f>
        <v/>
      </c>
      <c r="O39" s="149" t="str">
        <f>IF('GREEN SHEET'!AB39="","",'GREEN SHEET'!AB39)</f>
        <v/>
      </c>
      <c r="P39" s="150" t="str">
        <f>IF('GREEN SHEET'!AW39="","",'GREEN SHEET'!AW39)</f>
        <v/>
      </c>
      <c r="Q39" s="150" t="str">
        <f>IF('GREEN SHEET'!AX39="","",'GREEN SHEET'!AX39)</f>
        <v/>
      </c>
      <c r="R39" s="149" t="str">
        <f>IF('GREEN SHEET'!BR39="","",'GREEN SHEET'!BR39)</f>
        <v/>
      </c>
      <c r="S39" s="149" t="str">
        <f>IF('GREEN SHEET'!BS39="","",'GREEN SHEET'!BS39)</f>
        <v/>
      </c>
      <c r="T39" s="150" t="str">
        <f>IF('GREEN SHEET'!CM39="","",'GREEN SHEET'!CM39)</f>
        <v/>
      </c>
      <c r="U39" s="150" t="str">
        <f>IF('GREEN SHEET'!CN39="","",'GREEN SHEET'!CN39)</f>
        <v/>
      </c>
      <c r="V39" s="152" t="str">
        <f>IF('GREEN SHEET'!DH39="","",'GREEN SHEET'!DH39)</f>
        <v/>
      </c>
      <c r="W39" s="152" t="str">
        <f>IF('GREEN SHEET'!DI39="","",'GREEN SHEET'!DI39)</f>
        <v/>
      </c>
      <c r="X39" s="150" t="str">
        <f>IF('GREEN SHEET'!DR39="","",'GREEN SHEET'!DR39)</f>
        <v/>
      </c>
      <c r="Y39" s="150" t="str">
        <f>IF('GREEN SHEET'!DS39="","",'GREEN SHEET'!DS39)</f>
        <v/>
      </c>
      <c r="Z39" s="153" t="str">
        <f>IF('GREEN SHEET'!FK39="PASS",'GREEN SHEET'!FP39,'GREEN SHEET'!FQ39)</f>
        <v/>
      </c>
      <c r="AA39" s="154" t="str">
        <f t="shared" si="1"/>
        <v/>
      </c>
      <c r="AB39" s="171" t="str">
        <f t="shared" si="5"/>
        <v/>
      </c>
      <c r="AC39" s="436" t="str">
        <f>IF('GREEN SHEET'!FU39="","",'GREEN SHEET'!FU39)</f>
        <v/>
      </c>
      <c r="AD39" s="338" t="str">
        <f>IF(Z39="","",RANK(Z39,Z$7:$Z$51,0)+COUNTIF($Z$7:Z39,Z39)-1)</f>
        <v/>
      </c>
      <c r="AE39" s="158" t="str">
        <f t="shared" si="2"/>
        <v/>
      </c>
      <c r="AF39" s="158" t="str">
        <f t="shared" si="3"/>
        <v/>
      </c>
      <c r="AG39" s="158" t="str">
        <f t="shared" si="6"/>
        <v/>
      </c>
    </row>
    <row r="40" spans="1:33" ht="16.8" hidden="1" x14ac:dyDescent="0.25">
      <c r="A40" s="177"/>
      <c r="B40" s="376">
        <v>34</v>
      </c>
      <c r="C40" s="156" t="str">
        <f t="shared" si="4"/>
        <v/>
      </c>
      <c r="D40" s="156" t="str">
        <f t="shared" si="0"/>
        <v/>
      </c>
      <c r="E40" s="96" t="str">
        <f>IF('GREEN SHEET'!C40="","",'GREEN SHEET'!C40)</f>
        <v/>
      </c>
      <c r="F40" s="96" t="str">
        <f>IF('GREEN SHEET'!D40="","",'GREEN SHEET'!D40)</f>
        <v/>
      </c>
      <c r="G40" s="96" t="str">
        <f>IF('GREEN SHEET'!E40="","",'GREEN SHEET'!E40)</f>
        <v/>
      </c>
      <c r="H40" s="96" t="str">
        <f>IF('GREEN SHEET'!F40="","",'GREEN SHEET'!F40)</f>
        <v/>
      </c>
      <c r="I40" s="96" t="str">
        <f>IF('GREEN SHEET'!G40="","",'GREEN SHEET'!G40)</f>
        <v/>
      </c>
      <c r="J40" s="96" t="str">
        <f>IF('GREEN SHEET'!H40="","",'GREEN SHEET'!H40)</f>
        <v/>
      </c>
      <c r="K40" s="96" t="str">
        <f>IF('GREEN SHEET'!I40="","",'GREEN SHEET'!I40)</f>
        <v/>
      </c>
      <c r="L40" s="96" t="str">
        <f>IF('GREEN SHEET'!J40="","",'GREEN SHEET'!J40)</f>
        <v/>
      </c>
      <c r="M40" s="96" t="str">
        <f>IF('GREEN SHEET'!K40="","",'GREEN SHEET'!K40)</f>
        <v/>
      </c>
      <c r="N40" s="149" t="str">
        <f>IF('GREEN SHEET'!AA40="","",'GREEN SHEET'!AA40)</f>
        <v/>
      </c>
      <c r="O40" s="149" t="str">
        <f>IF('GREEN SHEET'!AB40="","",'GREEN SHEET'!AB40)</f>
        <v/>
      </c>
      <c r="P40" s="150" t="str">
        <f>IF('GREEN SHEET'!AW40="","",'GREEN SHEET'!AW40)</f>
        <v/>
      </c>
      <c r="Q40" s="150" t="str">
        <f>IF('GREEN SHEET'!AX40="","",'GREEN SHEET'!AX40)</f>
        <v/>
      </c>
      <c r="R40" s="149" t="str">
        <f>IF('GREEN SHEET'!BR40="","",'GREEN SHEET'!BR40)</f>
        <v/>
      </c>
      <c r="S40" s="149" t="str">
        <f>IF('GREEN SHEET'!BS40="","",'GREEN SHEET'!BS40)</f>
        <v/>
      </c>
      <c r="T40" s="150" t="str">
        <f>IF('GREEN SHEET'!CM40="","",'GREEN SHEET'!CM40)</f>
        <v/>
      </c>
      <c r="U40" s="150" t="str">
        <f>IF('GREEN SHEET'!CN40="","",'GREEN SHEET'!CN40)</f>
        <v/>
      </c>
      <c r="V40" s="152" t="str">
        <f>IF('GREEN SHEET'!DH40="","",'GREEN SHEET'!DH40)</f>
        <v/>
      </c>
      <c r="W40" s="152" t="str">
        <f>IF('GREEN SHEET'!DI40="","",'GREEN SHEET'!DI40)</f>
        <v/>
      </c>
      <c r="X40" s="150" t="str">
        <f>IF('GREEN SHEET'!DR40="","",'GREEN SHEET'!DR40)</f>
        <v/>
      </c>
      <c r="Y40" s="150" t="str">
        <f>IF('GREEN SHEET'!DS40="","",'GREEN SHEET'!DS40)</f>
        <v/>
      </c>
      <c r="Z40" s="153" t="str">
        <f>IF('GREEN SHEET'!FK40="PASS",'GREEN SHEET'!FP40,'GREEN SHEET'!FQ40)</f>
        <v/>
      </c>
      <c r="AA40" s="154" t="str">
        <f t="shared" si="1"/>
        <v/>
      </c>
      <c r="AB40" s="171" t="str">
        <f t="shared" si="5"/>
        <v/>
      </c>
      <c r="AC40" s="436" t="str">
        <f>IF('GREEN SHEET'!FU40="","",'GREEN SHEET'!FU40)</f>
        <v/>
      </c>
      <c r="AD40" s="338" t="str">
        <f>IF(Z40="","",RANK(Z40,Z$7:$Z$51,0)+COUNTIF($Z$7:Z40,Z40)-1)</f>
        <v/>
      </c>
      <c r="AE40" s="158" t="str">
        <f t="shared" si="2"/>
        <v/>
      </c>
      <c r="AF40" s="158" t="str">
        <f t="shared" si="3"/>
        <v/>
      </c>
      <c r="AG40" s="158" t="str">
        <f t="shared" si="6"/>
        <v/>
      </c>
    </row>
    <row r="41" spans="1:33" ht="16.8" hidden="1" x14ac:dyDescent="0.25">
      <c r="A41" s="177"/>
      <c r="B41" s="376">
        <v>35</v>
      </c>
      <c r="C41" s="156" t="str">
        <f t="shared" si="4"/>
        <v/>
      </c>
      <c r="D41" s="156" t="str">
        <f t="shared" si="0"/>
        <v/>
      </c>
      <c r="E41" s="96" t="str">
        <f>IF('GREEN SHEET'!C41="","",'GREEN SHEET'!C41)</f>
        <v/>
      </c>
      <c r="F41" s="96" t="str">
        <f>IF('GREEN SHEET'!D41="","",'GREEN SHEET'!D41)</f>
        <v/>
      </c>
      <c r="G41" s="96" t="str">
        <f>IF('GREEN SHEET'!E41="","",'GREEN SHEET'!E41)</f>
        <v/>
      </c>
      <c r="H41" s="96" t="str">
        <f>IF('GREEN SHEET'!F41="","",'GREEN SHEET'!F41)</f>
        <v/>
      </c>
      <c r="I41" s="96" t="str">
        <f>IF('GREEN SHEET'!G41="","",'GREEN SHEET'!G41)</f>
        <v/>
      </c>
      <c r="J41" s="96" t="str">
        <f>IF('GREEN SHEET'!H41="","",'GREEN SHEET'!H41)</f>
        <v/>
      </c>
      <c r="K41" s="96" t="str">
        <f>IF('GREEN SHEET'!I41="","",'GREEN SHEET'!I41)</f>
        <v/>
      </c>
      <c r="L41" s="96" t="str">
        <f>IF('GREEN SHEET'!J41="","",'GREEN SHEET'!J41)</f>
        <v/>
      </c>
      <c r="M41" s="96" t="str">
        <f>IF('GREEN SHEET'!K41="","",'GREEN SHEET'!K41)</f>
        <v/>
      </c>
      <c r="N41" s="149" t="str">
        <f>IF('GREEN SHEET'!AA41="","",'GREEN SHEET'!AA41)</f>
        <v/>
      </c>
      <c r="O41" s="149" t="str">
        <f>IF('GREEN SHEET'!AB41="","",'GREEN SHEET'!AB41)</f>
        <v/>
      </c>
      <c r="P41" s="150" t="str">
        <f>IF('GREEN SHEET'!AW41="","",'GREEN SHEET'!AW41)</f>
        <v/>
      </c>
      <c r="Q41" s="150" t="str">
        <f>IF('GREEN SHEET'!AX41="","",'GREEN SHEET'!AX41)</f>
        <v/>
      </c>
      <c r="R41" s="149" t="str">
        <f>IF('GREEN SHEET'!BR41="","",'GREEN SHEET'!BR41)</f>
        <v/>
      </c>
      <c r="S41" s="149" t="str">
        <f>IF('GREEN SHEET'!BS41="","",'GREEN SHEET'!BS41)</f>
        <v/>
      </c>
      <c r="T41" s="150" t="str">
        <f>IF('GREEN SHEET'!CM41="","",'GREEN SHEET'!CM41)</f>
        <v/>
      </c>
      <c r="U41" s="150" t="str">
        <f>IF('GREEN SHEET'!CN41="","",'GREEN SHEET'!CN41)</f>
        <v/>
      </c>
      <c r="V41" s="152" t="str">
        <f>IF('GREEN SHEET'!DH41="","",'GREEN SHEET'!DH41)</f>
        <v/>
      </c>
      <c r="W41" s="152" t="str">
        <f>IF('GREEN SHEET'!DI41="","",'GREEN SHEET'!DI41)</f>
        <v/>
      </c>
      <c r="X41" s="150" t="str">
        <f>IF('GREEN SHEET'!DR41="","",'GREEN SHEET'!DR41)</f>
        <v/>
      </c>
      <c r="Y41" s="150" t="str">
        <f>IF('GREEN SHEET'!DS41="","",'GREEN SHEET'!DS41)</f>
        <v/>
      </c>
      <c r="Z41" s="153" t="str">
        <f>IF('GREEN SHEET'!FK41="PASS",'GREEN SHEET'!FP41,'GREEN SHEET'!FQ41)</f>
        <v/>
      </c>
      <c r="AA41" s="154" t="str">
        <f t="shared" si="1"/>
        <v/>
      </c>
      <c r="AB41" s="171" t="str">
        <f t="shared" si="5"/>
        <v/>
      </c>
      <c r="AC41" s="436" t="str">
        <f>IF('GREEN SHEET'!FU41="","",'GREEN SHEET'!FU41)</f>
        <v/>
      </c>
      <c r="AD41" s="338" t="str">
        <f>IF(Z41="","",RANK(Z41,Z$7:$Z$51,0)+COUNTIF($Z$7:Z41,Z41)-1)</f>
        <v/>
      </c>
      <c r="AE41" s="158" t="str">
        <f t="shared" si="2"/>
        <v/>
      </c>
      <c r="AF41" s="158" t="str">
        <f t="shared" si="3"/>
        <v/>
      </c>
      <c r="AG41" s="158" t="str">
        <f t="shared" si="6"/>
        <v/>
      </c>
    </row>
    <row r="42" spans="1:33" ht="16.8" hidden="1" x14ac:dyDescent="0.25">
      <c r="A42" s="177"/>
      <c r="B42" s="376">
        <v>36</v>
      </c>
      <c r="C42" s="156" t="str">
        <f t="shared" si="4"/>
        <v/>
      </c>
      <c r="D42" s="156" t="str">
        <f t="shared" si="0"/>
        <v/>
      </c>
      <c r="E42" s="96" t="str">
        <f>IF('GREEN SHEET'!C42="","",'GREEN SHEET'!C42)</f>
        <v/>
      </c>
      <c r="F42" s="96" t="str">
        <f>IF('GREEN SHEET'!D42="","",'GREEN SHEET'!D42)</f>
        <v/>
      </c>
      <c r="G42" s="96" t="str">
        <f>IF('GREEN SHEET'!E42="","",'GREEN SHEET'!E42)</f>
        <v/>
      </c>
      <c r="H42" s="96" t="str">
        <f>IF('GREEN SHEET'!F42="","",'GREEN SHEET'!F42)</f>
        <v/>
      </c>
      <c r="I42" s="96" t="str">
        <f>IF('GREEN SHEET'!G42="","",'GREEN SHEET'!G42)</f>
        <v/>
      </c>
      <c r="J42" s="96" t="str">
        <f>IF('GREEN SHEET'!H42="","",'GREEN SHEET'!H42)</f>
        <v/>
      </c>
      <c r="K42" s="96" t="str">
        <f>IF('GREEN SHEET'!I42="","",'GREEN SHEET'!I42)</f>
        <v/>
      </c>
      <c r="L42" s="96" t="str">
        <f>IF('GREEN SHEET'!J42="","",'GREEN SHEET'!J42)</f>
        <v/>
      </c>
      <c r="M42" s="96" t="str">
        <f>IF('GREEN SHEET'!K42="","",'GREEN SHEET'!K42)</f>
        <v/>
      </c>
      <c r="N42" s="149" t="str">
        <f>IF('GREEN SHEET'!AA42="","",'GREEN SHEET'!AA42)</f>
        <v/>
      </c>
      <c r="O42" s="149" t="str">
        <f>IF('GREEN SHEET'!AB42="","",'GREEN SHEET'!AB42)</f>
        <v/>
      </c>
      <c r="P42" s="150" t="str">
        <f>IF('GREEN SHEET'!AW42="","",'GREEN SHEET'!AW42)</f>
        <v/>
      </c>
      <c r="Q42" s="150" t="str">
        <f>IF('GREEN SHEET'!AX42="","",'GREEN SHEET'!AX42)</f>
        <v/>
      </c>
      <c r="R42" s="149" t="str">
        <f>IF('GREEN SHEET'!BR42="","",'GREEN SHEET'!BR42)</f>
        <v/>
      </c>
      <c r="S42" s="149" t="str">
        <f>IF('GREEN SHEET'!BS42="","",'GREEN SHEET'!BS42)</f>
        <v/>
      </c>
      <c r="T42" s="150" t="str">
        <f>IF('GREEN SHEET'!CM42="","",'GREEN SHEET'!CM42)</f>
        <v/>
      </c>
      <c r="U42" s="150" t="str">
        <f>IF('GREEN SHEET'!CN42="","",'GREEN SHEET'!CN42)</f>
        <v/>
      </c>
      <c r="V42" s="152" t="str">
        <f>IF('GREEN SHEET'!DH42="","",'GREEN SHEET'!DH42)</f>
        <v/>
      </c>
      <c r="W42" s="152" t="str">
        <f>IF('GREEN SHEET'!DI42="","",'GREEN SHEET'!DI42)</f>
        <v/>
      </c>
      <c r="X42" s="150" t="str">
        <f>IF('GREEN SHEET'!DR42="","",'GREEN SHEET'!DR42)</f>
        <v/>
      </c>
      <c r="Y42" s="150" t="str">
        <f>IF('GREEN SHEET'!DS42="","",'GREEN SHEET'!DS42)</f>
        <v/>
      </c>
      <c r="Z42" s="153" t="str">
        <f>IF('GREEN SHEET'!FK42="PASS",'GREEN SHEET'!FP42,'GREEN SHEET'!FQ42)</f>
        <v/>
      </c>
      <c r="AA42" s="154" t="str">
        <f t="shared" si="1"/>
        <v/>
      </c>
      <c r="AB42" s="171" t="str">
        <f t="shared" si="5"/>
        <v/>
      </c>
      <c r="AC42" s="436" t="str">
        <f>IF('GREEN SHEET'!FU42="","",'GREEN SHEET'!FU42)</f>
        <v/>
      </c>
      <c r="AD42" s="338" t="str">
        <f>IF(Z42="","",RANK(Z42,Z$7:$Z$51,0)+COUNTIF($Z$7:Z42,Z42)-1)</f>
        <v/>
      </c>
      <c r="AE42" s="158" t="str">
        <f t="shared" si="2"/>
        <v/>
      </c>
      <c r="AF42" s="158" t="str">
        <f t="shared" si="3"/>
        <v/>
      </c>
      <c r="AG42" s="158" t="str">
        <f t="shared" si="6"/>
        <v/>
      </c>
    </row>
    <row r="43" spans="1:33" ht="16.8" hidden="1" x14ac:dyDescent="0.25">
      <c r="A43" s="177"/>
      <c r="B43" s="376">
        <v>37</v>
      </c>
      <c r="C43" s="156" t="str">
        <f t="shared" si="4"/>
        <v/>
      </c>
      <c r="D43" s="156" t="str">
        <f t="shared" si="0"/>
        <v/>
      </c>
      <c r="E43" s="96" t="str">
        <f>IF('GREEN SHEET'!C43="","",'GREEN SHEET'!C43)</f>
        <v/>
      </c>
      <c r="F43" s="96" t="str">
        <f>IF('GREEN SHEET'!D43="","",'GREEN SHEET'!D43)</f>
        <v/>
      </c>
      <c r="G43" s="96" t="str">
        <f>IF('GREEN SHEET'!E43="","",'GREEN SHEET'!E43)</f>
        <v/>
      </c>
      <c r="H43" s="96" t="str">
        <f>IF('GREEN SHEET'!F43="","",'GREEN SHEET'!F43)</f>
        <v/>
      </c>
      <c r="I43" s="96" t="str">
        <f>IF('GREEN SHEET'!G43="","",'GREEN SHEET'!G43)</f>
        <v/>
      </c>
      <c r="J43" s="96" t="str">
        <f>IF('GREEN SHEET'!H43="","",'GREEN SHEET'!H43)</f>
        <v/>
      </c>
      <c r="K43" s="96" t="str">
        <f>IF('GREEN SHEET'!I43="","",'GREEN SHEET'!I43)</f>
        <v/>
      </c>
      <c r="L43" s="96" t="str">
        <f>IF('GREEN SHEET'!J43="","",'GREEN SHEET'!J43)</f>
        <v/>
      </c>
      <c r="M43" s="96" t="str">
        <f>IF('GREEN SHEET'!K43="","",'GREEN SHEET'!K43)</f>
        <v/>
      </c>
      <c r="N43" s="149" t="str">
        <f>IF('GREEN SHEET'!AA43="","",'GREEN SHEET'!AA43)</f>
        <v/>
      </c>
      <c r="O43" s="149" t="str">
        <f>IF('GREEN SHEET'!AB43="","",'GREEN SHEET'!AB43)</f>
        <v/>
      </c>
      <c r="P43" s="150" t="str">
        <f>IF('GREEN SHEET'!AW43="","",'GREEN SHEET'!AW43)</f>
        <v/>
      </c>
      <c r="Q43" s="150" t="str">
        <f>IF('GREEN SHEET'!AX43="","",'GREEN SHEET'!AX43)</f>
        <v/>
      </c>
      <c r="R43" s="149" t="str">
        <f>IF('GREEN SHEET'!BR43="","",'GREEN SHEET'!BR43)</f>
        <v/>
      </c>
      <c r="S43" s="149" t="str">
        <f>IF('GREEN SHEET'!BS43="","",'GREEN SHEET'!BS43)</f>
        <v/>
      </c>
      <c r="T43" s="150" t="str">
        <f>IF('GREEN SHEET'!CM43="","",'GREEN SHEET'!CM43)</f>
        <v/>
      </c>
      <c r="U43" s="150" t="str">
        <f>IF('GREEN SHEET'!CN43="","",'GREEN SHEET'!CN43)</f>
        <v/>
      </c>
      <c r="V43" s="152" t="str">
        <f>IF('GREEN SHEET'!DH43="","",'GREEN SHEET'!DH43)</f>
        <v/>
      </c>
      <c r="W43" s="152" t="str">
        <f>IF('GREEN SHEET'!DI43="","",'GREEN SHEET'!DI43)</f>
        <v/>
      </c>
      <c r="X43" s="150" t="str">
        <f>IF('GREEN SHEET'!DR43="","",'GREEN SHEET'!DR43)</f>
        <v/>
      </c>
      <c r="Y43" s="150" t="str">
        <f>IF('GREEN SHEET'!DS43="","",'GREEN SHEET'!DS43)</f>
        <v/>
      </c>
      <c r="Z43" s="153" t="str">
        <f>IF('GREEN SHEET'!FK43="PASS",'GREEN SHEET'!FP43,'GREEN SHEET'!FQ43)</f>
        <v/>
      </c>
      <c r="AA43" s="154" t="str">
        <f t="shared" si="1"/>
        <v/>
      </c>
      <c r="AB43" s="171" t="str">
        <f t="shared" si="5"/>
        <v/>
      </c>
      <c r="AC43" s="436" t="str">
        <f>IF('GREEN SHEET'!FU43="","",'GREEN SHEET'!FU43)</f>
        <v/>
      </c>
      <c r="AD43" s="338" t="str">
        <f>IF(Z43="","",RANK(Z43,Z$7:$Z$51,0)+COUNTIF($Z$7:Z43,Z43)-1)</f>
        <v/>
      </c>
      <c r="AE43" s="158" t="str">
        <f t="shared" si="2"/>
        <v/>
      </c>
      <c r="AF43" s="158" t="str">
        <f t="shared" si="3"/>
        <v/>
      </c>
      <c r="AG43" s="158" t="str">
        <f t="shared" si="6"/>
        <v/>
      </c>
    </row>
    <row r="44" spans="1:33" ht="16.8" hidden="1" x14ac:dyDescent="0.25">
      <c r="A44" s="177"/>
      <c r="B44" s="376">
        <v>38</v>
      </c>
      <c r="C44" s="156" t="str">
        <f t="shared" si="4"/>
        <v/>
      </c>
      <c r="D44" s="156" t="str">
        <f t="shared" si="0"/>
        <v/>
      </c>
      <c r="E44" s="96" t="str">
        <f>IF('GREEN SHEET'!C44="","",'GREEN SHEET'!C44)</f>
        <v/>
      </c>
      <c r="F44" s="96" t="str">
        <f>IF('GREEN SHEET'!D44="","",'GREEN SHEET'!D44)</f>
        <v/>
      </c>
      <c r="G44" s="96" t="str">
        <f>IF('GREEN SHEET'!E44="","",'GREEN SHEET'!E44)</f>
        <v/>
      </c>
      <c r="H44" s="96" t="str">
        <f>IF('GREEN SHEET'!F44="","",'GREEN SHEET'!F44)</f>
        <v/>
      </c>
      <c r="I44" s="96" t="str">
        <f>IF('GREEN SHEET'!G44="","",'GREEN SHEET'!G44)</f>
        <v/>
      </c>
      <c r="J44" s="96" t="str">
        <f>IF('GREEN SHEET'!H44="","",'GREEN SHEET'!H44)</f>
        <v/>
      </c>
      <c r="K44" s="96" t="str">
        <f>IF('GREEN SHEET'!I44="","",'GREEN SHEET'!I44)</f>
        <v/>
      </c>
      <c r="L44" s="96" t="str">
        <f>IF('GREEN SHEET'!J44="","",'GREEN SHEET'!J44)</f>
        <v/>
      </c>
      <c r="M44" s="96" t="str">
        <f>IF('GREEN SHEET'!K44="","",'GREEN SHEET'!K44)</f>
        <v/>
      </c>
      <c r="N44" s="149" t="str">
        <f>IF('GREEN SHEET'!AA44="","",'GREEN SHEET'!AA44)</f>
        <v/>
      </c>
      <c r="O44" s="149" t="str">
        <f>IF('GREEN SHEET'!AB44="","",'GREEN SHEET'!AB44)</f>
        <v/>
      </c>
      <c r="P44" s="150" t="str">
        <f>IF('GREEN SHEET'!AW44="","",'GREEN SHEET'!AW44)</f>
        <v/>
      </c>
      <c r="Q44" s="150" t="str">
        <f>IF('GREEN SHEET'!AX44="","",'GREEN SHEET'!AX44)</f>
        <v/>
      </c>
      <c r="R44" s="149" t="str">
        <f>IF('GREEN SHEET'!BR44="","",'GREEN SHEET'!BR44)</f>
        <v/>
      </c>
      <c r="S44" s="149" t="str">
        <f>IF('GREEN SHEET'!BS44="","",'GREEN SHEET'!BS44)</f>
        <v/>
      </c>
      <c r="T44" s="150" t="str">
        <f>IF('GREEN SHEET'!CM44="","",'GREEN SHEET'!CM44)</f>
        <v/>
      </c>
      <c r="U44" s="150" t="str">
        <f>IF('GREEN SHEET'!CN44="","",'GREEN SHEET'!CN44)</f>
        <v/>
      </c>
      <c r="V44" s="152" t="str">
        <f>IF('GREEN SHEET'!DH44="","",'GREEN SHEET'!DH44)</f>
        <v/>
      </c>
      <c r="W44" s="152" t="str">
        <f>IF('GREEN SHEET'!DI44="","",'GREEN SHEET'!DI44)</f>
        <v/>
      </c>
      <c r="X44" s="150" t="str">
        <f>IF('GREEN SHEET'!DR44="","",'GREEN SHEET'!DR44)</f>
        <v/>
      </c>
      <c r="Y44" s="150" t="str">
        <f>IF('GREEN SHEET'!DS44="","",'GREEN SHEET'!DS44)</f>
        <v/>
      </c>
      <c r="Z44" s="153" t="str">
        <f>IF('GREEN SHEET'!FK44="PASS",'GREEN SHEET'!FP44,'GREEN SHEET'!FQ44)</f>
        <v/>
      </c>
      <c r="AA44" s="154" t="str">
        <f t="shared" si="1"/>
        <v/>
      </c>
      <c r="AB44" s="171" t="str">
        <f t="shared" si="5"/>
        <v/>
      </c>
      <c r="AC44" s="436" t="str">
        <f>IF('GREEN SHEET'!FU44="","",'GREEN SHEET'!FU44)</f>
        <v/>
      </c>
      <c r="AD44" s="338" t="str">
        <f>IF(Z44="","",RANK(Z44,Z$7:$Z$51,0)+COUNTIF($Z$7:Z44,Z44)-1)</f>
        <v/>
      </c>
      <c r="AE44" s="158" t="str">
        <f t="shared" si="2"/>
        <v/>
      </c>
      <c r="AF44" s="158" t="str">
        <f t="shared" si="3"/>
        <v/>
      </c>
      <c r="AG44" s="158" t="str">
        <f t="shared" si="6"/>
        <v/>
      </c>
    </row>
    <row r="45" spans="1:33" ht="16.8" hidden="1" x14ac:dyDescent="0.25">
      <c r="A45" s="177"/>
      <c r="B45" s="376">
        <v>39</v>
      </c>
      <c r="C45" s="156" t="str">
        <f t="shared" si="4"/>
        <v/>
      </c>
      <c r="D45" s="156" t="str">
        <f t="shared" si="0"/>
        <v/>
      </c>
      <c r="E45" s="96" t="str">
        <f>IF('GREEN SHEET'!C45="","",'GREEN SHEET'!C45)</f>
        <v/>
      </c>
      <c r="F45" s="96" t="str">
        <f>IF('GREEN SHEET'!D45="","",'GREEN SHEET'!D45)</f>
        <v/>
      </c>
      <c r="G45" s="96" t="str">
        <f>IF('GREEN SHEET'!E45="","",'GREEN SHEET'!E45)</f>
        <v/>
      </c>
      <c r="H45" s="96" t="str">
        <f>IF('GREEN SHEET'!F45="","",'GREEN SHEET'!F45)</f>
        <v/>
      </c>
      <c r="I45" s="96" t="str">
        <f>IF('GREEN SHEET'!G45="","",'GREEN SHEET'!G45)</f>
        <v/>
      </c>
      <c r="J45" s="96" t="str">
        <f>IF('GREEN SHEET'!H45="","",'GREEN SHEET'!H45)</f>
        <v/>
      </c>
      <c r="K45" s="96" t="str">
        <f>IF('GREEN SHEET'!I45="","",'GREEN SHEET'!I45)</f>
        <v/>
      </c>
      <c r="L45" s="96" t="str">
        <f>IF('GREEN SHEET'!J45="","",'GREEN SHEET'!J45)</f>
        <v/>
      </c>
      <c r="M45" s="96" t="str">
        <f>IF('GREEN SHEET'!K45="","",'GREEN SHEET'!K45)</f>
        <v/>
      </c>
      <c r="N45" s="149" t="str">
        <f>IF('GREEN SHEET'!AA45="","",'GREEN SHEET'!AA45)</f>
        <v/>
      </c>
      <c r="O45" s="149" t="str">
        <f>IF('GREEN SHEET'!AB45="","",'GREEN SHEET'!AB45)</f>
        <v/>
      </c>
      <c r="P45" s="150" t="str">
        <f>IF('GREEN SHEET'!AW45="","",'GREEN SHEET'!AW45)</f>
        <v/>
      </c>
      <c r="Q45" s="150" t="str">
        <f>IF('GREEN SHEET'!AX45="","",'GREEN SHEET'!AX45)</f>
        <v/>
      </c>
      <c r="R45" s="149" t="str">
        <f>IF('GREEN SHEET'!BR45="","",'GREEN SHEET'!BR45)</f>
        <v/>
      </c>
      <c r="S45" s="149" t="str">
        <f>IF('GREEN SHEET'!BS45="","",'GREEN SHEET'!BS45)</f>
        <v/>
      </c>
      <c r="T45" s="150" t="str">
        <f>IF('GREEN SHEET'!CM45="","",'GREEN SHEET'!CM45)</f>
        <v/>
      </c>
      <c r="U45" s="150" t="str">
        <f>IF('GREEN SHEET'!CN45="","",'GREEN SHEET'!CN45)</f>
        <v/>
      </c>
      <c r="V45" s="152" t="str">
        <f>IF('GREEN SHEET'!DH45="","",'GREEN SHEET'!DH45)</f>
        <v/>
      </c>
      <c r="W45" s="152" t="str">
        <f>IF('GREEN SHEET'!DI45="","",'GREEN SHEET'!DI45)</f>
        <v/>
      </c>
      <c r="X45" s="150" t="str">
        <f>IF('GREEN SHEET'!DR45="","",'GREEN SHEET'!DR45)</f>
        <v/>
      </c>
      <c r="Y45" s="150" t="str">
        <f>IF('GREEN SHEET'!DS45="","",'GREEN SHEET'!DS45)</f>
        <v/>
      </c>
      <c r="Z45" s="153" t="str">
        <f>IF('GREEN SHEET'!FK45="PASS",'GREEN SHEET'!FP45,'GREEN SHEET'!FQ45)</f>
        <v/>
      </c>
      <c r="AA45" s="154" t="str">
        <f t="shared" si="1"/>
        <v/>
      </c>
      <c r="AB45" s="171" t="str">
        <f t="shared" si="5"/>
        <v/>
      </c>
      <c r="AC45" s="436" t="str">
        <f>IF('GREEN SHEET'!FU45="","",'GREEN SHEET'!FU45)</f>
        <v/>
      </c>
      <c r="AD45" s="338" t="str">
        <f>IF(Z45="","",RANK(Z45,Z$7:$Z$51,0)+COUNTIF($Z$7:Z45,Z45)-1)</f>
        <v/>
      </c>
      <c r="AE45" s="158" t="str">
        <f t="shared" si="2"/>
        <v/>
      </c>
      <c r="AF45" s="158" t="str">
        <f t="shared" si="3"/>
        <v/>
      </c>
      <c r="AG45" s="158" t="str">
        <f t="shared" si="6"/>
        <v/>
      </c>
    </row>
    <row r="46" spans="1:33" ht="16.8" hidden="1" x14ac:dyDescent="0.25">
      <c r="A46" s="177"/>
      <c r="B46" s="376">
        <v>40</v>
      </c>
      <c r="C46" s="156" t="str">
        <f t="shared" si="4"/>
        <v/>
      </c>
      <c r="D46" s="156" t="str">
        <f t="shared" si="0"/>
        <v/>
      </c>
      <c r="E46" s="96" t="str">
        <f>IF('GREEN SHEET'!C46="","",'GREEN SHEET'!C46)</f>
        <v/>
      </c>
      <c r="F46" s="96" t="str">
        <f>IF('GREEN SHEET'!D46="","",'GREEN SHEET'!D46)</f>
        <v/>
      </c>
      <c r="G46" s="96" t="str">
        <f>IF('GREEN SHEET'!E46="","",'GREEN SHEET'!E46)</f>
        <v/>
      </c>
      <c r="H46" s="96" t="str">
        <f>IF('GREEN SHEET'!F46="","",'GREEN SHEET'!F46)</f>
        <v/>
      </c>
      <c r="I46" s="96" t="str">
        <f>IF('GREEN SHEET'!G46="","",'GREEN SHEET'!G46)</f>
        <v/>
      </c>
      <c r="J46" s="96" t="str">
        <f>IF('GREEN SHEET'!H46="","",'GREEN SHEET'!H46)</f>
        <v/>
      </c>
      <c r="K46" s="96" t="str">
        <f>IF('GREEN SHEET'!I46="","",'GREEN SHEET'!I46)</f>
        <v/>
      </c>
      <c r="L46" s="96" t="str">
        <f>IF('GREEN SHEET'!J46="","",'GREEN SHEET'!J46)</f>
        <v/>
      </c>
      <c r="M46" s="96" t="str">
        <f>IF('GREEN SHEET'!K46="","",'GREEN SHEET'!K46)</f>
        <v/>
      </c>
      <c r="N46" s="149" t="str">
        <f>IF('GREEN SHEET'!AA46="","",'GREEN SHEET'!AA46)</f>
        <v/>
      </c>
      <c r="O46" s="149" t="str">
        <f>IF('GREEN SHEET'!AB46="","",'GREEN SHEET'!AB46)</f>
        <v/>
      </c>
      <c r="P46" s="150" t="str">
        <f>IF('GREEN SHEET'!AW46="","",'GREEN SHEET'!AW46)</f>
        <v/>
      </c>
      <c r="Q46" s="150" t="str">
        <f>IF('GREEN SHEET'!AX46="","",'GREEN SHEET'!AX46)</f>
        <v/>
      </c>
      <c r="R46" s="149" t="str">
        <f>IF('GREEN SHEET'!BR46="","",'GREEN SHEET'!BR46)</f>
        <v/>
      </c>
      <c r="S46" s="149" t="str">
        <f>IF('GREEN SHEET'!BS46="","",'GREEN SHEET'!BS46)</f>
        <v/>
      </c>
      <c r="T46" s="150" t="str">
        <f>IF('GREEN SHEET'!CM46="","",'GREEN SHEET'!CM46)</f>
        <v/>
      </c>
      <c r="U46" s="150" t="str">
        <f>IF('GREEN SHEET'!CN46="","",'GREEN SHEET'!CN46)</f>
        <v/>
      </c>
      <c r="V46" s="152" t="str">
        <f>IF('GREEN SHEET'!DH46="","",'GREEN SHEET'!DH46)</f>
        <v/>
      </c>
      <c r="W46" s="152" t="str">
        <f>IF('GREEN SHEET'!DI46="","",'GREEN SHEET'!DI46)</f>
        <v/>
      </c>
      <c r="X46" s="150" t="str">
        <f>IF('GREEN SHEET'!DR46="","",'GREEN SHEET'!DR46)</f>
        <v/>
      </c>
      <c r="Y46" s="150" t="str">
        <f>IF('GREEN SHEET'!DS46="","",'GREEN SHEET'!DS46)</f>
        <v/>
      </c>
      <c r="Z46" s="153" t="str">
        <f>IF('GREEN SHEET'!FK46="PASS",'GREEN SHEET'!FP46,'GREEN SHEET'!FQ46)</f>
        <v/>
      </c>
      <c r="AA46" s="154" t="str">
        <f t="shared" si="1"/>
        <v/>
      </c>
      <c r="AB46" s="171" t="str">
        <f t="shared" si="5"/>
        <v/>
      </c>
      <c r="AC46" s="436" t="str">
        <f>IF('GREEN SHEET'!FU46="","",'GREEN SHEET'!FU46)</f>
        <v/>
      </c>
      <c r="AD46" s="338" t="str">
        <f>IF(Z46="","",RANK(Z46,Z$7:$Z$51,0)+COUNTIF($Z$7:Z46,Z46)-1)</f>
        <v/>
      </c>
      <c r="AE46" s="158" t="str">
        <f t="shared" si="2"/>
        <v/>
      </c>
      <c r="AF46" s="158" t="str">
        <f t="shared" si="3"/>
        <v/>
      </c>
      <c r="AG46" s="158" t="str">
        <f t="shared" si="6"/>
        <v/>
      </c>
    </row>
    <row r="47" spans="1:33" ht="16.8" hidden="1" x14ac:dyDescent="0.25">
      <c r="A47" s="177"/>
      <c r="B47" s="376">
        <v>41</v>
      </c>
      <c r="C47" s="156" t="str">
        <f t="shared" si="4"/>
        <v/>
      </c>
      <c r="D47" s="156" t="str">
        <f t="shared" si="0"/>
        <v/>
      </c>
      <c r="E47" s="96" t="str">
        <f>IF('GREEN SHEET'!C47="","",'GREEN SHEET'!C47)</f>
        <v/>
      </c>
      <c r="F47" s="96" t="str">
        <f>IF('GREEN SHEET'!D47="","",'GREEN SHEET'!D47)</f>
        <v/>
      </c>
      <c r="G47" s="96" t="str">
        <f>IF('GREEN SHEET'!E47="","",'GREEN SHEET'!E47)</f>
        <v/>
      </c>
      <c r="H47" s="96" t="str">
        <f>IF('GREEN SHEET'!F47="","",'GREEN SHEET'!F47)</f>
        <v/>
      </c>
      <c r="I47" s="96" t="str">
        <f>IF('GREEN SHEET'!G47="","",'GREEN SHEET'!G47)</f>
        <v/>
      </c>
      <c r="J47" s="96" t="str">
        <f>IF('GREEN SHEET'!H47="","",'GREEN SHEET'!H47)</f>
        <v/>
      </c>
      <c r="K47" s="96" t="str">
        <f>IF('GREEN SHEET'!I47="","",'GREEN SHEET'!I47)</f>
        <v/>
      </c>
      <c r="L47" s="96" t="str">
        <f>IF('GREEN SHEET'!J47="","",'GREEN SHEET'!J47)</f>
        <v/>
      </c>
      <c r="M47" s="96" t="str">
        <f>IF('GREEN SHEET'!K47="","",'GREEN SHEET'!K47)</f>
        <v/>
      </c>
      <c r="N47" s="149" t="str">
        <f>IF('GREEN SHEET'!AA47="","",'GREEN SHEET'!AA47)</f>
        <v/>
      </c>
      <c r="O47" s="149" t="str">
        <f>IF('GREEN SHEET'!AB47="","",'GREEN SHEET'!AB47)</f>
        <v/>
      </c>
      <c r="P47" s="150" t="str">
        <f>IF('GREEN SHEET'!AW47="","",'GREEN SHEET'!AW47)</f>
        <v/>
      </c>
      <c r="Q47" s="150" t="str">
        <f>IF('GREEN SHEET'!AX47="","",'GREEN SHEET'!AX47)</f>
        <v/>
      </c>
      <c r="R47" s="149" t="str">
        <f>IF('GREEN SHEET'!BR47="","",'GREEN SHEET'!BR47)</f>
        <v/>
      </c>
      <c r="S47" s="149" t="str">
        <f>IF('GREEN SHEET'!BS47="","",'GREEN SHEET'!BS47)</f>
        <v/>
      </c>
      <c r="T47" s="150" t="str">
        <f>IF('GREEN SHEET'!CM47="","",'GREEN SHEET'!CM47)</f>
        <v/>
      </c>
      <c r="U47" s="150" t="str">
        <f>IF('GREEN SHEET'!CN47="","",'GREEN SHEET'!CN47)</f>
        <v/>
      </c>
      <c r="V47" s="152" t="str">
        <f>IF('GREEN SHEET'!DH47="","",'GREEN SHEET'!DH47)</f>
        <v/>
      </c>
      <c r="W47" s="152" t="str">
        <f>IF('GREEN SHEET'!DI47="","",'GREEN SHEET'!DI47)</f>
        <v/>
      </c>
      <c r="X47" s="150" t="str">
        <f>IF('GREEN SHEET'!DR47="","",'GREEN SHEET'!DR47)</f>
        <v/>
      </c>
      <c r="Y47" s="150" t="str">
        <f>IF('GREEN SHEET'!DS47="","",'GREEN SHEET'!DS47)</f>
        <v/>
      </c>
      <c r="Z47" s="153" t="str">
        <f>IF('GREEN SHEET'!FK47="PASS",'GREEN SHEET'!FP47,'GREEN SHEET'!FQ47)</f>
        <v/>
      </c>
      <c r="AA47" s="154" t="str">
        <f t="shared" si="1"/>
        <v/>
      </c>
      <c r="AB47" s="171" t="str">
        <f t="shared" si="5"/>
        <v/>
      </c>
      <c r="AC47" s="436" t="str">
        <f>IF('GREEN SHEET'!FU47="","",'GREEN SHEET'!FU47)</f>
        <v/>
      </c>
      <c r="AD47" s="338" t="str">
        <f>IF(Z47="","",RANK(Z47,Z$7:$Z$51,0)+COUNTIF($Z$7:Z47,Z47)-1)</f>
        <v/>
      </c>
      <c r="AE47" s="158" t="str">
        <f t="shared" si="2"/>
        <v/>
      </c>
      <c r="AF47" s="158" t="str">
        <f t="shared" si="3"/>
        <v/>
      </c>
      <c r="AG47" s="158" t="str">
        <f t="shared" si="6"/>
        <v/>
      </c>
    </row>
    <row r="48" spans="1:33" ht="16.8" hidden="1" x14ac:dyDescent="0.25">
      <c r="A48" s="177"/>
      <c r="B48" s="376">
        <v>42</v>
      </c>
      <c r="C48" s="156" t="str">
        <f t="shared" si="4"/>
        <v/>
      </c>
      <c r="D48" s="156" t="str">
        <f t="shared" si="0"/>
        <v/>
      </c>
      <c r="E48" s="96" t="str">
        <f>IF('GREEN SHEET'!C48="","",'GREEN SHEET'!C48)</f>
        <v/>
      </c>
      <c r="F48" s="96" t="str">
        <f>IF('GREEN SHEET'!D48="","",'GREEN SHEET'!D48)</f>
        <v/>
      </c>
      <c r="G48" s="96" t="str">
        <f>IF('GREEN SHEET'!E48="","",'GREEN SHEET'!E48)</f>
        <v/>
      </c>
      <c r="H48" s="96" t="str">
        <f>IF('GREEN SHEET'!F48="","",'GREEN SHEET'!F48)</f>
        <v/>
      </c>
      <c r="I48" s="96" t="str">
        <f>IF('GREEN SHEET'!G48="","",'GREEN SHEET'!G48)</f>
        <v/>
      </c>
      <c r="J48" s="96" t="str">
        <f>IF('GREEN SHEET'!H48="","",'GREEN SHEET'!H48)</f>
        <v/>
      </c>
      <c r="K48" s="96" t="str">
        <f>IF('GREEN SHEET'!I48="","",'GREEN SHEET'!I48)</f>
        <v/>
      </c>
      <c r="L48" s="96" t="str">
        <f>IF('GREEN SHEET'!J48="","",'GREEN SHEET'!J48)</f>
        <v/>
      </c>
      <c r="M48" s="96" t="str">
        <f>IF('GREEN SHEET'!K48="","",'GREEN SHEET'!K48)</f>
        <v/>
      </c>
      <c r="N48" s="149" t="str">
        <f>IF('GREEN SHEET'!AA48="","",'GREEN SHEET'!AA48)</f>
        <v/>
      </c>
      <c r="O48" s="149" t="str">
        <f>IF('GREEN SHEET'!AB48="","",'GREEN SHEET'!AB48)</f>
        <v/>
      </c>
      <c r="P48" s="150" t="str">
        <f>IF('GREEN SHEET'!AW48="","",'GREEN SHEET'!AW48)</f>
        <v/>
      </c>
      <c r="Q48" s="150" t="str">
        <f>IF('GREEN SHEET'!AX48="","",'GREEN SHEET'!AX48)</f>
        <v/>
      </c>
      <c r="R48" s="149" t="str">
        <f>IF('GREEN SHEET'!BR48="","",'GREEN SHEET'!BR48)</f>
        <v/>
      </c>
      <c r="S48" s="149" t="str">
        <f>IF('GREEN SHEET'!BS48="","",'GREEN SHEET'!BS48)</f>
        <v/>
      </c>
      <c r="T48" s="150" t="str">
        <f>IF('GREEN SHEET'!CM48="","",'GREEN SHEET'!CM48)</f>
        <v/>
      </c>
      <c r="U48" s="150" t="str">
        <f>IF('GREEN SHEET'!CN48="","",'GREEN SHEET'!CN48)</f>
        <v/>
      </c>
      <c r="V48" s="152" t="str">
        <f>IF('GREEN SHEET'!DH48="","",'GREEN SHEET'!DH48)</f>
        <v/>
      </c>
      <c r="W48" s="152" t="str">
        <f>IF('GREEN SHEET'!DI48="","",'GREEN SHEET'!DI48)</f>
        <v/>
      </c>
      <c r="X48" s="150" t="str">
        <f>IF('GREEN SHEET'!DR48="","",'GREEN SHEET'!DR48)</f>
        <v/>
      </c>
      <c r="Y48" s="150" t="str">
        <f>IF('GREEN SHEET'!DS48="","",'GREEN SHEET'!DS48)</f>
        <v/>
      </c>
      <c r="Z48" s="153" t="str">
        <f>IF('GREEN SHEET'!FK48="PASS",'GREEN SHEET'!FP48,'GREEN SHEET'!FQ48)</f>
        <v/>
      </c>
      <c r="AA48" s="154" t="str">
        <f t="shared" si="1"/>
        <v/>
      </c>
      <c r="AB48" s="171" t="str">
        <f t="shared" si="5"/>
        <v/>
      </c>
      <c r="AC48" s="436" t="str">
        <f>IF('GREEN SHEET'!FU48="","",'GREEN SHEET'!FU48)</f>
        <v/>
      </c>
      <c r="AD48" s="338" t="str">
        <f>IF(Z48="","",RANK(Z48,Z$7:$Z$51,0)+COUNTIF($Z$7:Z48,Z48)-1)</f>
        <v/>
      </c>
      <c r="AE48" s="158" t="str">
        <f t="shared" si="2"/>
        <v/>
      </c>
      <c r="AF48" s="158" t="str">
        <f t="shared" si="3"/>
        <v/>
      </c>
      <c r="AG48" s="158" t="str">
        <f t="shared" si="6"/>
        <v/>
      </c>
    </row>
    <row r="49" spans="1:34" ht="16.8" hidden="1" x14ac:dyDescent="0.25">
      <c r="A49" s="177"/>
      <c r="B49" s="376">
        <v>43</v>
      </c>
      <c r="C49" s="156" t="str">
        <f t="shared" si="4"/>
        <v/>
      </c>
      <c r="D49" s="156" t="str">
        <f t="shared" si="0"/>
        <v/>
      </c>
      <c r="E49" s="96" t="str">
        <f>IF('GREEN SHEET'!C49="","",'GREEN SHEET'!C49)</f>
        <v/>
      </c>
      <c r="F49" s="96" t="str">
        <f>IF('GREEN SHEET'!D49="","",'GREEN SHEET'!D49)</f>
        <v/>
      </c>
      <c r="G49" s="96" t="str">
        <f>IF('GREEN SHEET'!E49="","",'GREEN SHEET'!E49)</f>
        <v/>
      </c>
      <c r="H49" s="96" t="str">
        <f>IF('GREEN SHEET'!F49="","",'GREEN SHEET'!F49)</f>
        <v/>
      </c>
      <c r="I49" s="96" t="str">
        <f>IF('GREEN SHEET'!G49="","",'GREEN SHEET'!G49)</f>
        <v/>
      </c>
      <c r="J49" s="96" t="str">
        <f>IF('GREEN SHEET'!H49="","",'GREEN SHEET'!H49)</f>
        <v/>
      </c>
      <c r="K49" s="96" t="str">
        <f>IF('GREEN SHEET'!I49="","",'GREEN SHEET'!I49)</f>
        <v/>
      </c>
      <c r="L49" s="96" t="str">
        <f>IF('GREEN SHEET'!J49="","",'GREEN SHEET'!J49)</f>
        <v/>
      </c>
      <c r="M49" s="96" t="str">
        <f>IF('GREEN SHEET'!K49="","",'GREEN SHEET'!K49)</f>
        <v/>
      </c>
      <c r="N49" s="149" t="str">
        <f>IF('GREEN SHEET'!AA49="","",'GREEN SHEET'!AA49)</f>
        <v/>
      </c>
      <c r="O49" s="149" t="str">
        <f>IF('GREEN SHEET'!AB49="","",'GREEN SHEET'!AB49)</f>
        <v/>
      </c>
      <c r="P49" s="150" t="str">
        <f>IF('GREEN SHEET'!AW49="","",'GREEN SHEET'!AW49)</f>
        <v/>
      </c>
      <c r="Q49" s="150" t="str">
        <f>IF('GREEN SHEET'!AX49="","",'GREEN SHEET'!AX49)</f>
        <v/>
      </c>
      <c r="R49" s="149" t="str">
        <f>IF('GREEN SHEET'!BR49="","",'GREEN SHEET'!BR49)</f>
        <v/>
      </c>
      <c r="S49" s="149" t="str">
        <f>IF('GREEN SHEET'!BS49="","",'GREEN SHEET'!BS49)</f>
        <v/>
      </c>
      <c r="T49" s="150" t="str">
        <f>IF('GREEN SHEET'!CM49="","",'GREEN SHEET'!CM49)</f>
        <v/>
      </c>
      <c r="U49" s="150" t="str">
        <f>IF('GREEN SHEET'!CN49="","",'GREEN SHEET'!CN49)</f>
        <v/>
      </c>
      <c r="V49" s="152" t="str">
        <f>IF('GREEN SHEET'!DH49="","",'GREEN SHEET'!DH49)</f>
        <v/>
      </c>
      <c r="W49" s="152" t="str">
        <f>IF('GREEN SHEET'!DI49="","",'GREEN SHEET'!DI49)</f>
        <v/>
      </c>
      <c r="X49" s="150" t="str">
        <f>IF('GREEN SHEET'!DR49="","",'GREEN SHEET'!DR49)</f>
        <v/>
      </c>
      <c r="Y49" s="150" t="str">
        <f>IF('GREEN SHEET'!DS49="","",'GREEN SHEET'!DS49)</f>
        <v/>
      </c>
      <c r="Z49" s="153" t="str">
        <f>IF('GREEN SHEET'!FK49="PASS",'GREEN SHEET'!FP49,'GREEN SHEET'!FQ49)</f>
        <v/>
      </c>
      <c r="AA49" s="154" t="str">
        <f t="shared" si="1"/>
        <v/>
      </c>
      <c r="AB49" s="171" t="str">
        <f t="shared" si="5"/>
        <v/>
      </c>
      <c r="AC49" s="436" t="str">
        <f>IF('GREEN SHEET'!FU49="","",'GREEN SHEET'!FU49)</f>
        <v/>
      </c>
      <c r="AD49" s="338" t="str">
        <f>IF(Z49="","",RANK(Z49,Z$7:$Z$51,0)+COUNTIF($Z$7:Z49,Z49)-1)</f>
        <v/>
      </c>
      <c r="AE49" s="158" t="str">
        <f t="shared" si="2"/>
        <v/>
      </c>
      <c r="AF49" s="158" t="str">
        <f t="shared" si="3"/>
        <v/>
      </c>
      <c r="AG49" s="158" t="str">
        <f t="shared" si="6"/>
        <v/>
      </c>
    </row>
    <row r="50" spans="1:34" ht="16.8" hidden="1" x14ac:dyDescent="0.25">
      <c r="A50" s="177"/>
      <c r="B50" s="376">
        <v>44</v>
      </c>
      <c r="C50" s="156" t="str">
        <f t="shared" si="4"/>
        <v/>
      </c>
      <c r="D50" s="156" t="str">
        <f t="shared" si="0"/>
        <v/>
      </c>
      <c r="E50" s="96" t="str">
        <f>IF('GREEN SHEET'!C50="","",'GREEN SHEET'!C50)</f>
        <v/>
      </c>
      <c r="F50" s="96" t="str">
        <f>IF('GREEN SHEET'!D50="","",'GREEN SHEET'!D50)</f>
        <v/>
      </c>
      <c r="G50" s="96" t="str">
        <f>IF('GREEN SHEET'!E50="","",'GREEN SHEET'!E50)</f>
        <v/>
      </c>
      <c r="H50" s="96" t="str">
        <f>IF('GREEN SHEET'!F50="","",'GREEN SHEET'!F50)</f>
        <v/>
      </c>
      <c r="I50" s="96" t="str">
        <f>IF('GREEN SHEET'!G50="","",'GREEN SHEET'!G50)</f>
        <v/>
      </c>
      <c r="J50" s="96" t="str">
        <f>IF('GREEN SHEET'!H50="","",'GREEN SHEET'!H50)</f>
        <v/>
      </c>
      <c r="K50" s="96" t="str">
        <f>IF('GREEN SHEET'!I50="","",'GREEN SHEET'!I50)</f>
        <v/>
      </c>
      <c r="L50" s="96" t="str">
        <f>IF('GREEN SHEET'!J50="","",'GREEN SHEET'!J50)</f>
        <v/>
      </c>
      <c r="M50" s="96" t="str">
        <f>IF('GREEN SHEET'!K50="","",'GREEN SHEET'!K50)</f>
        <v/>
      </c>
      <c r="N50" s="149" t="str">
        <f>IF('GREEN SHEET'!AA50="","",'GREEN SHEET'!AA50)</f>
        <v/>
      </c>
      <c r="O50" s="149" t="str">
        <f>IF('GREEN SHEET'!AB50="","",'GREEN SHEET'!AB50)</f>
        <v/>
      </c>
      <c r="P50" s="150" t="str">
        <f>IF('GREEN SHEET'!AW50="","",'GREEN SHEET'!AW50)</f>
        <v/>
      </c>
      <c r="Q50" s="150" t="str">
        <f>IF('GREEN SHEET'!AX50="","",'GREEN SHEET'!AX50)</f>
        <v/>
      </c>
      <c r="R50" s="149" t="str">
        <f>IF('GREEN SHEET'!BR50="","",'GREEN SHEET'!BR50)</f>
        <v/>
      </c>
      <c r="S50" s="149" t="str">
        <f>IF('GREEN SHEET'!BS50="","",'GREEN SHEET'!BS50)</f>
        <v/>
      </c>
      <c r="T50" s="150" t="str">
        <f>IF('GREEN SHEET'!CM50="","",'GREEN SHEET'!CM50)</f>
        <v/>
      </c>
      <c r="U50" s="150" t="str">
        <f>IF('GREEN SHEET'!CN50="","",'GREEN SHEET'!CN50)</f>
        <v/>
      </c>
      <c r="V50" s="152" t="str">
        <f>IF('GREEN SHEET'!DH50="","",'GREEN SHEET'!DH50)</f>
        <v/>
      </c>
      <c r="W50" s="152" t="str">
        <f>IF('GREEN SHEET'!DI50="","",'GREEN SHEET'!DI50)</f>
        <v/>
      </c>
      <c r="X50" s="150" t="str">
        <f>IF('GREEN SHEET'!DR50="","",'GREEN SHEET'!DR50)</f>
        <v/>
      </c>
      <c r="Y50" s="150" t="str">
        <f>IF('GREEN SHEET'!DS50="","",'GREEN SHEET'!DS50)</f>
        <v/>
      </c>
      <c r="Z50" s="153" t="str">
        <f>IF('GREEN SHEET'!FK50="PASS",'GREEN SHEET'!FP50,'GREEN SHEET'!FQ50)</f>
        <v/>
      </c>
      <c r="AA50" s="154" t="str">
        <f t="shared" si="1"/>
        <v/>
      </c>
      <c r="AB50" s="171" t="str">
        <f t="shared" si="5"/>
        <v/>
      </c>
      <c r="AC50" s="436" t="str">
        <f>IF('GREEN SHEET'!FU50="","",'GREEN SHEET'!FU50)</f>
        <v/>
      </c>
      <c r="AD50" s="338" t="str">
        <f>IF(Z50="","",RANK(Z50,Z$7:$Z$51,0)+COUNTIF($Z$7:Z50,Z50)-1)</f>
        <v/>
      </c>
      <c r="AE50" s="158" t="str">
        <f t="shared" si="2"/>
        <v/>
      </c>
      <c r="AF50" s="158" t="str">
        <f t="shared" si="3"/>
        <v/>
      </c>
      <c r="AG50" s="158" t="str">
        <f t="shared" si="6"/>
        <v/>
      </c>
    </row>
    <row r="51" spans="1:34" ht="16.8" hidden="1" x14ac:dyDescent="0.25">
      <c r="A51" s="177"/>
      <c r="B51" s="376">
        <v>45</v>
      </c>
      <c r="C51" s="156" t="str">
        <f t="shared" si="4"/>
        <v/>
      </c>
      <c r="D51" s="156" t="str">
        <f t="shared" si="0"/>
        <v/>
      </c>
      <c r="E51" s="96" t="str">
        <f>IF('GREEN SHEET'!C51="","",'GREEN SHEET'!C51)</f>
        <v/>
      </c>
      <c r="F51" s="96" t="str">
        <f>IF('GREEN SHEET'!D51="","",'GREEN SHEET'!D51)</f>
        <v/>
      </c>
      <c r="G51" s="96" t="str">
        <f>IF('GREEN SHEET'!E51="","",'GREEN SHEET'!E51)</f>
        <v/>
      </c>
      <c r="H51" s="96" t="str">
        <f>IF('GREEN SHEET'!F51="","",'GREEN SHEET'!F51)</f>
        <v/>
      </c>
      <c r="I51" s="96" t="str">
        <f>IF('GREEN SHEET'!G51="","",'GREEN SHEET'!G51)</f>
        <v/>
      </c>
      <c r="J51" s="96" t="str">
        <f>IF('GREEN SHEET'!H51="","",'GREEN SHEET'!H51)</f>
        <v/>
      </c>
      <c r="K51" s="96" t="str">
        <f>IF('GREEN SHEET'!I51="","",'GREEN SHEET'!I51)</f>
        <v/>
      </c>
      <c r="L51" s="96" t="str">
        <f>IF('GREEN SHEET'!J51="","",'GREEN SHEET'!J51)</f>
        <v/>
      </c>
      <c r="M51" s="96" t="str">
        <f>IF('GREEN SHEET'!K51="","",'GREEN SHEET'!K51)</f>
        <v/>
      </c>
      <c r="N51" s="149" t="str">
        <f>IF('GREEN SHEET'!AA51="","",'GREEN SHEET'!AA51)</f>
        <v/>
      </c>
      <c r="O51" s="149" t="str">
        <f>IF('GREEN SHEET'!AB51="","",'GREEN SHEET'!AB51)</f>
        <v/>
      </c>
      <c r="P51" s="150" t="str">
        <f>IF('GREEN SHEET'!AW51="","",'GREEN SHEET'!AW51)</f>
        <v/>
      </c>
      <c r="Q51" s="150" t="str">
        <f>IF('GREEN SHEET'!AX51="","",'GREEN SHEET'!AX51)</f>
        <v/>
      </c>
      <c r="R51" s="149" t="str">
        <f>IF('GREEN SHEET'!BR51="","",'GREEN SHEET'!BR51)</f>
        <v/>
      </c>
      <c r="S51" s="149" t="str">
        <f>IF('GREEN SHEET'!BS51="","",'GREEN SHEET'!BS51)</f>
        <v/>
      </c>
      <c r="T51" s="150" t="str">
        <f>IF('GREEN SHEET'!CM51="","",'GREEN SHEET'!CM51)</f>
        <v/>
      </c>
      <c r="U51" s="150" t="str">
        <f>IF('GREEN SHEET'!CN51="","",'GREEN SHEET'!CN51)</f>
        <v/>
      </c>
      <c r="V51" s="152" t="str">
        <f>IF('GREEN SHEET'!DH51="","",'GREEN SHEET'!DH51)</f>
        <v/>
      </c>
      <c r="W51" s="152" t="str">
        <f>IF('GREEN SHEET'!DI51="","",'GREEN SHEET'!DI51)</f>
        <v/>
      </c>
      <c r="X51" s="150" t="str">
        <f>IF('GREEN SHEET'!DR51="","",'GREEN SHEET'!DR51)</f>
        <v/>
      </c>
      <c r="Y51" s="150" t="str">
        <f>IF('GREEN SHEET'!DS51="","",'GREEN SHEET'!DS51)</f>
        <v/>
      </c>
      <c r="Z51" s="153" t="str">
        <f>IF('GREEN SHEET'!FK51="PASS",'GREEN SHEET'!FP51,'GREEN SHEET'!FQ51)</f>
        <v/>
      </c>
      <c r="AA51" s="154" t="str">
        <f t="shared" si="1"/>
        <v/>
      </c>
      <c r="AB51" s="171" t="str">
        <f t="shared" ref="AB51" si="7">IF(AA51="","",IF(AA51&lt;33,"E",IF(AND(AA51&gt;=33,AA51&lt;41),"D",IF(AND(AA51&gt;=41,AA51&lt;51),"C2",IF(AND(AA51&gt;=51,AA51&lt;61),"C1",IF(AND(AA51&gt;=61,AA51&lt;71),"B2",IF(AND(AA51&gt;=71,AA51&lt;81),"B1",IF(AND(AA51&gt;=81,AA51&lt;91),"A2",IF(AND(AA51&gt;=91,AA51&lt;=100),"A1")))))))))</f>
        <v/>
      </c>
      <c r="AC51" s="436" t="str">
        <f>IF('GREEN SHEET'!FU51="","",'GREEN SHEET'!FU51)</f>
        <v/>
      </c>
      <c r="AD51" s="338" t="str">
        <f>IF(Z51="","",RANK(Z51,Z$7:$Z$51,0)+COUNTIF($Z$7:Z51,Z51)-1)</f>
        <v/>
      </c>
      <c r="AE51" s="158" t="str">
        <f t="shared" si="2"/>
        <v/>
      </c>
      <c r="AF51" s="158" t="str">
        <f t="shared" si="3"/>
        <v/>
      </c>
      <c r="AG51" s="158" t="str">
        <f t="shared" si="6"/>
        <v/>
      </c>
    </row>
    <row r="52" spans="1:34" ht="16.8" hidden="1" x14ac:dyDescent="0.25">
      <c r="A52" s="177"/>
      <c r="B52" s="376"/>
      <c r="C52" s="156"/>
      <c r="D52" s="156"/>
      <c r="E52" s="96"/>
      <c r="F52" s="96"/>
      <c r="G52" s="96"/>
      <c r="H52" s="96"/>
      <c r="I52" s="96"/>
      <c r="J52" s="96"/>
      <c r="K52" s="96"/>
      <c r="L52" s="96"/>
      <c r="M52" s="96"/>
      <c r="N52" s="149"/>
      <c r="O52" s="149"/>
      <c r="P52" s="150"/>
      <c r="Q52" s="150"/>
      <c r="R52" s="149"/>
      <c r="S52" s="149"/>
      <c r="T52" s="150"/>
      <c r="U52" s="150"/>
      <c r="V52" s="152"/>
      <c r="W52" s="152"/>
      <c r="X52" s="150"/>
      <c r="Y52" s="150"/>
      <c r="Z52" s="153"/>
      <c r="AA52" s="154"/>
      <c r="AB52" s="171"/>
      <c r="AC52" s="436"/>
      <c r="AD52" s="338"/>
      <c r="AE52" s="158"/>
      <c r="AF52" s="158"/>
      <c r="AG52" s="158"/>
    </row>
    <row r="53" spans="1:34" ht="16.8" hidden="1" x14ac:dyDescent="0.25">
      <c r="A53" s="177"/>
      <c r="B53" s="376"/>
      <c r="C53" s="156"/>
      <c r="D53" s="156"/>
      <c r="E53" s="96"/>
      <c r="F53" s="96"/>
      <c r="G53" s="96"/>
      <c r="H53" s="96"/>
      <c r="I53" s="96"/>
      <c r="J53" s="96"/>
      <c r="K53" s="96"/>
      <c r="L53" s="96"/>
      <c r="M53" s="96"/>
      <c r="N53" s="149"/>
      <c r="O53" s="149"/>
      <c r="P53" s="150"/>
      <c r="Q53" s="150"/>
      <c r="R53" s="149"/>
      <c r="S53" s="149"/>
      <c r="T53" s="150"/>
      <c r="U53" s="150"/>
      <c r="V53" s="152"/>
      <c r="W53" s="152"/>
      <c r="X53" s="150"/>
      <c r="Y53" s="150"/>
      <c r="Z53" s="153"/>
      <c r="AA53" s="154"/>
      <c r="AB53" s="171"/>
      <c r="AC53" s="436"/>
      <c r="AD53" s="338"/>
      <c r="AE53" s="158"/>
      <c r="AF53" s="158"/>
      <c r="AG53" s="158"/>
    </row>
    <row r="54" spans="1:34" ht="17.399999999999999" customHeight="1" thickBot="1" x14ac:dyDescent="0.3">
      <c r="A54" s="177"/>
      <c r="B54" s="1135"/>
      <c r="C54" s="1136"/>
      <c r="D54" s="1136"/>
      <c r="E54" s="1136"/>
      <c r="F54" s="1136"/>
      <c r="G54" s="1136"/>
      <c r="H54" s="1136"/>
      <c r="I54" s="1136"/>
      <c r="J54" s="1136"/>
      <c r="K54" s="1136"/>
      <c r="L54" s="1136"/>
      <c r="M54" s="1136"/>
      <c r="N54" s="1136"/>
      <c r="O54" s="1136"/>
      <c r="P54" s="1136"/>
      <c r="Q54" s="1136"/>
      <c r="R54" s="1136"/>
      <c r="S54" s="1136"/>
      <c r="T54" s="1136"/>
      <c r="U54" s="1136"/>
      <c r="V54" s="1136"/>
      <c r="W54" s="1136"/>
      <c r="X54" s="1136"/>
      <c r="Y54" s="1136"/>
      <c r="Z54" s="1136"/>
      <c r="AA54" s="1136"/>
      <c r="AB54" s="1136"/>
      <c r="AC54" s="1137"/>
      <c r="AD54" s="467"/>
      <c r="AE54" s="160"/>
      <c r="AF54" s="160"/>
      <c r="AG54" s="160"/>
    </row>
    <row r="55" spans="1:34" s="450" customFormat="1" ht="21.6" thickBot="1" x14ac:dyDescent="0.45">
      <c r="A55" s="446"/>
      <c r="B55" s="1141" t="s">
        <v>219</v>
      </c>
      <c r="C55" s="1142"/>
      <c r="D55" s="1142"/>
      <c r="E55" s="1142"/>
      <c r="F55" s="1143"/>
      <c r="G55" s="447" t="s">
        <v>239</v>
      </c>
      <c r="H55" s="1138" t="s">
        <v>220</v>
      </c>
      <c r="I55" s="1139"/>
      <c r="J55" s="1139"/>
      <c r="K55" s="1139"/>
      <c r="L55" s="1139"/>
      <c r="M55" s="463"/>
      <c r="N55" s="1138" t="str">
        <f>"GRADE WISE RESULT  "&amp;DASHBOARD!B4</f>
        <v>GRADE WISE RESULT  SESSION  -  2025-26</v>
      </c>
      <c r="O55" s="1139"/>
      <c r="P55" s="1139"/>
      <c r="Q55" s="1139"/>
      <c r="R55" s="1139"/>
      <c r="S55" s="1139"/>
      <c r="T55" s="1139"/>
      <c r="U55" s="1139"/>
      <c r="V55" s="1139"/>
      <c r="W55" s="1139"/>
      <c r="X55" s="1139"/>
      <c r="Y55" s="1139"/>
      <c r="Z55" s="1139"/>
      <c r="AA55" s="1139"/>
      <c r="AB55" s="1139"/>
      <c r="AC55" s="1140"/>
      <c r="AD55" s="448"/>
      <c r="AE55" s="448"/>
      <c r="AF55" s="448"/>
      <c r="AG55" s="464"/>
      <c r="AH55" s="449"/>
    </row>
    <row r="56" spans="1:34" ht="68.400000000000006" customHeight="1" x14ac:dyDescent="0.25">
      <c r="A56" s="177"/>
      <c r="B56" s="374" t="str">
        <f>B6</f>
        <v>S.NO.</v>
      </c>
      <c r="C56" s="168" t="str">
        <f t="shared" ref="C56:X56" si="8">C6</f>
        <v>RANK</v>
      </c>
      <c r="D56" s="168" t="str">
        <f t="shared" si="8"/>
        <v>RANK</v>
      </c>
      <c r="E56" s="168" t="str">
        <f t="shared" si="8"/>
        <v>ROLL NO.</v>
      </c>
      <c r="F56" s="168" t="str">
        <f t="shared" si="8"/>
        <v>S.R.NO.</v>
      </c>
      <c r="G56" s="169" t="str">
        <f t="shared" si="8"/>
        <v xml:space="preserve">NAME </v>
      </c>
      <c r="H56" s="169" t="str">
        <f t="shared" si="8"/>
        <v>F'NAME</v>
      </c>
      <c r="I56" s="169" t="str">
        <f t="shared" si="8"/>
        <v>M'NAME</v>
      </c>
      <c r="J56" s="170" t="str">
        <f t="shared" si="8"/>
        <v>DOB</v>
      </c>
      <c r="K56" s="462" t="str">
        <f t="shared" si="8"/>
        <v>BOY/GIRL</v>
      </c>
      <c r="L56" s="462" t="str">
        <f t="shared" si="8"/>
        <v>CATEGORY</v>
      </c>
      <c r="M56" s="169" t="str">
        <f t="shared" si="8"/>
        <v>ADDRESS</v>
      </c>
      <c r="N56" s="457">
        <f t="shared" si="8"/>
        <v>100</v>
      </c>
      <c r="O56" s="457" t="str">
        <f>IF(N56="","",IF(N56&lt;33,"E",IF(AND(N56&gt;=33,N56&lt;41),"D",IF(AND(N56&gt;=41,N56&lt;51),"C2",IF(AND(N56&gt;=51,N56&lt;61),"C1",IF(AND(N56&gt;=61,N56&lt;71),"B2",IF(AND(N56&gt;=71,N56&lt;81),"B1",IF(AND(N56&gt;=81,N56&lt;91),"A2",IF(AND(N56&gt;=91,N56&lt;=100),"A1")))))))))</f>
        <v>A1</v>
      </c>
      <c r="P56" s="458">
        <f t="shared" si="8"/>
        <v>100</v>
      </c>
      <c r="Q56" s="459" t="str">
        <f>IF(P56="","",IF(P56&lt;33,"E",IF(AND(P56&gt;=33,P56&lt;41),"D",IF(AND(P56&gt;=41,P56&lt;51),"C2",IF(AND(P56&gt;=51,P56&lt;61),"C1",IF(AND(P56&gt;=61,P56&lt;71),"B2",IF(AND(P56&gt;=71,P56&lt;81),"B1",IF(AND(P56&gt;=81,P56&lt;91),"A2",IF(AND(P56&gt;=91,P56&lt;=100),"A1")))))))))</f>
        <v>A1</v>
      </c>
      <c r="R56" s="457">
        <f t="shared" si="8"/>
        <v>100</v>
      </c>
      <c r="S56" s="457" t="str">
        <f>IF(R56="","",IF(R56&lt;33,"E",IF(AND(R56&gt;=33,R56&lt;41),"D",IF(AND(R56&gt;=41,R56&lt;51),"C2",IF(AND(R56&gt;=51,R56&lt;61),"C1",IF(AND(R56&gt;=61,R56&lt;71),"B2",IF(AND(R56&gt;=71,R56&lt;81),"B1",IF(AND(R56&gt;=81,R56&lt;91),"A2",IF(AND(R56&gt;=91,R56&lt;=100),"A1")))))))))</f>
        <v>A1</v>
      </c>
      <c r="T56" s="458">
        <f t="shared" si="8"/>
        <v>100</v>
      </c>
      <c r="U56" s="458" t="str">
        <f>IF(T56="","",IF(T56&lt;33,"E",IF(AND(T56&gt;=33,T56&lt;41),"D",IF(AND(T56&gt;=41,T56&lt;51),"C2",IF(AND(T56&gt;=51,T56&lt;61),"C1",IF(AND(T56&gt;=61,T56&lt;71),"B2",IF(AND(T56&gt;=71,T56&lt;81),"B1",IF(AND(T56&gt;=81,T56&lt;91),"A2",IF(AND(T56&gt;=91,T56&lt;=100),"A1")))))))))</f>
        <v>A1</v>
      </c>
      <c r="V56" s="460">
        <f t="shared" si="8"/>
        <v>100</v>
      </c>
      <c r="W56" s="460" t="str">
        <f>IF(V56="","",IF(V56&lt;33,"E",IF(AND(V56&gt;=33,V56&lt;41),"D",IF(AND(V56&gt;=41,V56&lt;51),"C2",IF(AND(V56&gt;=51,V56&lt;61),"C1",IF(AND(V56&gt;=61,V56&lt;71),"B2",IF(AND(V56&gt;=71,V56&lt;81),"B1",IF(AND(V56&gt;=81,V56&lt;91),"A2",IF(AND(V56&gt;=91,V56&lt;=100),"A1")))))))))</f>
        <v>A1</v>
      </c>
      <c r="X56" s="458">
        <f t="shared" si="8"/>
        <v>100</v>
      </c>
      <c r="Y56" s="458" t="str">
        <f>IF(X56="","",IF(X56&lt;33,"E",IF(AND(X56&gt;=33,X56&lt;41),"D",IF(AND(X56&gt;=41,X56&lt;51),"C2",IF(AND(X56&gt;=51,X56&lt;61),"C1",IF(AND(X56&gt;=61,X56&lt;71),"B2",IF(AND(X56&gt;=71,X56&lt;81),"B1",IF(AND(X56&gt;=81,X56&lt;91),"A2",IF(AND(X56&gt;=91,X56&lt;=100),"A1")))))))))</f>
        <v>A1</v>
      </c>
      <c r="Z56" s="161" t="str">
        <f>Z2</f>
        <v xml:space="preserve">GRAND TOTAL MARKS </v>
      </c>
      <c r="AA56" s="161" t="str">
        <f>AA2</f>
        <v>PERCENT</v>
      </c>
      <c r="AB56" s="161" t="str">
        <f>AB2</f>
        <v xml:space="preserve">OVERALL GRADE </v>
      </c>
      <c r="AC56" s="471" t="str">
        <f>AC2</f>
        <v xml:space="preserve">POSITION IN CLASS </v>
      </c>
      <c r="AD56" s="466" t="str">
        <f>AD4</f>
        <v>RANK</v>
      </c>
      <c r="AE56" s="155" t="str">
        <f t="shared" ref="AE56" si="9">AE4</f>
        <v>H1</v>
      </c>
      <c r="AF56" s="155"/>
      <c r="AG56" s="155"/>
    </row>
    <row r="57" spans="1:34" ht="16.8" x14ac:dyDescent="0.25">
      <c r="A57" s="177"/>
      <c r="B57" s="376">
        <v>1</v>
      </c>
      <c r="C57" s="96">
        <f>IF(AG7="","",AG7)</f>
        <v>1</v>
      </c>
      <c r="D57" s="96">
        <f>IF(AD57="","",AD57)</f>
        <v>2</v>
      </c>
      <c r="E57" s="96">
        <f t="shared" ref="E57:E95" si="10">IF(C57="","",VLOOKUP(C57,$C$7:$AC$53,3,FALSE))</f>
        <v>901</v>
      </c>
      <c r="F57" s="96">
        <f t="shared" ref="F57:F95" si="11">IF(C57="","",VLOOKUP(C57,$C$7:$AC$53,4,FALSE))</f>
        <v>974</v>
      </c>
      <c r="G57" s="303" t="str">
        <f t="shared" ref="G57:G95" si="12">IF(C57="","",VLOOKUP(C57,$C$7:$AC$53,5,FALSE))</f>
        <v>ARTI PRAJAPAT</v>
      </c>
      <c r="H57" s="303" t="str">
        <f t="shared" ref="H57:H95" si="13">IF(C57="","",VLOOKUP(C57,$C$7:$AC$53,6,FALSE))</f>
        <v>MR PRABHU LAL</v>
      </c>
      <c r="I57" s="97" t="str">
        <f t="shared" ref="I57:I95" si="14">IF(C57="","",VLOOKUP(C57,$C$7:$AC$53,7,FALSE))</f>
        <v>MRS PREM DEVI</v>
      </c>
      <c r="J57" s="157">
        <f t="shared" ref="J57:J95" si="15">IF(C57="","",VLOOKUP(C57,$C$7:$AC$53,8,FALSE))</f>
        <v>40203</v>
      </c>
      <c r="K57" s="96" t="str">
        <f t="shared" ref="K57:K95" si="16">IF(C57="","",VLOOKUP(C57,$C$7:$AC$53,9,FALSE))</f>
        <v>GIRL</v>
      </c>
      <c r="L57" s="96" t="str">
        <f t="shared" ref="L57:L95" si="17">IF(C57="","",VLOOKUP(C57,$C$7:$AC$53,10,FALSE))</f>
        <v>OBC</v>
      </c>
      <c r="M57" s="97" t="str">
        <f t="shared" ref="M57:M95" si="18">IF(C57="","",VLOOKUP(C57,$C$7:$AC$53,11,FALSE))</f>
        <v/>
      </c>
      <c r="N57" s="149">
        <f t="shared" ref="N57:N96" si="19">IF(C57="","",VLOOKUP(C57,$C$7:$AC$53,12,FALSE))</f>
        <v>68</v>
      </c>
      <c r="O57" s="149" t="str">
        <f t="shared" ref="O57:O96" si="20">IF(N57="","",IF(N57&lt;33,"E",IF(AND(N57&gt;=33,N57&lt;41),"D",IF(AND(N57&gt;=41,N57&lt;51),"C2",IF(AND(N57&gt;=51,N57&lt;61),"C1",IF(AND(N57&gt;=61,N57&lt;71),"B2",IF(AND(N57&gt;=71,N57&lt;81),"B1",IF(AND(N57&gt;=81,N57&lt;91),"A2",IF(AND(N57&gt;=91,N57&lt;=100),"A1")))))))))</f>
        <v>B2</v>
      </c>
      <c r="P57" s="150">
        <f t="shared" ref="P57:P96" si="21">IF(C57="","",VLOOKUP(C57,$C$7:$AC$53,14,FALSE))</f>
        <v>44</v>
      </c>
      <c r="Q57" s="151" t="str">
        <f t="shared" ref="Q57:Q96" si="22">IF(P57="","",IF(P57&lt;33,"E",IF(AND(P57&gt;=33,P57&lt;41),"D",IF(AND(P57&gt;=41,P57&lt;51),"C2",IF(AND(P57&gt;=51,P57&lt;61),"C1",IF(AND(P57&gt;=61,P57&lt;71),"B2",IF(AND(P57&gt;=71,P57&lt;81),"B1",IF(AND(P57&gt;=81,P57&lt;91),"A2",IF(AND(P57&gt;=91,P57&lt;=100),"A1")))))))))</f>
        <v>C2</v>
      </c>
      <c r="R57" s="149">
        <f t="shared" ref="R57:R96" si="23">IF(C57="","",VLOOKUP(C57,$C$7:$AC$53,16,FALSE))</f>
        <v>62</v>
      </c>
      <c r="S57" s="149" t="str">
        <f t="shared" ref="S57:S96" si="24">IF(R57="","",IF(R57&lt;33,"E",IF(AND(R57&gt;=33,R57&lt;41),"D",IF(AND(R57&gt;=41,R57&lt;51),"C2",IF(AND(R57&gt;=51,R57&lt;61),"C1",IF(AND(R57&gt;=61,R57&lt;71),"B2",IF(AND(R57&gt;=71,R57&lt;81),"B1",IF(AND(R57&gt;=81,R57&lt;91),"A2",IF(AND(R57&gt;=91,R57&lt;=100),"A1")))))))))</f>
        <v>B2</v>
      </c>
      <c r="T57" s="150">
        <f t="shared" ref="T57:T96" si="25">IF(C57="","",VLOOKUP(C57,$C$7:$AC$53,18,FALSE))</f>
        <v>22</v>
      </c>
      <c r="U57" s="150" t="str">
        <f t="shared" ref="U57:U96" si="26">IF(T57="","",IF(T57&lt;33,"E",IF(AND(T57&gt;=33,T57&lt;41),"D",IF(AND(T57&gt;=41,T57&lt;51),"C2",IF(AND(T57&gt;=51,T57&lt;61),"C1",IF(AND(T57&gt;=61,T57&lt;71),"B2",IF(AND(T57&gt;=71,T57&lt;81),"B1",IF(AND(T57&gt;=81,T57&lt;91),"A2",IF(AND(T57&gt;=91,T57&lt;=100),"A1")))))))))</f>
        <v>E</v>
      </c>
      <c r="V57" s="152">
        <f t="shared" ref="V57:V96" si="27">IF(C57="","",VLOOKUP(C57,$C$7:$AC$53,20,FALSE))</f>
        <v>65</v>
      </c>
      <c r="W57" s="152" t="str">
        <f t="shared" ref="W57:W96" si="28">IF(V57="","",IF(V57&lt;33,"E",IF(AND(V57&gt;=33,V57&lt;41),"D",IF(AND(V57&gt;=41,V57&lt;51),"C2",IF(AND(V57&gt;=51,V57&lt;61),"C1",IF(AND(V57&gt;=61,V57&lt;71),"B2",IF(AND(V57&gt;=71,V57&lt;81),"B1",IF(AND(V57&gt;=81,V57&lt;91),"A2",IF(AND(V57&gt;=91,V57&lt;=100),"A1")))))))))</f>
        <v>B2</v>
      </c>
      <c r="X57" s="150">
        <f t="shared" ref="X57:X96" si="29">IF(C57="","",VLOOKUP(C57,$C$7:$AC$53,22,FALSE))</f>
        <v>55</v>
      </c>
      <c r="Y57" s="150" t="str">
        <f t="shared" ref="Y57:Y96" si="30">IF(X57="","",IF(X57&lt;33,"E",IF(AND(X57&gt;=33,X57&lt;41),"D",IF(AND(X57&gt;=41,X57&lt;51),"C2",IF(AND(X57&gt;=51,X57&lt;61),"C1",IF(AND(X57&gt;=61,X57&lt;71),"B2",IF(AND(X57&gt;=71,X57&lt;81),"B1",IF(AND(X57&gt;=81,X57&lt;91),"A2",IF(AND(X57&gt;=91,X57&lt;=100),"A1")))))))))</f>
        <v>C1</v>
      </c>
      <c r="Z57" s="153">
        <f t="shared" ref="Z57:Z96" si="31">IF(C57="","",VLOOKUP(C57,$C$7:$AC$53,24,FALSE))</f>
        <v>294</v>
      </c>
      <c r="AA57" s="154" t="str">
        <f>IF(C57="","",VLOOKUP(C57,$C$7:$AC$53,25,FALSE)&amp;" %")</f>
        <v>58.8 %</v>
      </c>
      <c r="AB57" s="153" t="str">
        <f t="shared" ref="AB57:AB96" si="32">IF(C57="","",VLOOKUP(C57,$C$7:$AC$53,26,FALSE))</f>
        <v>C1</v>
      </c>
      <c r="AC57" s="436">
        <f t="shared" ref="AC57:AC96" si="33">IF(C57="","",VLOOKUP(C57,$C$7:$AC$53,27,FALSE))</f>
        <v>1.0000000000000007</v>
      </c>
      <c r="AD57" s="338">
        <f>IF(C57="","",VLOOKUP(C57,$C$7:$AD$53,28,FALSE))</f>
        <v>2</v>
      </c>
      <c r="AE57" s="158">
        <f t="shared" ref="AE57:AE96" si="34">IF(AD57="","",SMALL($AD$57:$AD$96,B7))</f>
        <v>1</v>
      </c>
      <c r="AF57" s="158"/>
      <c r="AG57" s="158"/>
    </row>
    <row r="58" spans="1:34" ht="16.8" x14ac:dyDescent="0.25">
      <c r="A58" s="177"/>
      <c r="B58" s="376">
        <v>2</v>
      </c>
      <c r="C58" s="96">
        <f t="shared" ref="C58:C96" si="35">IF(AG8="","",AG8)</f>
        <v>2</v>
      </c>
      <c r="D58" s="96">
        <f t="shared" ref="D58:D95" si="36">IF(AD58="","",AD58)</f>
        <v>1</v>
      </c>
      <c r="E58" s="96">
        <f t="shared" si="10"/>
        <v>902</v>
      </c>
      <c r="F58" s="96">
        <f t="shared" si="11"/>
        <v>971</v>
      </c>
      <c r="G58" s="303" t="str">
        <f t="shared" si="12"/>
        <v>ARVIND SINGH BALLA</v>
      </c>
      <c r="H58" s="303" t="str">
        <f t="shared" si="13"/>
        <v>INDRA SINGH BALLA</v>
      </c>
      <c r="I58" s="97" t="str">
        <f t="shared" si="14"/>
        <v>MEENA KANWAR BALLA</v>
      </c>
      <c r="J58" s="157">
        <f t="shared" si="15"/>
        <v>40292</v>
      </c>
      <c r="K58" s="96" t="str">
        <f t="shared" si="16"/>
        <v>BOY</v>
      </c>
      <c r="L58" s="96" t="str">
        <f t="shared" si="17"/>
        <v>GEN</v>
      </c>
      <c r="M58" s="97" t="str">
        <f t="shared" si="18"/>
        <v/>
      </c>
      <c r="N58" s="149">
        <f t="shared" si="19"/>
        <v>63</v>
      </c>
      <c r="O58" s="149" t="str">
        <f t="shared" si="20"/>
        <v>B2</v>
      </c>
      <c r="P58" s="150">
        <f t="shared" si="21"/>
        <v>70</v>
      </c>
      <c r="Q58" s="151" t="str">
        <f t="shared" si="22"/>
        <v>B2</v>
      </c>
      <c r="R58" s="149">
        <f t="shared" si="23"/>
        <v>64</v>
      </c>
      <c r="S58" s="149" t="str">
        <f t="shared" si="24"/>
        <v>B2</v>
      </c>
      <c r="T58" s="150">
        <f t="shared" si="25"/>
        <v>36</v>
      </c>
      <c r="U58" s="150" t="str">
        <f t="shared" si="26"/>
        <v>D</v>
      </c>
      <c r="V58" s="152">
        <f t="shared" si="27"/>
        <v>16</v>
      </c>
      <c r="W58" s="152" t="str">
        <f t="shared" si="28"/>
        <v>E</v>
      </c>
      <c r="X58" s="150">
        <f t="shared" si="29"/>
        <v>25</v>
      </c>
      <c r="Y58" s="150" t="str">
        <f t="shared" si="30"/>
        <v>E</v>
      </c>
      <c r="Z58" s="153">
        <f t="shared" si="31"/>
        <v>299</v>
      </c>
      <c r="AA58" s="154" t="str">
        <f t="shared" ref="AA58:AA96" si="37">IF(C58="","",VLOOKUP(C58,$C$7:$AC$53,25,FALSE)&amp;" %")</f>
        <v>59.8 %</v>
      </c>
      <c r="AB58" s="153" t="str">
        <f t="shared" si="32"/>
        <v>C1</v>
      </c>
      <c r="AC58" s="436" t="str">
        <f t="shared" si="33"/>
        <v/>
      </c>
      <c r="AD58" s="338">
        <f>IF(C58="","",VLOOKUP(C58,$C$7:$AD$53,28,FALSE))</f>
        <v>1</v>
      </c>
      <c r="AE58" s="158">
        <f t="shared" si="34"/>
        <v>2</v>
      </c>
      <c r="AF58" s="158"/>
      <c r="AG58" s="158"/>
    </row>
    <row r="59" spans="1:34" ht="16.8" x14ac:dyDescent="0.25">
      <c r="A59" s="177"/>
      <c r="B59" s="376">
        <v>3</v>
      </c>
      <c r="C59" s="96" t="str">
        <f t="shared" si="35"/>
        <v/>
      </c>
      <c r="D59" s="96" t="str">
        <f t="shared" si="36"/>
        <v/>
      </c>
      <c r="E59" s="96" t="str">
        <f t="shared" si="10"/>
        <v/>
      </c>
      <c r="F59" s="96" t="str">
        <f t="shared" si="11"/>
        <v/>
      </c>
      <c r="G59" s="303" t="str">
        <f t="shared" si="12"/>
        <v/>
      </c>
      <c r="H59" s="303" t="str">
        <f t="shared" si="13"/>
        <v/>
      </c>
      <c r="I59" s="97" t="str">
        <f t="shared" si="14"/>
        <v/>
      </c>
      <c r="J59" s="157" t="str">
        <f t="shared" si="15"/>
        <v/>
      </c>
      <c r="K59" s="96" t="str">
        <f t="shared" si="16"/>
        <v/>
      </c>
      <c r="L59" s="96" t="str">
        <f t="shared" si="17"/>
        <v/>
      </c>
      <c r="M59" s="97" t="str">
        <f t="shared" si="18"/>
        <v/>
      </c>
      <c r="N59" s="149" t="str">
        <f t="shared" si="19"/>
        <v/>
      </c>
      <c r="O59" s="149" t="str">
        <f t="shared" si="20"/>
        <v/>
      </c>
      <c r="P59" s="150" t="str">
        <f t="shared" si="21"/>
        <v/>
      </c>
      <c r="Q59" s="151" t="str">
        <f t="shared" si="22"/>
        <v/>
      </c>
      <c r="R59" s="149" t="str">
        <f t="shared" si="23"/>
        <v/>
      </c>
      <c r="S59" s="149" t="str">
        <f t="shared" si="24"/>
        <v/>
      </c>
      <c r="T59" s="150" t="str">
        <f t="shared" si="25"/>
        <v/>
      </c>
      <c r="U59" s="150" t="str">
        <f t="shared" si="26"/>
        <v/>
      </c>
      <c r="V59" s="152" t="str">
        <f t="shared" si="27"/>
        <v/>
      </c>
      <c r="W59" s="152" t="str">
        <f t="shared" si="28"/>
        <v/>
      </c>
      <c r="X59" s="150" t="str">
        <f t="shared" si="29"/>
        <v/>
      </c>
      <c r="Y59" s="150" t="str">
        <f t="shared" si="30"/>
        <v/>
      </c>
      <c r="Z59" s="153" t="str">
        <f t="shared" si="31"/>
        <v/>
      </c>
      <c r="AA59" s="154" t="str">
        <f t="shared" si="37"/>
        <v/>
      </c>
      <c r="AB59" s="153" t="str">
        <f t="shared" si="32"/>
        <v/>
      </c>
      <c r="AC59" s="436" t="str">
        <f t="shared" si="33"/>
        <v/>
      </c>
      <c r="AD59" s="338" t="str">
        <f>IF(C59="","",VLOOKUP(C59,$C$7:$AD$53,28,FALSE))</f>
        <v/>
      </c>
      <c r="AE59" s="158" t="str">
        <f t="shared" si="34"/>
        <v/>
      </c>
      <c r="AF59" s="158"/>
      <c r="AG59" s="158"/>
    </row>
    <row r="60" spans="1:34" ht="16.8" x14ac:dyDescent="0.25">
      <c r="A60" s="177"/>
      <c r="B60" s="376">
        <v>4</v>
      </c>
      <c r="C60" s="96" t="str">
        <f t="shared" si="35"/>
        <v/>
      </c>
      <c r="D60" s="96" t="str">
        <f t="shared" si="36"/>
        <v/>
      </c>
      <c r="E60" s="96" t="str">
        <f t="shared" si="10"/>
        <v/>
      </c>
      <c r="F60" s="96" t="str">
        <f t="shared" si="11"/>
        <v/>
      </c>
      <c r="G60" s="303" t="str">
        <f t="shared" si="12"/>
        <v/>
      </c>
      <c r="H60" s="303" t="str">
        <f t="shared" si="13"/>
        <v/>
      </c>
      <c r="I60" s="97" t="str">
        <f t="shared" si="14"/>
        <v/>
      </c>
      <c r="J60" s="157" t="str">
        <f t="shared" si="15"/>
        <v/>
      </c>
      <c r="K60" s="96" t="str">
        <f t="shared" si="16"/>
        <v/>
      </c>
      <c r="L60" s="96" t="str">
        <f t="shared" si="17"/>
        <v/>
      </c>
      <c r="M60" s="97" t="str">
        <f t="shared" si="18"/>
        <v/>
      </c>
      <c r="N60" s="149" t="str">
        <f t="shared" si="19"/>
        <v/>
      </c>
      <c r="O60" s="149" t="str">
        <f t="shared" si="20"/>
        <v/>
      </c>
      <c r="P60" s="150" t="str">
        <f t="shared" si="21"/>
        <v/>
      </c>
      <c r="Q60" s="151" t="str">
        <f t="shared" si="22"/>
        <v/>
      </c>
      <c r="R60" s="149" t="str">
        <f t="shared" si="23"/>
        <v/>
      </c>
      <c r="S60" s="149" t="str">
        <f t="shared" si="24"/>
        <v/>
      </c>
      <c r="T60" s="150" t="str">
        <f t="shared" si="25"/>
        <v/>
      </c>
      <c r="U60" s="150" t="str">
        <f t="shared" si="26"/>
        <v/>
      </c>
      <c r="V60" s="152" t="str">
        <f t="shared" si="27"/>
        <v/>
      </c>
      <c r="W60" s="152" t="str">
        <f t="shared" si="28"/>
        <v/>
      </c>
      <c r="X60" s="150" t="str">
        <f t="shared" si="29"/>
        <v/>
      </c>
      <c r="Y60" s="150" t="str">
        <f t="shared" si="30"/>
        <v/>
      </c>
      <c r="Z60" s="153" t="str">
        <f t="shared" si="31"/>
        <v/>
      </c>
      <c r="AA60" s="154" t="str">
        <f t="shared" si="37"/>
        <v/>
      </c>
      <c r="AB60" s="153" t="str">
        <f t="shared" si="32"/>
        <v/>
      </c>
      <c r="AC60" s="436" t="str">
        <f t="shared" si="33"/>
        <v/>
      </c>
      <c r="AD60" s="338" t="str">
        <f>IF(C60="","",VLOOKUP(C60,$C$7:$AD$53,28,FALSE))</f>
        <v/>
      </c>
      <c r="AE60" s="158" t="str">
        <f t="shared" si="34"/>
        <v/>
      </c>
      <c r="AF60" s="158"/>
      <c r="AG60" s="158"/>
    </row>
    <row r="61" spans="1:34" ht="16.8" x14ac:dyDescent="0.25">
      <c r="A61" s="177"/>
      <c r="B61" s="376">
        <v>5</v>
      </c>
      <c r="C61" s="96" t="str">
        <f t="shared" si="35"/>
        <v/>
      </c>
      <c r="D61" s="96" t="str">
        <f t="shared" si="36"/>
        <v/>
      </c>
      <c r="E61" s="96" t="str">
        <f t="shared" si="10"/>
        <v/>
      </c>
      <c r="F61" s="96" t="str">
        <f t="shared" si="11"/>
        <v/>
      </c>
      <c r="G61" s="303" t="str">
        <f t="shared" si="12"/>
        <v/>
      </c>
      <c r="H61" s="303" t="str">
        <f t="shared" si="13"/>
        <v/>
      </c>
      <c r="I61" s="97" t="str">
        <f t="shared" si="14"/>
        <v/>
      </c>
      <c r="J61" s="157" t="str">
        <f t="shared" si="15"/>
        <v/>
      </c>
      <c r="K61" s="96" t="str">
        <f t="shared" si="16"/>
        <v/>
      </c>
      <c r="L61" s="96" t="str">
        <f t="shared" si="17"/>
        <v/>
      </c>
      <c r="M61" s="97" t="str">
        <f t="shared" si="18"/>
        <v/>
      </c>
      <c r="N61" s="149" t="str">
        <f t="shared" si="19"/>
        <v/>
      </c>
      <c r="O61" s="149" t="str">
        <f t="shared" si="20"/>
        <v/>
      </c>
      <c r="P61" s="150" t="str">
        <f t="shared" si="21"/>
        <v/>
      </c>
      <c r="Q61" s="151" t="str">
        <f t="shared" si="22"/>
        <v/>
      </c>
      <c r="R61" s="149" t="str">
        <f t="shared" si="23"/>
        <v/>
      </c>
      <c r="S61" s="149" t="str">
        <f t="shared" si="24"/>
        <v/>
      </c>
      <c r="T61" s="150" t="str">
        <f t="shared" si="25"/>
        <v/>
      </c>
      <c r="U61" s="150" t="str">
        <f t="shared" si="26"/>
        <v/>
      </c>
      <c r="V61" s="152" t="str">
        <f t="shared" si="27"/>
        <v/>
      </c>
      <c r="W61" s="152" t="str">
        <f t="shared" si="28"/>
        <v/>
      </c>
      <c r="X61" s="150" t="str">
        <f t="shared" si="29"/>
        <v/>
      </c>
      <c r="Y61" s="150" t="str">
        <f t="shared" si="30"/>
        <v/>
      </c>
      <c r="Z61" s="153" t="str">
        <f t="shared" si="31"/>
        <v/>
      </c>
      <c r="AA61" s="154" t="str">
        <f t="shared" si="37"/>
        <v/>
      </c>
      <c r="AB61" s="153" t="str">
        <f t="shared" si="32"/>
        <v/>
      </c>
      <c r="AC61" s="436" t="str">
        <f t="shared" si="33"/>
        <v/>
      </c>
      <c r="AD61" s="338" t="str">
        <f>IF(C61="","",VLOOKUP(C61,$C$7:$AD$53,28,FALSE))</f>
        <v/>
      </c>
      <c r="AE61" s="158" t="str">
        <f t="shared" si="34"/>
        <v/>
      </c>
      <c r="AF61" s="158"/>
      <c r="AG61" s="158"/>
    </row>
    <row r="62" spans="1:34" ht="16.8" x14ac:dyDescent="0.25">
      <c r="A62" s="177"/>
      <c r="B62" s="376">
        <v>6</v>
      </c>
      <c r="C62" s="96" t="str">
        <f t="shared" si="35"/>
        <v/>
      </c>
      <c r="D62" s="96" t="str">
        <f t="shared" si="36"/>
        <v/>
      </c>
      <c r="E62" s="96" t="str">
        <f t="shared" si="10"/>
        <v/>
      </c>
      <c r="F62" s="96" t="str">
        <f t="shared" si="11"/>
        <v/>
      </c>
      <c r="G62" s="303" t="str">
        <f t="shared" si="12"/>
        <v/>
      </c>
      <c r="H62" s="303" t="str">
        <f t="shared" si="13"/>
        <v/>
      </c>
      <c r="I62" s="97" t="str">
        <f t="shared" si="14"/>
        <v/>
      </c>
      <c r="J62" s="157" t="str">
        <f t="shared" si="15"/>
        <v/>
      </c>
      <c r="K62" s="96" t="str">
        <f t="shared" si="16"/>
        <v/>
      </c>
      <c r="L62" s="96" t="str">
        <f t="shared" si="17"/>
        <v/>
      </c>
      <c r="M62" s="97" t="str">
        <f t="shared" si="18"/>
        <v/>
      </c>
      <c r="N62" s="149" t="str">
        <f t="shared" si="19"/>
        <v/>
      </c>
      <c r="O62" s="149" t="str">
        <f t="shared" si="20"/>
        <v/>
      </c>
      <c r="P62" s="150" t="str">
        <f t="shared" si="21"/>
        <v/>
      </c>
      <c r="Q62" s="151" t="str">
        <f t="shared" si="22"/>
        <v/>
      </c>
      <c r="R62" s="149" t="str">
        <f t="shared" si="23"/>
        <v/>
      </c>
      <c r="S62" s="149" t="str">
        <f t="shared" si="24"/>
        <v/>
      </c>
      <c r="T62" s="150" t="str">
        <f t="shared" si="25"/>
        <v/>
      </c>
      <c r="U62" s="150" t="str">
        <f t="shared" si="26"/>
        <v/>
      </c>
      <c r="V62" s="152" t="str">
        <f t="shared" si="27"/>
        <v/>
      </c>
      <c r="W62" s="152" t="str">
        <f t="shared" si="28"/>
        <v/>
      </c>
      <c r="X62" s="150" t="str">
        <f t="shared" si="29"/>
        <v/>
      </c>
      <c r="Y62" s="150" t="str">
        <f t="shared" si="30"/>
        <v/>
      </c>
      <c r="Z62" s="153" t="str">
        <f t="shared" si="31"/>
        <v/>
      </c>
      <c r="AA62" s="154" t="str">
        <f t="shared" si="37"/>
        <v/>
      </c>
      <c r="AB62" s="153" t="str">
        <f t="shared" si="32"/>
        <v/>
      </c>
      <c r="AC62" s="436" t="str">
        <f t="shared" si="33"/>
        <v/>
      </c>
      <c r="AD62" s="338" t="str">
        <f t="shared" ref="AD62:AD96" si="38">IF(C62="","",VLOOKUP(C62,$C$7:$AD$53,28,FALSE))</f>
        <v/>
      </c>
      <c r="AE62" s="158" t="str">
        <f t="shared" si="34"/>
        <v/>
      </c>
      <c r="AF62" s="158"/>
      <c r="AG62" s="158"/>
    </row>
    <row r="63" spans="1:34" ht="16.8" x14ac:dyDescent="0.25">
      <c r="A63" s="177"/>
      <c r="B63" s="376">
        <v>7</v>
      </c>
      <c r="C63" s="96" t="str">
        <f t="shared" si="35"/>
        <v/>
      </c>
      <c r="D63" s="96" t="str">
        <f t="shared" si="36"/>
        <v/>
      </c>
      <c r="E63" s="96" t="str">
        <f t="shared" si="10"/>
        <v/>
      </c>
      <c r="F63" s="96" t="str">
        <f t="shared" si="11"/>
        <v/>
      </c>
      <c r="G63" s="303" t="str">
        <f t="shared" si="12"/>
        <v/>
      </c>
      <c r="H63" s="303" t="str">
        <f t="shared" si="13"/>
        <v/>
      </c>
      <c r="I63" s="97" t="str">
        <f t="shared" si="14"/>
        <v/>
      </c>
      <c r="J63" s="157" t="str">
        <f t="shared" si="15"/>
        <v/>
      </c>
      <c r="K63" s="96" t="str">
        <f t="shared" si="16"/>
        <v/>
      </c>
      <c r="L63" s="96" t="str">
        <f t="shared" si="17"/>
        <v/>
      </c>
      <c r="M63" s="97" t="str">
        <f t="shared" si="18"/>
        <v/>
      </c>
      <c r="N63" s="149" t="str">
        <f t="shared" si="19"/>
        <v/>
      </c>
      <c r="O63" s="149" t="str">
        <f t="shared" si="20"/>
        <v/>
      </c>
      <c r="P63" s="150" t="str">
        <f t="shared" si="21"/>
        <v/>
      </c>
      <c r="Q63" s="151" t="str">
        <f t="shared" si="22"/>
        <v/>
      </c>
      <c r="R63" s="149" t="str">
        <f t="shared" si="23"/>
        <v/>
      </c>
      <c r="S63" s="149" t="str">
        <f t="shared" si="24"/>
        <v/>
      </c>
      <c r="T63" s="150" t="str">
        <f t="shared" si="25"/>
        <v/>
      </c>
      <c r="U63" s="150" t="str">
        <f t="shared" si="26"/>
        <v/>
      </c>
      <c r="V63" s="152" t="str">
        <f t="shared" si="27"/>
        <v/>
      </c>
      <c r="W63" s="152" t="str">
        <f t="shared" si="28"/>
        <v/>
      </c>
      <c r="X63" s="150" t="str">
        <f t="shared" si="29"/>
        <v/>
      </c>
      <c r="Y63" s="150" t="str">
        <f t="shared" si="30"/>
        <v/>
      </c>
      <c r="Z63" s="153" t="str">
        <f t="shared" si="31"/>
        <v/>
      </c>
      <c r="AA63" s="154" t="str">
        <f t="shared" si="37"/>
        <v/>
      </c>
      <c r="AB63" s="153" t="str">
        <f t="shared" si="32"/>
        <v/>
      </c>
      <c r="AC63" s="436" t="str">
        <f t="shared" si="33"/>
        <v/>
      </c>
      <c r="AD63" s="338" t="str">
        <f t="shared" si="38"/>
        <v/>
      </c>
      <c r="AE63" s="158" t="str">
        <f t="shared" si="34"/>
        <v/>
      </c>
      <c r="AF63" s="158"/>
      <c r="AG63" s="158"/>
    </row>
    <row r="64" spans="1:34" ht="16.8" x14ac:dyDescent="0.25">
      <c r="A64" s="177"/>
      <c r="B64" s="376">
        <v>8</v>
      </c>
      <c r="C64" s="96" t="str">
        <f t="shared" si="35"/>
        <v/>
      </c>
      <c r="D64" s="96" t="str">
        <f t="shared" si="36"/>
        <v/>
      </c>
      <c r="E64" s="96" t="str">
        <f t="shared" si="10"/>
        <v/>
      </c>
      <c r="F64" s="96" t="str">
        <f t="shared" si="11"/>
        <v/>
      </c>
      <c r="G64" s="303" t="str">
        <f t="shared" si="12"/>
        <v/>
      </c>
      <c r="H64" s="303" t="str">
        <f t="shared" si="13"/>
        <v/>
      </c>
      <c r="I64" s="97" t="str">
        <f t="shared" si="14"/>
        <v/>
      </c>
      <c r="J64" s="157" t="str">
        <f t="shared" si="15"/>
        <v/>
      </c>
      <c r="K64" s="96" t="str">
        <f t="shared" si="16"/>
        <v/>
      </c>
      <c r="L64" s="96" t="str">
        <f t="shared" si="17"/>
        <v/>
      </c>
      <c r="M64" s="97" t="str">
        <f t="shared" si="18"/>
        <v/>
      </c>
      <c r="N64" s="149" t="str">
        <f t="shared" si="19"/>
        <v/>
      </c>
      <c r="O64" s="149" t="str">
        <f t="shared" si="20"/>
        <v/>
      </c>
      <c r="P64" s="150" t="str">
        <f t="shared" si="21"/>
        <v/>
      </c>
      <c r="Q64" s="151" t="str">
        <f t="shared" si="22"/>
        <v/>
      </c>
      <c r="R64" s="149" t="str">
        <f t="shared" si="23"/>
        <v/>
      </c>
      <c r="S64" s="149" t="str">
        <f t="shared" si="24"/>
        <v/>
      </c>
      <c r="T64" s="150" t="str">
        <f t="shared" si="25"/>
        <v/>
      </c>
      <c r="U64" s="150" t="str">
        <f t="shared" si="26"/>
        <v/>
      </c>
      <c r="V64" s="152" t="str">
        <f t="shared" si="27"/>
        <v/>
      </c>
      <c r="W64" s="152" t="str">
        <f t="shared" si="28"/>
        <v/>
      </c>
      <c r="X64" s="150" t="str">
        <f t="shared" si="29"/>
        <v/>
      </c>
      <c r="Y64" s="150" t="str">
        <f t="shared" si="30"/>
        <v/>
      </c>
      <c r="Z64" s="153" t="str">
        <f t="shared" si="31"/>
        <v/>
      </c>
      <c r="AA64" s="154" t="str">
        <f t="shared" si="37"/>
        <v/>
      </c>
      <c r="AB64" s="153" t="str">
        <f t="shared" si="32"/>
        <v/>
      </c>
      <c r="AC64" s="436" t="str">
        <f t="shared" si="33"/>
        <v/>
      </c>
      <c r="AD64" s="338" t="str">
        <f t="shared" si="38"/>
        <v/>
      </c>
      <c r="AE64" s="158" t="str">
        <f t="shared" si="34"/>
        <v/>
      </c>
      <c r="AF64" s="158"/>
      <c r="AG64" s="158"/>
    </row>
    <row r="65" spans="1:33" ht="16.8" x14ac:dyDescent="0.25">
      <c r="A65" s="177"/>
      <c r="B65" s="376">
        <v>9</v>
      </c>
      <c r="C65" s="96" t="str">
        <f t="shared" si="35"/>
        <v/>
      </c>
      <c r="D65" s="96" t="str">
        <f t="shared" si="36"/>
        <v/>
      </c>
      <c r="E65" s="96" t="str">
        <f t="shared" si="10"/>
        <v/>
      </c>
      <c r="F65" s="96" t="str">
        <f t="shared" si="11"/>
        <v/>
      </c>
      <c r="G65" s="303" t="str">
        <f t="shared" si="12"/>
        <v/>
      </c>
      <c r="H65" s="303" t="str">
        <f t="shared" si="13"/>
        <v/>
      </c>
      <c r="I65" s="97" t="str">
        <f t="shared" si="14"/>
        <v/>
      </c>
      <c r="J65" s="157" t="str">
        <f t="shared" si="15"/>
        <v/>
      </c>
      <c r="K65" s="96" t="str">
        <f t="shared" si="16"/>
        <v/>
      </c>
      <c r="L65" s="96" t="str">
        <f t="shared" si="17"/>
        <v/>
      </c>
      <c r="M65" s="97" t="str">
        <f t="shared" si="18"/>
        <v/>
      </c>
      <c r="N65" s="149" t="str">
        <f t="shared" si="19"/>
        <v/>
      </c>
      <c r="O65" s="149" t="str">
        <f t="shared" si="20"/>
        <v/>
      </c>
      <c r="P65" s="150" t="str">
        <f t="shared" si="21"/>
        <v/>
      </c>
      <c r="Q65" s="151" t="str">
        <f t="shared" si="22"/>
        <v/>
      </c>
      <c r="R65" s="149" t="str">
        <f t="shared" si="23"/>
        <v/>
      </c>
      <c r="S65" s="149" t="str">
        <f t="shared" si="24"/>
        <v/>
      </c>
      <c r="T65" s="150" t="str">
        <f t="shared" si="25"/>
        <v/>
      </c>
      <c r="U65" s="150" t="str">
        <f t="shared" si="26"/>
        <v/>
      </c>
      <c r="V65" s="152" t="str">
        <f t="shared" si="27"/>
        <v/>
      </c>
      <c r="W65" s="152" t="str">
        <f t="shared" si="28"/>
        <v/>
      </c>
      <c r="X65" s="150" t="str">
        <f t="shared" si="29"/>
        <v/>
      </c>
      <c r="Y65" s="150" t="str">
        <f t="shared" si="30"/>
        <v/>
      </c>
      <c r="Z65" s="153" t="str">
        <f t="shared" si="31"/>
        <v/>
      </c>
      <c r="AA65" s="154" t="str">
        <f t="shared" si="37"/>
        <v/>
      </c>
      <c r="AB65" s="153" t="str">
        <f t="shared" si="32"/>
        <v/>
      </c>
      <c r="AC65" s="436" t="str">
        <f t="shared" si="33"/>
        <v/>
      </c>
      <c r="AD65" s="338" t="str">
        <f t="shared" si="38"/>
        <v/>
      </c>
      <c r="AE65" s="158" t="str">
        <f t="shared" si="34"/>
        <v/>
      </c>
      <c r="AF65" s="158"/>
      <c r="AG65" s="158"/>
    </row>
    <row r="66" spans="1:33" ht="16.8" x14ac:dyDescent="0.25">
      <c r="A66" s="177"/>
      <c r="B66" s="376">
        <v>10</v>
      </c>
      <c r="C66" s="96" t="str">
        <f t="shared" si="35"/>
        <v/>
      </c>
      <c r="D66" s="96" t="str">
        <f t="shared" si="36"/>
        <v/>
      </c>
      <c r="E66" s="96" t="str">
        <f t="shared" si="10"/>
        <v/>
      </c>
      <c r="F66" s="96" t="str">
        <f t="shared" si="11"/>
        <v/>
      </c>
      <c r="G66" s="303" t="str">
        <f t="shared" si="12"/>
        <v/>
      </c>
      <c r="H66" s="303" t="str">
        <f t="shared" si="13"/>
        <v/>
      </c>
      <c r="I66" s="97" t="str">
        <f t="shared" si="14"/>
        <v/>
      </c>
      <c r="J66" s="157" t="str">
        <f t="shared" si="15"/>
        <v/>
      </c>
      <c r="K66" s="96" t="str">
        <f t="shared" si="16"/>
        <v/>
      </c>
      <c r="L66" s="96" t="str">
        <f t="shared" si="17"/>
        <v/>
      </c>
      <c r="M66" s="97" t="str">
        <f t="shared" si="18"/>
        <v/>
      </c>
      <c r="N66" s="149" t="str">
        <f t="shared" si="19"/>
        <v/>
      </c>
      <c r="O66" s="149" t="str">
        <f t="shared" si="20"/>
        <v/>
      </c>
      <c r="P66" s="150" t="str">
        <f t="shared" si="21"/>
        <v/>
      </c>
      <c r="Q66" s="151" t="str">
        <f t="shared" si="22"/>
        <v/>
      </c>
      <c r="R66" s="149" t="str">
        <f t="shared" si="23"/>
        <v/>
      </c>
      <c r="S66" s="149" t="str">
        <f t="shared" si="24"/>
        <v/>
      </c>
      <c r="T66" s="150" t="str">
        <f t="shared" si="25"/>
        <v/>
      </c>
      <c r="U66" s="150" t="str">
        <f t="shared" si="26"/>
        <v/>
      </c>
      <c r="V66" s="152" t="str">
        <f t="shared" si="27"/>
        <v/>
      </c>
      <c r="W66" s="152" t="str">
        <f t="shared" si="28"/>
        <v/>
      </c>
      <c r="X66" s="150" t="str">
        <f t="shared" si="29"/>
        <v/>
      </c>
      <c r="Y66" s="150" t="str">
        <f t="shared" si="30"/>
        <v/>
      </c>
      <c r="Z66" s="153" t="str">
        <f t="shared" si="31"/>
        <v/>
      </c>
      <c r="AA66" s="154" t="str">
        <f t="shared" si="37"/>
        <v/>
      </c>
      <c r="AB66" s="153" t="str">
        <f t="shared" si="32"/>
        <v/>
      </c>
      <c r="AC66" s="436" t="str">
        <f t="shared" si="33"/>
        <v/>
      </c>
      <c r="AD66" s="338" t="str">
        <f t="shared" si="38"/>
        <v/>
      </c>
      <c r="AE66" s="158" t="str">
        <f t="shared" si="34"/>
        <v/>
      </c>
      <c r="AF66" s="158"/>
      <c r="AG66" s="158"/>
    </row>
    <row r="67" spans="1:33" ht="16.8" x14ac:dyDescent="0.25">
      <c r="A67" s="177"/>
      <c r="B67" s="376">
        <v>11</v>
      </c>
      <c r="C67" s="96" t="str">
        <f t="shared" si="35"/>
        <v/>
      </c>
      <c r="D67" s="96" t="str">
        <f t="shared" si="36"/>
        <v/>
      </c>
      <c r="E67" s="96" t="str">
        <f t="shared" si="10"/>
        <v/>
      </c>
      <c r="F67" s="96" t="str">
        <f t="shared" si="11"/>
        <v/>
      </c>
      <c r="G67" s="303" t="str">
        <f t="shared" si="12"/>
        <v/>
      </c>
      <c r="H67" s="303" t="str">
        <f t="shared" si="13"/>
        <v/>
      </c>
      <c r="I67" s="97" t="str">
        <f t="shared" si="14"/>
        <v/>
      </c>
      <c r="J67" s="157" t="str">
        <f t="shared" si="15"/>
        <v/>
      </c>
      <c r="K67" s="96" t="str">
        <f t="shared" si="16"/>
        <v/>
      </c>
      <c r="L67" s="96" t="str">
        <f t="shared" si="17"/>
        <v/>
      </c>
      <c r="M67" s="97" t="str">
        <f t="shared" si="18"/>
        <v/>
      </c>
      <c r="N67" s="149" t="str">
        <f t="shared" si="19"/>
        <v/>
      </c>
      <c r="O67" s="149" t="str">
        <f t="shared" si="20"/>
        <v/>
      </c>
      <c r="P67" s="150" t="str">
        <f t="shared" si="21"/>
        <v/>
      </c>
      <c r="Q67" s="151" t="str">
        <f t="shared" si="22"/>
        <v/>
      </c>
      <c r="R67" s="149" t="str">
        <f t="shared" si="23"/>
        <v/>
      </c>
      <c r="S67" s="149" t="str">
        <f t="shared" si="24"/>
        <v/>
      </c>
      <c r="T67" s="150" t="str">
        <f t="shared" si="25"/>
        <v/>
      </c>
      <c r="U67" s="150" t="str">
        <f t="shared" si="26"/>
        <v/>
      </c>
      <c r="V67" s="152" t="str">
        <f t="shared" si="27"/>
        <v/>
      </c>
      <c r="W67" s="152" t="str">
        <f t="shared" si="28"/>
        <v/>
      </c>
      <c r="X67" s="150" t="str">
        <f t="shared" si="29"/>
        <v/>
      </c>
      <c r="Y67" s="150" t="str">
        <f t="shared" si="30"/>
        <v/>
      </c>
      <c r="Z67" s="153" t="str">
        <f t="shared" si="31"/>
        <v/>
      </c>
      <c r="AA67" s="154" t="str">
        <f t="shared" si="37"/>
        <v/>
      </c>
      <c r="AB67" s="153" t="str">
        <f t="shared" si="32"/>
        <v/>
      </c>
      <c r="AC67" s="436" t="str">
        <f t="shared" si="33"/>
        <v/>
      </c>
      <c r="AD67" s="338" t="str">
        <f t="shared" si="38"/>
        <v/>
      </c>
      <c r="AE67" s="158" t="str">
        <f t="shared" si="34"/>
        <v/>
      </c>
      <c r="AF67" s="158"/>
      <c r="AG67" s="158"/>
    </row>
    <row r="68" spans="1:33" ht="16.8" x14ac:dyDescent="0.25">
      <c r="A68" s="177"/>
      <c r="B68" s="376">
        <v>12</v>
      </c>
      <c r="C68" s="96" t="str">
        <f t="shared" si="35"/>
        <v/>
      </c>
      <c r="D68" s="96" t="str">
        <f t="shared" si="36"/>
        <v/>
      </c>
      <c r="E68" s="96" t="str">
        <f t="shared" si="10"/>
        <v/>
      </c>
      <c r="F68" s="96" t="str">
        <f t="shared" si="11"/>
        <v/>
      </c>
      <c r="G68" s="303" t="str">
        <f t="shared" si="12"/>
        <v/>
      </c>
      <c r="H68" s="303" t="str">
        <f t="shared" si="13"/>
        <v/>
      </c>
      <c r="I68" s="97" t="str">
        <f t="shared" si="14"/>
        <v/>
      </c>
      <c r="J68" s="157" t="str">
        <f t="shared" si="15"/>
        <v/>
      </c>
      <c r="K68" s="96" t="str">
        <f t="shared" si="16"/>
        <v/>
      </c>
      <c r="L68" s="96" t="str">
        <f t="shared" si="17"/>
        <v/>
      </c>
      <c r="M68" s="97" t="str">
        <f t="shared" si="18"/>
        <v/>
      </c>
      <c r="N68" s="149" t="str">
        <f t="shared" si="19"/>
        <v/>
      </c>
      <c r="O68" s="149" t="str">
        <f t="shared" si="20"/>
        <v/>
      </c>
      <c r="P68" s="150" t="str">
        <f t="shared" si="21"/>
        <v/>
      </c>
      <c r="Q68" s="151" t="str">
        <f t="shared" si="22"/>
        <v/>
      </c>
      <c r="R68" s="149" t="str">
        <f t="shared" si="23"/>
        <v/>
      </c>
      <c r="S68" s="149" t="str">
        <f t="shared" si="24"/>
        <v/>
      </c>
      <c r="T68" s="150" t="str">
        <f t="shared" si="25"/>
        <v/>
      </c>
      <c r="U68" s="150" t="str">
        <f t="shared" si="26"/>
        <v/>
      </c>
      <c r="V68" s="152" t="str">
        <f t="shared" si="27"/>
        <v/>
      </c>
      <c r="W68" s="152" t="str">
        <f t="shared" si="28"/>
        <v/>
      </c>
      <c r="X68" s="150" t="str">
        <f t="shared" si="29"/>
        <v/>
      </c>
      <c r="Y68" s="150" t="str">
        <f t="shared" si="30"/>
        <v/>
      </c>
      <c r="Z68" s="153" t="str">
        <f t="shared" si="31"/>
        <v/>
      </c>
      <c r="AA68" s="154" t="str">
        <f t="shared" si="37"/>
        <v/>
      </c>
      <c r="AB68" s="153" t="str">
        <f t="shared" si="32"/>
        <v/>
      </c>
      <c r="AC68" s="436" t="str">
        <f t="shared" si="33"/>
        <v/>
      </c>
      <c r="AD68" s="338" t="str">
        <f t="shared" si="38"/>
        <v/>
      </c>
      <c r="AE68" s="158" t="str">
        <f t="shared" si="34"/>
        <v/>
      </c>
      <c r="AF68" s="158"/>
      <c r="AG68" s="158"/>
    </row>
    <row r="69" spans="1:33" ht="16.8" x14ac:dyDescent="0.25">
      <c r="A69" s="177"/>
      <c r="B69" s="376">
        <v>13</v>
      </c>
      <c r="C69" s="96" t="str">
        <f t="shared" si="35"/>
        <v/>
      </c>
      <c r="D69" s="96" t="str">
        <f t="shared" si="36"/>
        <v/>
      </c>
      <c r="E69" s="96" t="str">
        <f t="shared" si="10"/>
        <v/>
      </c>
      <c r="F69" s="96" t="str">
        <f t="shared" si="11"/>
        <v/>
      </c>
      <c r="G69" s="303" t="str">
        <f t="shared" si="12"/>
        <v/>
      </c>
      <c r="H69" s="303" t="str">
        <f t="shared" si="13"/>
        <v/>
      </c>
      <c r="I69" s="97" t="str">
        <f t="shared" si="14"/>
        <v/>
      </c>
      <c r="J69" s="157" t="str">
        <f t="shared" si="15"/>
        <v/>
      </c>
      <c r="K69" s="96" t="str">
        <f t="shared" si="16"/>
        <v/>
      </c>
      <c r="L69" s="96" t="str">
        <f t="shared" si="17"/>
        <v/>
      </c>
      <c r="M69" s="97" t="str">
        <f t="shared" si="18"/>
        <v/>
      </c>
      <c r="N69" s="149" t="str">
        <f t="shared" si="19"/>
        <v/>
      </c>
      <c r="O69" s="149" t="str">
        <f t="shared" si="20"/>
        <v/>
      </c>
      <c r="P69" s="150" t="str">
        <f t="shared" si="21"/>
        <v/>
      </c>
      <c r="Q69" s="151" t="str">
        <f t="shared" si="22"/>
        <v/>
      </c>
      <c r="R69" s="149" t="str">
        <f t="shared" si="23"/>
        <v/>
      </c>
      <c r="S69" s="149" t="str">
        <f t="shared" si="24"/>
        <v/>
      </c>
      <c r="T69" s="150" t="str">
        <f t="shared" si="25"/>
        <v/>
      </c>
      <c r="U69" s="150" t="str">
        <f t="shared" si="26"/>
        <v/>
      </c>
      <c r="V69" s="152" t="str">
        <f t="shared" si="27"/>
        <v/>
      </c>
      <c r="W69" s="152" t="str">
        <f t="shared" si="28"/>
        <v/>
      </c>
      <c r="X69" s="150" t="str">
        <f t="shared" si="29"/>
        <v/>
      </c>
      <c r="Y69" s="150" t="str">
        <f t="shared" si="30"/>
        <v/>
      </c>
      <c r="Z69" s="153" t="str">
        <f t="shared" si="31"/>
        <v/>
      </c>
      <c r="AA69" s="154" t="str">
        <f t="shared" si="37"/>
        <v/>
      </c>
      <c r="AB69" s="153" t="str">
        <f t="shared" si="32"/>
        <v/>
      </c>
      <c r="AC69" s="436" t="str">
        <f t="shared" si="33"/>
        <v/>
      </c>
      <c r="AD69" s="338" t="str">
        <f t="shared" si="38"/>
        <v/>
      </c>
      <c r="AE69" s="158" t="str">
        <f t="shared" si="34"/>
        <v/>
      </c>
      <c r="AF69" s="158"/>
      <c r="AG69" s="158"/>
    </row>
    <row r="70" spans="1:33" ht="16.8" x14ac:dyDescent="0.25">
      <c r="A70" s="177"/>
      <c r="B70" s="376">
        <v>14</v>
      </c>
      <c r="C70" s="96" t="str">
        <f t="shared" si="35"/>
        <v/>
      </c>
      <c r="D70" s="96" t="str">
        <f t="shared" si="36"/>
        <v/>
      </c>
      <c r="E70" s="96" t="str">
        <f t="shared" si="10"/>
        <v/>
      </c>
      <c r="F70" s="96" t="str">
        <f t="shared" si="11"/>
        <v/>
      </c>
      <c r="G70" s="303" t="str">
        <f t="shared" si="12"/>
        <v/>
      </c>
      <c r="H70" s="303" t="str">
        <f t="shared" si="13"/>
        <v/>
      </c>
      <c r="I70" s="97" t="str">
        <f t="shared" si="14"/>
        <v/>
      </c>
      <c r="J70" s="157" t="str">
        <f t="shared" si="15"/>
        <v/>
      </c>
      <c r="K70" s="96" t="str">
        <f t="shared" si="16"/>
        <v/>
      </c>
      <c r="L70" s="96" t="str">
        <f t="shared" si="17"/>
        <v/>
      </c>
      <c r="M70" s="97" t="str">
        <f t="shared" si="18"/>
        <v/>
      </c>
      <c r="N70" s="149" t="str">
        <f t="shared" si="19"/>
        <v/>
      </c>
      <c r="O70" s="149" t="str">
        <f t="shared" si="20"/>
        <v/>
      </c>
      <c r="P70" s="150" t="str">
        <f t="shared" si="21"/>
        <v/>
      </c>
      <c r="Q70" s="151" t="str">
        <f t="shared" si="22"/>
        <v/>
      </c>
      <c r="R70" s="149" t="str">
        <f t="shared" si="23"/>
        <v/>
      </c>
      <c r="S70" s="149" t="str">
        <f t="shared" si="24"/>
        <v/>
      </c>
      <c r="T70" s="150" t="str">
        <f t="shared" si="25"/>
        <v/>
      </c>
      <c r="U70" s="150" t="str">
        <f t="shared" si="26"/>
        <v/>
      </c>
      <c r="V70" s="152" t="str">
        <f t="shared" si="27"/>
        <v/>
      </c>
      <c r="W70" s="152" t="str">
        <f t="shared" si="28"/>
        <v/>
      </c>
      <c r="X70" s="150" t="str">
        <f t="shared" si="29"/>
        <v/>
      </c>
      <c r="Y70" s="150" t="str">
        <f t="shared" si="30"/>
        <v/>
      </c>
      <c r="Z70" s="153" t="str">
        <f t="shared" si="31"/>
        <v/>
      </c>
      <c r="AA70" s="154" t="str">
        <f t="shared" si="37"/>
        <v/>
      </c>
      <c r="AB70" s="153" t="str">
        <f t="shared" si="32"/>
        <v/>
      </c>
      <c r="AC70" s="436" t="str">
        <f t="shared" si="33"/>
        <v/>
      </c>
      <c r="AD70" s="338" t="str">
        <f t="shared" si="38"/>
        <v/>
      </c>
      <c r="AE70" s="158" t="str">
        <f t="shared" si="34"/>
        <v/>
      </c>
      <c r="AF70" s="158"/>
      <c r="AG70" s="158"/>
    </row>
    <row r="71" spans="1:33" ht="16.8" x14ac:dyDescent="0.25">
      <c r="A71" s="177"/>
      <c r="B71" s="376">
        <v>15</v>
      </c>
      <c r="C71" s="96" t="str">
        <f t="shared" si="35"/>
        <v/>
      </c>
      <c r="D71" s="96" t="str">
        <f t="shared" si="36"/>
        <v/>
      </c>
      <c r="E71" s="96" t="str">
        <f t="shared" si="10"/>
        <v/>
      </c>
      <c r="F71" s="96" t="str">
        <f t="shared" si="11"/>
        <v/>
      </c>
      <c r="G71" s="303" t="str">
        <f t="shared" si="12"/>
        <v/>
      </c>
      <c r="H71" s="303" t="str">
        <f t="shared" si="13"/>
        <v/>
      </c>
      <c r="I71" s="97" t="str">
        <f t="shared" si="14"/>
        <v/>
      </c>
      <c r="J71" s="157" t="str">
        <f t="shared" si="15"/>
        <v/>
      </c>
      <c r="K71" s="96" t="str">
        <f t="shared" si="16"/>
        <v/>
      </c>
      <c r="L71" s="96" t="str">
        <f t="shared" si="17"/>
        <v/>
      </c>
      <c r="M71" s="97" t="str">
        <f t="shared" si="18"/>
        <v/>
      </c>
      <c r="N71" s="149" t="str">
        <f t="shared" si="19"/>
        <v/>
      </c>
      <c r="O71" s="149" t="str">
        <f t="shared" si="20"/>
        <v/>
      </c>
      <c r="P71" s="150" t="str">
        <f t="shared" si="21"/>
        <v/>
      </c>
      <c r="Q71" s="151" t="str">
        <f t="shared" si="22"/>
        <v/>
      </c>
      <c r="R71" s="149" t="str">
        <f t="shared" si="23"/>
        <v/>
      </c>
      <c r="S71" s="149" t="str">
        <f t="shared" si="24"/>
        <v/>
      </c>
      <c r="T71" s="150" t="str">
        <f t="shared" si="25"/>
        <v/>
      </c>
      <c r="U71" s="150" t="str">
        <f t="shared" si="26"/>
        <v/>
      </c>
      <c r="V71" s="152" t="str">
        <f t="shared" si="27"/>
        <v/>
      </c>
      <c r="W71" s="152" t="str">
        <f t="shared" si="28"/>
        <v/>
      </c>
      <c r="X71" s="150" t="str">
        <f t="shared" si="29"/>
        <v/>
      </c>
      <c r="Y71" s="150" t="str">
        <f t="shared" si="30"/>
        <v/>
      </c>
      <c r="Z71" s="153" t="str">
        <f t="shared" si="31"/>
        <v/>
      </c>
      <c r="AA71" s="154" t="str">
        <f t="shared" si="37"/>
        <v/>
      </c>
      <c r="AB71" s="153" t="str">
        <f t="shared" si="32"/>
        <v/>
      </c>
      <c r="AC71" s="436" t="str">
        <f t="shared" si="33"/>
        <v/>
      </c>
      <c r="AD71" s="338" t="str">
        <f t="shared" si="38"/>
        <v/>
      </c>
      <c r="AE71" s="158" t="str">
        <f t="shared" si="34"/>
        <v/>
      </c>
      <c r="AF71" s="158"/>
      <c r="AG71" s="158"/>
    </row>
    <row r="72" spans="1:33" ht="16.8" x14ac:dyDescent="0.25">
      <c r="A72" s="177"/>
      <c r="B72" s="376">
        <v>16</v>
      </c>
      <c r="C72" s="96" t="str">
        <f t="shared" si="35"/>
        <v/>
      </c>
      <c r="D72" s="96" t="str">
        <f t="shared" si="36"/>
        <v/>
      </c>
      <c r="E72" s="96" t="str">
        <f t="shared" si="10"/>
        <v/>
      </c>
      <c r="F72" s="96" t="str">
        <f t="shared" si="11"/>
        <v/>
      </c>
      <c r="G72" s="303" t="str">
        <f t="shared" si="12"/>
        <v/>
      </c>
      <c r="H72" s="303" t="str">
        <f t="shared" si="13"/>
        <v/>
      </c>
      <c r="I72" s="97" t="str">
        <f t="shared" si="14"/>
        <v/>
      </c>
      <c r="J72" s="157" t="str">
        <f t="shared" si="15"/>
        <v/>
      </c>
      <c r="K72" s="96" t="str">
        <f t="shared" si="16"/>
        <v/>
      </c>
      <c r="L72" s="96" t="str">
        <f t="shared" si="17"/>
        <v/>
      </c>
      <c r="M72" s="97" t="str">
        <f t="shared" si="18"/>
        <v/>
      </c>
      <c r="N72" s="149" t="str">
        <f t="shared" si="19"/>
        <v/>
      </c>
      <c r="O72" s="149" t="str">
        <f t="shared" si="20"/>
        <v/>
      </c>
      <c r="P72" s="150" t="str">
        <f t="shared" si="21"/>
        <v/>
      </c>
      <c r="Q72" s="151" t="str">
        <f t="shared" si="22"/>
        <v/>
      </c>
      <c r="R72" s="149" t="str">
        <f t="shared" si="23"/>
        <v/>
      </c>
      <c r="S72" s="149" t="str">
        <f t="shared" si="24"/>
        <v/>
      </c>
      <c r="T72" s="150" t="str">
        <f t="shared" si="25"/>
        <v/>
      </c>
      <c r="U72" s="150" t="str">
        <f t="shared" si="26"/>
        <v/>
      </c>
      <c r="V72" s="152" t="str">
        <f t="shared" si="27"/>
        <v/>
      </c>
      <c r="W72" s="152" t="str">
        <f t="shared" si="28"/>
        <v/>
      </c>
      <c r="X72" s="150" t="str">
        <f t="shared" si="29"/>
        <v/>
      </c>
      <c r="Y72" s="150" t="str">
        <f t="shared" si="30"/>
        <v/>
      </c>
      <c r="Z72" s="153" t="str">
        <f t="shared" si="31"/>
        <v/>
      </c>
      <c r="AA72" s="154" t="str">
        <f t="shared" si="37"/>
        <v/>
      </c>
      <c r="AB72" s="153" t="str">
        <f t="shared" si="32"/>
        <v/>
      </c>
      <c r="AC72" s="436" t="str">
        <f t="shared" si="33"/>
        <v/>
      </c>
      <c r="AD72" s="338" t="str">
        <f t="shared" si="38"/>
        <v/>
      </c>
      <c r="AE72" s="158" t="str">
        <f t="shared" si="34"/>
        <v/>
      </c>
      <c r="AF72" s="158"/>
      <c r="AG72" s="158"/>
    </row>
    <row r="73" spans="1:33" ht="16.8" x14ac:dyDescent="0.25">
      <c r="A73" s="177"/>
      <c r="B73" s="376">
        <v>17</v>
      </c>
      <c r="C73" s="96" t="str">
        <f t="shared" si="35"/>
        <v/>
      </c>
      <c r="D73" s="96" t="str">
        <f t="shared" si="36"/>
        <v/>
      </c>
      <c r="E73" s="96" t="str">
        <f t="shared" si="10"/>
        <v/>
      </c>
      <c r="F73" s="96" t="str">
        <f t="shared" si="11"/>
        <v/>
      </c>
      <c r="G73" s="303" t="str">
        <f t="shared" si="12"/>
        <v/>
      </c>
      <c r="H73" s="303" t="str">
        <f t="shared" si="13"/>
        <v/>
      </c>
      <c r="I73" s="97" t="str">
        <f t="shared" si="14"/>
        <v/>
      </c>
      <c r="J73" s="157" t="str">
        <f t="shared" si="15"/>
        <v/>
      </c>
      <c r="K73" s="96" t="str">
        <f t="shared" si="16"/>
        <v/>
      </c>
      <c r="L73" s="96" t="str">
        <f t="shared" si="17"/>
        <v/>
      </c>
      <c r="M73" s="97" t="str">
        <f t="shared" si="18"/>
        <v/>
      </c>
      <c r="N73" s="149" t="str">
        <f t="shared" si="19"/>
        <v/>
      </c>
      <c r="O73" s="149" t="str">
        <f t="shared" si="20"/>
        <v/>
      </c>
      <c r="P73" s="150" t="str">
        <f t="shared" si="21"/>
        <v/>
      </c>
      <c r="Q73" s="151" t="str">
        <f t="shared" si="22"/>
        <v/>
      </c>
      <c r="R73" s="149" t="str">
        <f t="shared" si="23"/>
        <v/>
      </c>
      <c r="S73" s="149" t="str">
        <f t="shared" si="24"/>
        <v/>
      </c>
      <c r="T73" s="150" t="str">
        <f t="shared" si="25"/>
        <v/>
      </c>
      <c r="U73" s="150" t="str">
        <f t="shared" si="26"/>
        <v/>
      </c>
      <c r="V73" s="152" t="str">
        <f t="shared" si="27"/>
        <v/>
      </c>
      <c r="W73" s="152" t="str">
        <f t="shared" si="28"/>
        <v/>
      </c>
      <c r="X73" s="150" t="str">
        <f t="shared" si="29"/>
        <v/>
      </c>
      <c r="Y73" s="150" t="str">
        <f t="shared" si="30"/>
        <v/>
      </c>
      <c r="Z73" s="153" t="str">
        <f t="shared" si="31"/>
        <v/>
      </c>
      <c r="AA73" s="154" t="str">
        <f t="shared" si="37"/>
        <v/>
      </c>
      <c r="AB73" s="153" t="str">
        <f t="shared" si="32"/>
        <v/>
      </c>
      <c r="AC73" s="436" t="str">
        <f t="shared" si="33"/>
        <v/>
      </c>
      <c r="AD73" s="338" t="str">
        <f t="shared" si="38"/>
        <v/>
      </c>
      <c r="AE73" s="158" t="str">
        <f t="shared" si="34"/>
        <v/>
      </c>
      <c r="AF73" s="158"/>
      <c r="AG73" s="158"/>
    </row>
    <row r="74" spans="1:33" ht="16.8" x14ac:dyDescent="0.25">
      <c r="A74" s="177"/>
      <c r="B74" s="376">
        <v>18</v>
      </c>
      <c r="C74" s="96" t="str">
        <f t="shared" si="35"/>
        <v/>
      </c>
      <c r="D74" s="96" t="str">
        <f t="shared" si="36"/>
        <v/>
      </c>
      <c r="E74" s="96" t="str">
        <f t="shared" si="10"/>
        <v/>
      </c>
      <c r="F74" s="96" t="str">
        <f t="shared" si="11"/>
        <v/>
      </c>
      <c r="G74" s="303" t="str">
        <f t="shared" si="12"/>
        <v/>
      </c>
      <c r="H74" s="303" t="str">
        <f t="shared" si="13"/>
        <v/>
      </c>
      <c r="I74" s="97" t="str">
        <f t="shared" si="14"/>
        <v/>
      </c>
      <c r="J74" s="157" t="str">
        <f t="shared" si="15"/>
        <v/>
      </c>
      <c r="K74" s="96" t="str">
        <f t="shared" si="16"/>
        <v/>
      </c>
      <c r="L74" s="96" t="str">
        <f t="shared" si="17"/>
        <v/>
      </c>
      <c r="M74" s="97" t="str">
        <f t="shared" si="18"/>
        <v/>
      </c>
      <c r="N74" s="149" t="str">
        <f t="shared" si="19"/>
        <v/>
      </c>
      <c r="O74" s="149" t="str">
        <f t="shared" si="20"/>
        <v/>
      </c>
      <c r="P74" s="150" t="str">
        <f t="shared" si="21"/>
        <v/>
      </c>
      <c r="Q74" s="151" t="str">
        <f t="shared" si="22"/>
        <v/>
      </c>
      <c r="R74" s="149" t="str">
        <f t="shared" si="23"/>
        <v/>
      </c>
      <c r="S74" s="149" t="str">
        <f t="shared" si="24"/>
        <v/>
      </c>
      <c r="T74" s="150" t="str">
        <f t="shared" si="25"/>
        <v/>
      </c>
      <c r="U74" s="150" t="str">
        <f t="shared" si="26"/>
        <v/>
      </c>
      <c r="V74" s="152" t="str">
        <f t="shared" si="27"/>
        <v/>
      </c>
      <c r="W74" s="152" t="str">
        <f t="shared" si="28"/>
        <v/>
      </c>
      <c r="X74" s="150" t="str">
        <f t="shared" si="29"/>
        <v/>
      </c>
      <c r="Y74" s="150" t="str">
        <f t="shared" si="30"/>
        <v/>
      </c>
      <c r="Z74" s="153" t="str">
        <f t="shared" si="31"/>
        <v/>
      </c>
      <c r="AA74" s="154" t="str">
        <f t="shared" si="37"/>
        <v/>
      </c>
      <c r="AB74" s="153" t="str">
        <f t="shared" si="32"/>
        <v/>
      </c>
      <c r="AC74" s="436" t="str">
        <f t="shared" si="33"/>
        <v/>
      </c>
      <c r="AD74" s="338" t="str">
        <f t="shared" si="38"/>
        <v/>
      </c>
      <c r="AE74" s="158" t="str">
        <f t="shared" si="34"/>
        <v/>
      </c>
      <c r="AF74" s="158"/>
      <c r="AG74" s="158"/>
    </row>
    <row r="75" spans="1:33" ht="16.8" x14ac:dyDescent="0.25">
      <c r="A75" s="177"/>
      <c r="B75" s="376">
        <v>19</v>
      </c>
      <c r="C75" s="96" t="str">
        <f t="shared" si="35"/>
        <v/>
      </c>
      <c r="D75" s="96" t="str">
        <f t="shared" si="36"/>
        <v/>
      </c>
      <c r="E75" s="96" t="str">
        <f t="shared" si="10"/>
        <v/>
      </c>
      <c r="F75" s="96" t="str">
        <f t="shared" si="11"/>
        <v/>
      </c>
      <c r="G75" s="303" t="str">
        <f t="shared" si="12"/>
        <v/>
      </c>
      <c r="H75" s="303" t="str">
        <f t="shared" si="13"/>
        <v/>
      </c>
      <c r="I75" s="97" t="str">
        <f t="shared" si="14"/>
        <v/>
      </c>
      <c r="J75" s="157" t="str">
        <f t="shared" si="15"/>
        <v/>
      </c>
      <c r="K75" s="96" t="str">
        <f t="shared" si="16"/>
        <v/>
      </c>
      <c r="L75" s="96" t="str">
        <f t="shared" si="17"/>
        <v/>
      </c>
      <c r="M75" s="97" t="str">
        <f t="shared" si="18"/>
        <v/>
      </c>
      <c r="N75" s="149" t="str">
        <f t="shared" si="19"/>
        <v/>
      </c>
      <c r="O75" s="149" t="str">
        <f t="shared" si="20"/>
        <v/>
      </c>
      <c r="P75" s="150" t="str">
        <f t="shared" si="21"/>
        <v/>
      </c>
      <c r="Q75" s="151" t="str">
        <f t="shared" si="22"/>
        <v/>
      </c>
      <c r="R75" s="149" t="str">
        <f t="shared" si="23"/>
        <v/>
      </c>
      <c r="S75" s="149" t="str">
        <f t="shared" si="24"/>
        <v/>
      </c>
      <c r="T75" s="150" t="str">
        <f t="shared" si="25"/>
        <v/>
      </c>
      <c r="U75" s="150" t="str">
        <f t="shared" si="26"/>
        <v/>
      </c>
      <c r="V75" s="152" t="str">
        <f t="shared" si="27"/>
        <v/>
      </c>
      <c r="W75" s="152" t="str">
        <f t="shared" si="28"/>
        <v/>
      </c>
      <c r="X75" s="150" t="str">
        <f t="shared" si="29"/>
        <v/>
      </c>
      <c r="Y75" s="150" t="str">
        <f t="shared" si="30"/>
        <v/>
      </c>
      <c r="Z75" s="153" t="str">
        <f t="shared" si="31"/>
        <v/>
      </c>
      <c r="AA75" s="154" t="str">
        <f t="shared" si="37"/>
        <v/>
      </c>
      <c r="AB75" s="153" t="str">
        <f t="shared" si="32"/>
        <v/>
      </c>
      <c r="AC75" s="436" t="str">
        <f t="shared" si="33"/>
        <v/>
      </c>
      <c r="AD75" s="338" t="str">
        <f t="shared" si="38"/>
        <v/>
      </c>
      <c r="AE75" s="158" t="str">
        <f t="shared" si="34"/>
        <v/>
      </c>
      <c r="AF75" s="158"/>
      <c r="AG75" s="158"/>
    </row>
    <row r="76" spans="1:33" ht="16.8" x14ac:dyDescent="0.25">
      <c r="A76" s="177"/>
      <c r="B76" s="376">
        <v>20</v>
      </c>
      <c r="C76" s="96" t="str">
        <f t="shared" si="35"/>
        <v/>
      </c>
      <c r="D76" s="96" t="str">
        <f t="shared" si="36"/>
        <v/>
      </c>
      <c r="E76" s="96" t="str">
        <f t="shared" si="10"/>
        <v/>
      </c>
      <c r="F76" s="96" t="str">
        <f t="shared" si="11"/>
        <v/>
      </c>
      <c r="G76" s="303" t="str">
        <f t="shared" si="12"/>
        <v/>
      </c>
      <c r="H76" s="303" t="str">
        <f t="shared" si="13"/>
        <v/>
      </c>
      <c r="I76" s="97" t="str">
        <f t="shared" si="14"/>
        <v/>
      </c>
      <c r="J76" s="157" t="str">
        <f t="shared" si="15"/>
        <v/>
      </c>
      <c r="K76" s="96" t="str">
        <f t="shared" si="16"/>
        <v/>
      </c>
      <c r="L76" s="96" t="str">
        <f t="shared" si="17"/>
        <v/>
      </c>
      <c r="M76" s="97" t="str">
        <f t="shared" si="18"/>
        <v/>
      </c>
      <c r="N76" s="149" t="str">
        <f t="shared" si="19"/>
        <v/>
      </c>
      <c r="O76" s="149" t="str">
        <f t="shared" si="20"/>
        <v/>
      </c>
      <c r="P76" s="150" t="str">
        <f t="shared" si="21"/>
        <v/>
      </c>
      <c r="Q76" s="151" t="str">
        <f t="shared" si="22"/>
        <v/>
      </c>
      <c r="R76" s="149" t="str">
        <f t="shared" si="23"/>
        <v/>
      </c>
      <c r="S76" s="149" t="str">
        <f t="shared" si="24"/>
        <v/>
      </c>
      <c r="T76" s="150" t="str">
        <f t="shared" si="25"/>
        <v/>
      </c>
      <c r="U76" s="150" t="str">
        <f t="shared" si="26"/>
        <v/>
      </c>
      <c r="V76" s="152" t="str">
        <f t="shared" si="27"/>
        <v/>
      </c>
      <c r="W76" s="152" t="str">
        <f t="shared" si="28"/>
        <v/>
      </c>
      <c r="X76" s="150" t="str">
        <f t="shared" si="29"/>
        <v/>
      </c>
      <c r="Y76" s="150" t="str">
        <f t="shared" si="30"/>
        <v/>
      </c>
      <c r="Z76" s="153" t="str">
        <f t="shared" si="31"/>
        <v/>
      </c>
      <c r="AA76" s="154" t="str">
        <f t="shared" si="37"/>
        <v/>
      </c>
      <c r="AB76" s="153" t="str">
        <f t="shared" si="32"/>
        <v/>
      </c>
      <c r="AC76" s="436" t="str">
        <f t="shared" si="33"/>
        <v/>
      </c>
      <c r="AD76" s="338" t="str">
        <f t="shared" si="38"/>
        <v/>
      </c>
      <c r="AE76" s="158" t="str">
        <f t="shared" si="34"/>
        <v/>
      </c>
      <c r="AF76" s="158"/>
      <c r="AG76" s="158"/>
    </row>
    <row r="77" spans="1:33" ht="16.8" x14ac:dyDescent="0.25">
      <c r="A77" s="177"/>
      <c r="B77" s="376">
        <v>21</v>
      </c>
      <c r="C77" s="96" t="str">
        <f t="shared" si="35"/>
        <v/>
      </c>
      <c r="D77" s="96" t="str">
        <f t="shared" si="36"/>
        <v/>
      </c>
      <c r="E77" s="96" t="str">
        <f t="shared" si="10"/>
        <v/>
      </c>
      <c r="F77" s="96" t="str">
        <f t="shared" si="11"/>
        <v/>
      </c>
      <c r="G77" s="303" t="str">
        <f t="shared" si="12"/>
        <v/>
      </c>
      <c r="H77" s="303" t="str">
        <f t="shared" si="13"/>
        <v/>
      </c>
      <c r="I77" s="97" t="str">
        <f t="shared" si="14"/>
        <v/>
      </c>
      <c r="J77" s="157" t="str">
        <f t="shared" si="15"/>
        <v/>
      </c>
      <c r="K77" s="96" t="str">
        <f t="shared" si="16"/>
        <v/>
      </c>
      <c r="L77" s="96" t="str">
        <f t="shared" si="17"/>
        <v/>
      </c>
      <c r="M77" s="97" t="str">
        <f t="shared" si="18"/>
        <v/>
      </c>
      <c r="N77" s="149" t="str">
        <f t="shared" si="19"/>
        <v/>
      </c>
      <c r="O77" s="149" t="str">
        <f t="shared" si="20"/>
        <v/>
      </c>
      <c r="P77" s="150" t="str">
        <f t="shared" si="21"/>
        <v/>
      </c>
      <c r="Q77" s="151" t="str">
        <f t="shared" si="22"/>
        <v/>
      </c>
      <c r="R77" s="149" t="str">
        <f t="shared" si="23"/>
        <v/>
      </c>
      <c r="S77" s="149" t="str">
        <f t="shared" si="24"/>
        <v/>
      </c>
      <c r="T77" s="150" t="str">
        <f t="shared" si="25"/>
        <v/>
      </c>
      <c r="U77" s="150" t="str">
        <f t="shared" si="26"/>
        <v/>
      </c>
      <c r="V77" s="152" t="str">
        <f t="shared" si="27"/>
        <v/>
      </c>
      <c r="W77" s="152" t="str">
        <f t="shared" si="28"/>
        <v/>
      </c>
      <c r="X77" s="150" t="str">
        <f t="shared" si="29"/>
        <v/>
      </c>
      <c r="Y77" s="150" t="str">
        <f t="shared" si="30"/>
        <v/>
      </c>
      <c r="Z77" s="153" t="str">
        <f t="shared" si="31"/>
        <v/>
      </c>
      <c r="AA77" s="154" t="str">
        <f t="shared" si="37"/>
        <v/>
      </c>
      <c r="AB77" s="153" t="str">
        <f t="shared" si="32"/>
        <v/>
      </c>
      <c r="AC77" s="436" t="str">
        <f t="shared" si="33"/>
        <v/>
      </c>
      <c r="AD77" s="338" t="str">
        <f t="shared" si="38"/>
        <v/>
      </c>
      <c r="AE77" s="158" t="str">
        <f t="shared" si="34"/>
        <v/>
      </c>
      <c r="AF77" s="158"/>
      <c r="AG77" s="158"/>
    </row>
    <row r="78" spans="1:33" ht="16.8" x14ac:dyDescent="0.25">
      <c r="A78" s="177"/>
      <c r="B78" s="376">
        <v>22</v>
      </c>
      <c r="C78" s="96" t="str">
        <f t="shared" si="35"/>
        <v/>
      </c>
      <c r="D78" s="96" t="str">
        <f t="shared" si="36"/>
        <v/>
      </c>
      <c r="E78" s="96" t="str">
        <f t="shared" si="10"/>
        <v/>
      </c>
      <c r="F78" s="96" t="str">
        <f t="shared" si="11"/>
        <v/>
      </c>
      <c r="G78" s="303" t="str">
        <f t="shared" si="12"/>
        <v/>
      </c>
      <c r="H78" s="303" t="str">
        <f t="shared" si="13"/>
        <v/>
      </c>
      <c r="I78" s="97" t="str">
        <f t="shared" si="14"/>
        <v/>
      </c>
      <c r="J78" s="157" t="str">
        <f t="shared" si="15"/>
        <v/>
      </c>
      <c r="K78" s="96" t="str">
        <f t="shared" si="16"/>
        <v/>
      </c>
      <c r="L78" s="96" t="str">
        <f t="shared" si="17"/>
        <v/>
      </c>
      <c r="M78" s="97" t="str">
        <f t="shared" si="18"/>
        <v/>
      </c>
      <c r="N78" s="149" t="str">
        <f t="shared" si="19"/>
        <v/>
      </c>
      <c r="O78" s="149" t="str">
        <f t="shared" si="20"/>
        <v/>
      </c>
      <c r="P78" s="150" t="str">
        <f t="shared" si="21"/>
        <v/>
      </c>
      <c r="Q78" s="151" t="str">
        <f t="shared" si="22"/>
        <v/>
      </c>
      <c r="R78" s="149" t="str">
        <f t="shared" si="23"/>
        <v/>
      </c>
      <c r="S78" s="149" t="str">
        <f t="shared" si="24"/>
        <v/>
      </c>
      <c r="T78" s="150" t="str">
        <f t="shared" si="25"/>
        <v/>
      </c>
      <c r="U78" s="150" t="str">
        <f t="shared" si="26"/>
        <v/>
      </c>
      <c r="V78" s="152" t="str">
        <f t="shared" si="27"/>
        <v/>
      </c>
      <c r="W78" s="152" t="str">
        <f t="shared" si="28"/>
        <v/>
      </c>
      <c r="X78" s="150" t="str">
        <f t="shared" si="29"/>
        <v/>
      </c>
      <c r="Y78" s="150" t="str">
        <f t="shared" si="30"/>
        <v/>
      </c>
      <c r="Z78" s="153" t="str">
        <f t="shared" si="31"/>
        <v/>
      </c>
      <c r="AA78" s="154" t="str">
        <f t="shared" si="37"/>
        <v/>
      </c>
      <c r="AB78" s="153" t="str">
        <f t="shared" si="32"/>
        <v/>
      </c>
      <c r="AC78" s="436" t="str">
        <f t="shared" si="33"/>
        <v/>
      </c>
      <c r="AD78" s="338" t="str">
        <f t="shared" si="38"/>
        <v/>
      </c>
      <c r="AE78" s="158" t="str">
        <f t="shared" si="34"/>
        <v/>
      </c>
      <c r="AF78" s="158"/>
      <c r="AG78" s="158"/>
    </row>
    <row r="79" spans="1:33" ht="16.8" x14ac:dyDescent="0.25">
      <c r="A79" s="177"/>
      <c r="B79" s="376">
        <v>23</v>
      </c>
      <c r="C79" s="96" t="str">
        <f t="shared" si="35"/>
        <v/>
      </c>
      <c r="D79" s="96" t="str">
        <f t="shared" si="36"/>
        <v/>
      </c>
      <c r="E79" s="96" t="str">
        <f t="shared" si="10"/>
        <v/>
      </c>
      <c r="F79" s="96" t="str">
        <f t="shared" si="11"/>
        <v/>
      </c>
      <c r="G79" s="303" t="str">
        <f t="shared" si="12"/>
        <v/>
      </c>
      <c r="H79" s="303" t="str">
        <f t="shared" si="13"/>
        <v/>
      </c>
      <c r="I79" s="97" t="str">
        <f t="shared" si="14"/>
        <v/>
      </c>
      <c r="J79" s="157" t="str">
        <f t="shared" si="15"/>
        <v/>
      </c>
      <c r="K79" s="96" t="str">
        <f t="shared" si="16"/>
        <v/>
      </c>
      <c r="L79" s="96" t="str">
        <f t="shared" si="17"/>
        <v/>
      </c>
      <c r="M79" s="97" t="str">
        <f t="shared" si="18"/>
        <v/>
      </c>
      <c r="N79" s="149" t="str">
        <f t="shared" si="19"/>
        <v/>
      </c>
      <c r="O79" s="149" t="str">
        <f t="shared" si="20"/>
        <v/>
      </c>
      <c r="P79" s="150" t="str">
        <f t="shared" si="21"/>
        <v/>
      </c>
      <c r="Q79" s="151" t="str">
        <f t="shared" si="22"/>
        <v/>
      </c>
      <c r="R79" s="149" t="str">
        <f t="shared" si="23"/>
        <v/>
      </c>
      <c r="S79" s="149" t="str">
        <f t="shared" si="24"/>
        <v/>
      </c>
      <c r="T79" s="150" t="str">
        <f t="shared" si="25"/>
        <v/>
      </c>
      <c r="U79" s="150" t="str">
        <f t="shared" si="26"/>
        <v/>
      </c>
      <c r="V79" s="152" t="str">
        <f t="shared" si="27"/>
        <v/>
      </c>
      <c r="W79" s="152" t="str">
        <f t="shared" si="28"/>
        <v/>
      </c>
      <c r="X79" s="150" t="str">
        <f t="shared" si="29"/>
        <v/>
      </c>
      <c r="Y79" s="150" t="str">
        <f t="shared" si="30"/>
        <v/>
      </c>
      <c r="Z79" s="153" t="str">
        <f t="shared" si="31"/>
        <v/>
      </c>
      <c r="AA79" s="154" t="str">
        <f t="shared" si="37"/>
        <v/>
      </c>
      <c r="AB79" s="153" t="str">
        <f t="shared" si="32"/>
        <v/>
      </c>
      <c r="AC79" s="436" t="str">
        <f t="shared" si="33"/>
        <v/>
      </c>
      <c r="AD79" s="338" t="str">
        <f t="shared" si="38"/>
        <v/>
      </c>
      <c r="AE79" s="158" t="str">
        <f t="shared" si="34"/>
        <v/>
      </c>
      <c r="AF79" s="158"/>
      <c r="AG79" s="158"/>
    </row>
    <row r="80" spans="1:33" ht="16.8" x14ac:dyDescent="0.25">
      <c r="A80" s="177"/>
      <c r="B80" s="376">
        <v>24</v>
      </c>
      <c r="C80" s="96" t="str">
        <f t="shared" si="35"/>
        <v/>
      </c>
      <c r="D80" s="96" t="str">
        <f t="shared" si="36"/>
        <v/>
      </c>
      <c r="E80" s="96" t="str">
        <f t="shared" si="10"/>
        <v/>
      </c>
      <c r="F80" s="96" t="str">
        <f t="shared" si="11"/>
        <v/>
      </c>
      <c r="G80" s="303" t="str">
        <f t="shared" si="12"/>
        <v/>
      </c>
      <c r="H80" s="303" t="str">
        <f t="shared" si="13"/>
        <v/>
      </c>
      <c r="I80" s="97" t="str">
        <f t="shared" si="14"/>
        <v/>
      </c>
      <c r="J80" s="157" t="str">
        <f t="shared" si="15"/>
        <v/>
      </c>
      <c r="K80" s="96" t="str">
        <f t="shared" si="16"/>
        <v/>
      </c>
      <c r="L80" s="96" t="str">
        <f t="shared" si="17"/>
        <v/>
      </c>
      <c r="M80" s="97" t="str">
        <f t="shared" si="18"/>
        <v/>
      </c>
      <c r="N80" s="149" t="str">
        <f t="shared" si="19"/>
        <v/>
      </c>
      <c r="O80" s="149" t="str">
        <f t="shared" si="20"/>
        <v/>
      </c>
      <c r="P80" s="150" t="str">
        <f t="shared" si="21"/>
        <v/>
      </c>
      <c r="Q80" s="151" t="str">
        <f t="shared" si="22"/>
        <v/>
      </c>
      <c r="R80" s="149" t="str">
        <f t="shared" si="23"/>
        <v/>
      </c>
      <c r="S80" s="149" t="str">
        <f t="shared" si="24"/>
        <v/>
      </c>
      <c r="T80" s="150" t="str">
        <f t="shared" si="25"/>
        <v/>
      </c>
      <c r="U80" s="150" t="str">
        <f t="shared" si="26"/>
        <v/>
      </c>
      <c r="V80" s="152" t="str">
        <f t="shared" si="27"/>
        <v/>
      </c>
      <c r="W80" s="152" t="str">
        <f t="shared" si="28"/>
        <v/>
      </c>
      <c r="X80" s="150" t="str">
        <f t="shared" si="29"/>
        <v/>
      </c>
      <c r="Y80" s="150" t="str">
        <f t="shared" si="30"/>
        <v/>
      </c>
      <c r="Z80" s="153" t="str">
        <f t="shared" si="31"/>
        <v/>
      </c>
      <c r="AA80" s="154" t="str">
        <f t="shared" si="37"/>
        <v/>
      </c>
      <c r="AB80" s="153" t="str">
        <f t="shared" si="32"/>
        <v/>
      </c>
      <c r="AC80" s="436" t="str">
        <f t="shared" si="33"/>
        <v/>
      </c>
      <c r="AD80" s="338" t="str">
        <f t="shared" si="38"/>
        <v/>
      </c>
      <c r="AE80" s="158" t="str">
        <f t="shared" si="34"/>
        <v/>
      </c>
      <c r="AF80" s="158"/>
      <c r="AG80" s="158"/>
    </row>
    <row r="81" spans="1:33" ht="16.8" x14ac:dyDescent="0.25">
      <c r="A81" s="177"/>
      <c r="B81" s="376">
        <v>25</v>
      </c>
      <c r="C81" s="96" t="str">
        <f t="shared" si="35"/>
        <v/>
      </c>
      <c r="D81" s="96" t="str">
        <f t="shared" si="36"/>
        <v/>
      </c>
      <c r="E81" s="96" t="str">
        <f t="shared" si="10"/>
        <v/>
      </c>
      <c r="F81" s="96" t="str">
        <f t="shared" si="11"/>
        <v/>
      </c>
      <c r="G81" s="303" t="str">
        <f t="shared" si="12"/>
        <v/>
      </c>
      <c r="H81" s="303" t="str">
        <f t="shared" si="13"/>
        <v/>
      </c>
      <c r="I81" s="97" t="str">
        <f t="shared" si="14"/>
        <v/>
      </c>
      <c r="J81" s="157" t="str">
        <f t="shared" si="15"/>
        <v/>
      </c>
      <c r="K81" s="96" t="str">
        <f t="shared" si="16"/>
        <v/>
      </c>
      <c r="L81" s="96" t="str">
        <f t="shared" si="17"/>
        <v/>
      </c>
      <c r="M81" s="97" t="str">
        <f t="shared" si="18"/>
        <v/>
      </c>
      <c r="N81" s="149" t="str">
        <f t="shared" si="19"/>
        <v/>
      </c>
      <c r="O81" s="149" t="str">
        <f t="shared" si="20"/>
        <v/>
      </c>
      <c r="P81" s="150" t="str">
        <f t="shared" si="21"/>
        <v/>
      </c>
      <c r="Q81" s="151" t="str">
        <f t="shared" si="22"/>
        <v/>
      </c>
      <c r="R81" s="149" t="str">
        <f t="shared" si="23"/>
        <v/>
      </c>
      <c r="S81" s="149" t="str">
        <f t="shared" si="24"/>
        <v/>
      </c>
      <c r="T81" s="150" t="str">
        <f t="shared" si="25"/>
        <v/>
      </c>
      <c r="U81" s="150" t="str">
        <f t="shared" si="26"/>
        <v/>
      </c>
      <c r="V81" s="152" t="str">
        <f t="shared" si="27"/>
        <v/>
      </c>
      <c r="W81" s="152" t="str">
        <f t="shared" si="28"/>
        <v/>
      </c>
      <c r="X81" s="150" t="str">
        <f t="shared" si="29"/>
        <v/>
      </c>
      <c r="Y81" s="150" t="str">
        <f t="shared" si="30"/>
        <v/>
      </c>
      <c r="Z81" s="153" t="str">
        <f t="shared" si="31"/>
        <v/>
      </c>
      <c r="AA81" s="154" t="str">
        <f t="shared" si="37"/>
        <v/>
      </c>
      <c r="AB81" s="153" t="str">
        <f t="shared" si="32"/>
        <v/>
      </c>
      <c r="AC81" s="436" t="str">
        <f t="shared" si="33"/>
        <v/>
      </c>
      <c r="AD81" s="338" t="str">
        <f t="shared" si="38"/>
        <v/>
      </c>
      <c r="AE81" s="158" t="str">
        <f t="shared" si="34"/>
        <v/>
      </c>
      <c r="AF81" s="158"/>
      <c r="AG81" s="158"/>
    </row>
    <row r="82" spans="1:33" ht="16.8" x14ac:dyDescent="0.25">
      <c r="A82" s="177"/>
      <c r="B82" s="376">
        <v>26</v>
      </c>
      <c r="C82" s="96" t="str">
        <f t="shared" si="35"/>
        <v/>
      </c>
      <c r="D82" s="96" t="str">
        <f t="shared" si="36"/>
        <v/>
      </c>
      <c r="E82" s="96" t="str">
        <f t="shared" si="10"/>
        <v/>
      </c>
      <c r="F82" s="96" t="str">
        <f t="shared" si="11"/>
        <v/>
      </c>
      <c r="G82" s="303" t="str">
        <f t="shared" si="12"/>
        <v/>
      </c>
      <c r="H82" s="303" t="str">
        <f t="shared" si="13"/>
        <v/>
      </c>
      <c r="I82" s="97" t="str">
        <f t="shared" si="14"/>
        <v/>
      </c>
      <c r="J82" s="157" t="str">
        <f t="shared" si="15"/>
        <v/>
      </c>
      <c r="K82" s="96" t="str">
        <f t="shared" si="16"/>
        <v/>
      </c>
      <c r="L82" s="96" t="str">
        <f t="shared" si="17"/>
        <v/>
      </c>
      <c r="M82" s="97" t="str">
        <f t="shared" si="18"/>
        <v/>
      </c>
      <c r="N82" s="149" t="str">
        <f t="shared" si="19"/>
        <v/>
      </c>
      <c r="O82" s="149" t="str">
        <f t="shared" si="20"/>
        <v/>
      </c>
      <c r="P82" s="150" t="str">
        <f t="shared" si="21"/>
        <v/>
      </c>
      <c r="Q82" s="151" t="str">
        <f t="shared" si="22"/>
        <v/>
      </c>
      <c r="R82" s="149" t="str">
        <f t="shared" si="23"/>
        <v/>
      </c>
      <c r="S82" s="149" t="str">
        <f t="shared" si="24"/>
        <v/>
      </c>
      <c r="T82" s="150" t="str">
        <f t="shared" si="25"/>
        <v/>
      </c>
      <c r="U82" s="150" t="str">
        <f t="shared" si="26"/>
        <v/>
      </c>
      <c r="V82" s="152" t="str">
        <f t="shared" si="27"/>
        <v/>
      </c>
      <c r="W82" s="152" t="str">
        <f t="shared" si="28"/>
        <v/>
      </c>
      <c r="X82" s="150" t="str">
        <f t="shared" si="29"/>
        <v/>
      </c>
      <c r="Y82" s="150" t="str">
        <f t="shared" si="30"/>
        <v/>
      </c>
      <c r="Z82" s="153" t="str">
        <f t="shared" si="31"/>
        <v/>
      </c>
      <c r="AA82" s="154" t="str">
        <f t="shared" si="37"/>
        <v/>
      </c>
      <c r="AB82" s="153" t="str">
        <f t="shared" si="32"/>
        <v/>
      </c>
      <c r="AC82" s="436" t="str">
        <f t="shared" si="33"/>
        <v/>
      </c>
      <c r="AD82" s="338" t="str">
        <f t="shared" si="38"/>
        <v/>
      </c>
      <c r="AE82" s="158" t="str">
        <f t="shared" si="34"/>
        <v/>
      </c>
      <c r="AF82" s="158"/>
      <c r="AG82" s="158"/>
    </row>
    <row r="83" spans="1:33" ht="16.8" x14ac:dyDescent="0.25">
      <c r="A83" s="177"/>
      <c r="B83" s="376">
        <v>27</v>
      </c>
      <c r="C83" s="96" t="str">
        <f t="shared" si="35"/>
        <v/>
      </c>
      <c r="D83" s="96" t="str">
        <f t="shared" si="36"/>
        <v/>
      </c>
      <c r="E83" s="96" t="str">
        <f t="shared" si="10"/>
        <v/>
      </c>
      <c r="F83" s="96" t="str">
        <f t="shared" si="11"/>
        <v/>
      </c>
      <c r="G83" s="303" t="str">
        <f t="shared" si="12"/>
        <v/>
      </c>
      <c r="H83" s="303" t="str">
        <f t="shared" si="13"/>
        <v/>
      </c>
      <c r="I83" s="97" t="str">
        <f t="shared" si="14"/>
        <v/>
      </c>
      <c r="J83" s="157" t="str">
        <f t="shared" si="15"/>
        <v/>
      </c>
      <c r="K83" s="96" t="str">
        <f t="shared" si="16"/>
        <v/>
      </c>
      <c r="L83" s="96" t="str">
        <f t="shared" si="17"/>
        <v/>
      </c>
      <c r="M83" s="97" t="str">
        <f t="shared" si="18"/>
        <v/>
      </c>
      <c r="N83" s="149" t="str">
        <f t="shared" si="19"/>
        <v/>
      </c>
      <c r="O83" s="149" t="str">
        <f t="shared" si="20"/>
        <v/>
      </c>
      <c r="P83" s="150" t="str">
        <f t="shared" si="21"/>
        <v/>
      </c>
      <c r="Q83" s="151" t="str">
        <f t="shared" si="22"/>
        <v/>
      </c>
      <c r="R83" s="149" t="str">
        <f t="shared" si="23"/>
        <v/>
      </c>
      <c r="S83" s="149" t="str">
        <f t="shared" si="24"/>
        <v/>
      </c>
      <c r="T83" s="150" t="str">
        <f t="shared" si="25"/>
        <v/>
      </c>
      <c r="U83" s="150" t="str">
        <f t="shared" si="26"/>
        <v/>
      </c>
      <c r="V83" s="152" t="str">
        <f t="shared" si="27"/>
        <v/>
      </c>
      <c r="W83" s="152" t="str">
        <f t="shared" si="28"/>
        <v/>
      </c>
      <c r="X83" s="150" t="str">
        <f t="shared" si="29"/>
        <v/>
      </c>
      <c r="Y83" s="150" t="str">
        <f t="shared" si="30"/>
        <v/>
      </c>
      <c r="Z83" s="153" t="str">
        <f t="shared" si="31"/>
        <v/>
      </c>
      <c r="AA83" s="154" t="str">
        <f t="shared" si="37"/>
        <v/>
      </c>
      <c r="AB83" s="153" t="str">
        <f t="shared" si="32"/>
        <v/>
      </c>
      <c r="AC83" s="436" t="str">
        <f t="shared" si="33"/>
        <v/>
      </c>
      <c r="AD83" s="338" t="str">
        <f t="shared" si="38"/>
        <v/>
      </c>
      <c r="AE83" s="158" t="str">
        <f t="shared" si="34"/>
        <v/>
      </c>
      <c r="AF83" s="158"/>
      <c r="AG83" s="158"/>
    </row>
    <row r="84" spans="1:33" ht="16.8" x14ac:dyDescent="0.25">
      <c r="A84" s="177"/>
      <c r="B84" s="376">
        <v>28</v>
      </c>
      <c r="C84" s="96" t="str">
        <f t="shared" si="35"/>
        <v/>
      </c>
      <c r="D84" s="96" t="str">
        <f t="shared" si="36"/>
        <v/>
      </c>
      <c r="E84" s="96" t="str">
        <f t="shared" si="10"/>
        <v/>
      </c>
      <c r="F84" s="96" t="str">
        <f t="shared" si="11"/>
        <v/>
      </c>
      <c r="G84" s="303" t="str">
        <f t="shared" si="12"/>
        <v/>
      </c>
      <c r="H84" s="303" t="str">
        <f t="shared" si="13"/>
        <v/>
      </c>
      <c r="I84" s="97" t="str">
        <f t="shared" si="14"/>
        <v/>
      </c>
      <c r="J84" s="157" t="str">
        <f t="shared" si="15"/>
        <v/>
      </c>
      <c r="K84" s="96" t="str">
        <f t="shared" si="16"/>
        <v/>
      </c>
      <c r="L84" s="96" t="str">
        <f t="shared" si="17"/>
        <v/>
      </c>
      <c r="M84" s="97" t="str">
        <f t="shared" si="18"/>
        <v/>
      </c>
      <c r="N84" s="149" t="str">
        <f t="shared" si="19"/>
        <v/>
      </c>
      <c r="O84" s="149" t="str">
        <f t="shared" si="20"/>
        <v/>
      </c>
      <c r="P84" s="150" t="str">
        <f t="shared" si="21"/>
        <v/>
      </c>
      <c r="Q84" s="151" t="str">
        <f t="shared" si="22"/>
        <v/>
      </c>
      <c r="R84" s="149" t="str">
        <f t="shared" si="23"/>
        <v/>
      </c>
      <c r="S84" s="149" t="str">
        <f t="shared" si="24"/>
        <v/>
      </c>
      <c r="T84" s="150" t="str">
        <f t="shared" si="25"/>
        <v/>
      </c>
      <c r="U84" s="150" t="str">
        <f t="shared" si="26"/>
        <v/>
      </c>
      <c r="V84" s="152" t="str">
        <f t="shared" si="27"/>
        <v/>
      </c>
      <c r="W84" s="152" t="str">
        <f t="shared" si="28"/>
        <v/>
      </c>
      <c r="X84" s="150" t="str">
        <f t="shared" si="29"/>
        <v/>
      </c>
      <c r="Y84" s="150" t="str">
        <f t="shared" si="30"/>
        <v/>
      </c>
      <c r="Z84" s="153" t="str">
        <f t="shared" si="31"/>
        <v/>
      </c>
      <c r="AA84" s="154" t="str">
        <f t="shared" si="37"/>
        <v/>
      </c>
      <c r="AB84" s="153" t="str">
        <f t="shared" si="32"/>
        <v/>
      </c>
      <c r="AC84" s="436" t="str">
        <f t="shared" si="33"/>
        <v/>
      </c>
      <c r="AD84" s="338" t="str">
        <f t="shared" si="38"/>
        <v/>
      </c>
      <c r="AE84" s="158" t="str">
        <f t="shared" si="34"/>
        <v/>
      </c>
      <c r="AF84" s="158"/>
      <c r="AG84" s="158"/>
    </row>
    <row r="85" spans="1:33" ht="16.8" x14ac:dyDescent="0.25">
      <c r="A85" s="177"/>
      <c r="B85" s="376">
        <v>29</v>
      </c>
      <c r="C85" s="96" t="str">
        <f t="shared" si="35"/>
        <v/>
      </c>
      <c r="D85" s="96" t="str">
        <f t="shared" si="36"/>
        <v/>
      </c>
      <c r="E85" s="96" t="str">
        <f t="shared" si="10"/>
        <v/>
      </c>
      <c r="F85" s="96" t="str">
        <f t="shared" si="11"/>
        <v/>
      </c>
      <c r="G85" s="303" t="str">
        <f t="shared" si="12"/>
        <v/>
      </c>
      <c r="H85" s="303" t="str">
        <f t="shared" si="13"/>
        <v/>
      </c>
      <c r="I85" s="97" t="str">
        <f t="shared" si="14"/>
        <v/>
      </c>
      <c r="J85" s="157" t="str">
        <f t="shared" si="15"/>
        <v/>
      </c>
      <c r="K85" s="96" t="str">
        <f t="shared" si="16"/>
        <v/>
      </c>
      <c r="L85" s="96" t="str">
        <f t="shared" si="17"/>
        <v/>
      </c>
      <c r="M85" s="97" t="str">
        <f t="shared" si="18"/>
        <v/>
      </c>
      <c r="N85" s="149" t="str">
        <f t="shared" si="19"/>
        <v/>
      </c>
      <c r="O85" s="149" t="str">
        <f t="shared" si="20"/>
        <v/>
      </c>
      <c r="P85" s="150" t="str">
        <f t="shared" si="21"/>
        <v/>
      </c>
      <c r="Q85" s="151" t="str">
        <f t="shared" si="22"/>
        <v/>
      </c>
      <c r="R85" s="149" t="str">
        <f t="shared" si="23"/>
        <v/>
      </c>
      <c r="S85" s="149" t="str">
        <f t="shared" si="24"/>
        <v/>
      </c>
      <c r="T85" s="150" t="str">
        <f t="shared" si="25"/>
        <v/>
      </c>
      <c r="U85" s="150" t="str">
        <f t="shared" si="26"/>
        <v/>
      </c>
      <c r="V85" s="152" t="str">
        <f t="shared" si="27"/>
        <v/>
      </c>
      <c r="W85" s="152" t="str">
        <f t="shared" si="28"/>
        <v/>
      </c>
      <c r="X85" s="150" t="str">
        <f t="shared" si="29"/>
        <v/>
      </c>
      <c r="Y85" s="150" t="str">
        <f t="shared" si="30"/>
        <v/>
      </c>
      <c r="Z85" s="153" t="str">
        <f t="shared" si="31"/>
        <v/>
      </c>
      <c r="AA85" s="154" t="str">
        <f t="shared" si="37"/>
        <v/>
      </c>
      <c r="AB85" s="153" t="str">
        <f t="shared" si="32"/>
        <v/>
      </c>
      <c r="AC85" s="436" t="str">
        <f t="shared" si="33"/>
        <v/>
      </c>
      <c r="AD85" s="338" t="str">
        <f t="shared" si="38"/>
        <v/>
      </c>
      <c r="AE85" s="158" t="str">
        <f t="shared" si="34"/>
        <v/>
      </c>
      <c r="AF85" s="158"/>
      <c r="AG85" s="158"/>
    </row>
    <row r="86" spans="1:33" ht="16.8" x14ac:dyDescent="0.25">
      <c r="A86" s="177"/>
      <c r="B86" s="376">
        <v>30</v>
      </c>
      <c r="C86" s="96" t="str">
        <f t="shared" si="35"/>
        <v/>
      </c>
      <c r="D86" s="96" t="str">
        <f t="shared" si="36"/>
        <v/>
      </c>
      <c r="E86" s="96" t="str">
        <f t="shared" si="10"/>
        <v/>
      </c>
      <c r="F86" s="96" t="str">
        <f t="shared" si="11"/>
        <v/>
      </c>
      <c r="G86" s="303" t="str">
        <f t="shared" si="12"/>
        <v/>
      </c>
      <c r="H86" s="303" t="str">
        <f t="shared" si="13"/>
        <v/>
      </c>
      <c r="I86" s="97" t="str">
        <f t="shared" si="14"/>
        <v/>
      </c>
      <c r="J86" s="157" t="str">
        <f t="shared" si="15"/>
        <v/>
      </c>
      <c r="K86" s="96" t="str">
        <f t="shared" si="16"/>
        <v/>
      </c>
      <c r="L86" s="96" t="str">
        <f t="shared" si="17"/>
        <v/>
      </c>
      <c r="M86" s="97" t="str">
        <f t="shared" si="18"/>
        <v/>
      </c>
      <c r="N86" s="149" t="str">
        <f t="shared" si="19"/>
        <v/>
      </c>
      <c r="O86" s="149" t="str">
        <f t="shared" si="20"/>
        <v/>
      </c>
      <c r="P86" s="150" t="str">
        <f t="shared" si="21"/>
        <v/>
      </c>
      <c r="Q86" s="151" t="str">
        <f t="shared" si="22"/>
        <v/>
      </c>
      <c r="R86" s="149" t="str">
        <f t="shared" si="23"/>
        <v/>
      </c>
      <c r="S86" s="149" t="str">
        <f t="shared" si="24"/>
        <v/>
      </c>
      <c r="T86" s="150" t="str">
        <f t="shared" si="25"/>
        <v/>
      </c>
      <c r="U86" s="150" t="str">
        <f t="shared" si="26"/>
        <v/>
      </c>
      <c r="V86" s="152" t="str">
        <f t="shared" si="27"/>
        <v/>
      </c>
      <c r="W86" s="152" t="str">
        <f t="shared" si="28"/>
        <v/>
      </c>
      <c r="X86" s="150" t="str">
        <f t="shared" si="29"/>
        <v/>
      </c>
      <c r="Y86" s="150" t="str">
        <f t="shared" si="30"/>
        <v/>
      </c>
      <c r="Z86" s="153" t="str">
        <f t="shared" si="31"/>
        <v/>
      </c>
      <c r="AA86" s="154" t="str">
        <f t="shared" si="37"/>
        <v/>
      </c>
      <c r="AB86" s="153" t="str">
        <f t="shared" si="32"/>
        <v/>
      </c>
      <c r="AC86" s="436" t="str">
        <f t="shared" si="33"/>
        <v/>
      </c>
      <c r="AD86" s="338" t="str">
        <f t="shared" si="38"/>
        <v/>
      </c>
      <c r="AE86" s="158" t="str">
        <f t="shared" si="34"/>
        <v/>
      </c>
      <c r="AF86" s="158"/>
      <c r="AG86" s="158"/>
    </row>
    <row r="87" spans="1:33" ht="16.8" x14ac:dyDescent="0.25">
      <c r="A87" s="177"/>
      <c r="B87" s="376">
        <v>31</v>
      </c>
      <c r="C87" s="96" t="str">
        <f t="shared" si="35"/>
        <v/>
      </c>
      <c r="D87" s="96" t="str">
        <f t="shared" si="36"/>
        <v/>
      </c>
      <c r="E87" s="96" t="str">
        <f t="shared" si="10"/>
        <v/>
      </c>
      <c r="F87" s="96" t="str">
        <f t="shared" si="11"/>
        <v/>
      </c>
      <c r="G87" s="303" t="str">
        <f t="shared" si="12"/>
        <v/>
      </c>
      <c r="H87" s="303" t="str">
        <f t="shared" si="13"/>
        <v/>
      </c>
      <c r="I87" s="97" t="str">
        <f t="shared" si="14"/>
        <v/>
      </c>
      <c r="J87" s="157" t="str">
        <f t="shared" si="15"/>
        <v/>
      </c>
      <c r="K87" s="96" t="str">
        <f t="shared" si="16"/>
        <v/>
      </c>
      <c r="L87" s="96" t="str">
        <f t="shared" si="17"/>
        <v/>
      </c>
      <c r="M87" s="97" t="str">
        <f t="shared" si="18"/>
        <v/>
      </c>
      <c r="N87" s="149" t="str">
        <f t="shared" si="19"/>
        <v/>
      </c>
      <c r="O87" s="149" t="str">
        <f t="shared" si="20"/>
        <v/>
      </c>
      <c r="P87" s="150" t="str">
        <f t="shared" si="21"/>
        <v/>
      </c>
      <c r="Q87" s="151" t="str">
        <f t="shared" si="22"/>
        <v/>
      </c>
      <c r="R87" s="149" t="str">
        <f t="shared" si="23"/>
        <v/>
      </c>
      <c r="S87" s="149" t="str">
        <f t="shared" si="24"/>
        <v/>
      </c>
      <c r="T87" s="150" t="str">
        <f t="shared" si="25"/>
        <v/>
      </c>
      <c r="U87" s="150" t="str">
        <f t="shared" si="26"/>
        <v/>
      </c>
      <c r="V87" s="152" t="str">
        <f t="shared" si="27"/>
        <v/>
      </c>
      <c r="W87" s="152" t="str">
        <f t="shared" si="28"/>
        <v/>
      </c>
      <c r="X87" s="150" t="str">
        <f t="shared" si="29"/>
        <v/>
      </c>
      <c r="Y87" s="150" t="str">
        <f t="shared" si="30"/>
        <v/>
      </c>
      <c r="Z87" s="153" t="str">
        <f t="shared" si="31"/>
        <v/>
      </c>
      <c r="AA87" s="154" t="str">
        <f t="shared" si="37"/>
        <v/>
      </c>
      <c r="AB87" s="153" t="str">
        <f t="shared" si="32"/>
        <v/>
      </c>
      <c r="AC87" s="436" t="str">
        <f t="shared" si="33"/>
        <v/>
      </c>
      <c r="AD87" s="338" t="str">
        <f t="shared" si="38"/>
        <v/>
      </c>
      <c r="AE87" s="158" t="str">
        <f t="shared" si="34"/>
        <v/>
      </c>
      <c r="AF87" s="158"/>
      <c r="AG87" s="158"/>
    </row>
    <row r="88" spans="1:33" ht="16.8" x14ac:dyDescent="0.25">
      <c r="A88" s="177"/>
      <c r="B88" s="376">
        <v>32</v>
      </c>
      <c r="C88" s="96" t="str">
        <f t="shared" si="35"/>
        <v/>
      </c>
      <c r="D88" s="96" t="str">
        <f t="shared" si="36"/>
        <v/>
      </c>
      <c r="E88" s="96" t="str">
        <f t="shared" si="10"/>
        <v/>
      </c>
      <c r="F88" s="96" t="str">
        <f t="shared" si="11"/>
        <v/>
      </c>
      <c r="G88" s="303" t="str">
        <f t="shared" si="12"/>
        <v/>
      </c>
      <c r="H88" s="303" t="str">
        <f t="shared" si="13"/>
        <v/>
      </c>
      <c r="I88" s="97" t="str">
        <f t="shared" si="14"/>
        <v/>
      </c>
      <c r="J88" s="157" t="str">
        <f t="shared" si="15"/>
        <v/>
      </c>
      <c r="K88" s="96" t="str">
        <f t="shared" si="16"/>
        <v/>
      </c>
      <c r="L88" s="96" t="str">
        <f t="shared" si="17"/>
        <v/>
      </c>
      <c r="M88" s="97" t="str">
        <f t="shared" si="18"/>
        <v/>
      </c>
      <c r="N88" s="149" t="str">
        <f t="shared" si="19"/>
        <v/>
      </c>
      <c r="O88" s="149" t="str">
        <f t="shared" si="20"/>
        <v/>
      </c>
      <c r="P88" s="150" t="str">
        <f t="shared" si="21"/>
        <v/>
      </c>
      <c r="Q88" s="151" t="str">
        <f t="shared" si="22"/>
        <v/>
      </c>
      <c r="R88" s="149" t="str">
        <f t="shared" si="23"/>
        <v/>
      </c>
      <c r="S88" s="149" t="str">
        <f t="shared" si="24"/>
        <v/>
      </c>
      <c r="T88" s="150" t="str">
        <f t="shared" si="25"/>
        <v/>
      </c>
      <c r="U88" s="150" t="str">
        <f t="shared" si="26"/>
        <v/>
      </c>
      <c r="V88" s="152" t="str">
        <f t="shared" si="27"/>
        <v/>
      </c>
      <c r="W88" s="152" t="str">
        <f t="shared" si="28"/>
        <v/>
      </c>
      <c r="X88" s="150" t="str">
        <f t="shared" si="29"/>
        <v/>
      </c>
      <c r="Y88" s="150" t="str">
        <f t="shared" si="30"/>
        <v/>
      </c>
      <c r="Z88" s="153" t="str">
        <f t="shared" si="31"/>
        <v/>
      </c>
      <c r="AA88" s="154" t="str">
        <f t="shared" si="37"/>
        <v/>
      </c>
      <c r="AB88" s="153" t="str">
        <f t="shared" si="32"/>
        <v/>
      </c>
      <c r="AC88" s="436" t="str">
        <f t="shared" si="33"/>
        <v/>
      </c>
      <c r="AD88" s="338" t="str">
        <f t="shared" si="38"/>
        <v/>
      </c>
      <c r="AE88" s="158" t="str">
        <f t="shared" si="34"/>
        <v/>
      </c>
      <c r="AF88" s="158"/>
      <c r="AG88" s="158"/>
    </row>
    <row r="89" spans="1:33" ht="16.8" x14ac:dyDescent="0.25">
      <c r="A89" s="177"/>
      <c r="B89" s="376">
        <v>33</v>
      </c>
      <c r="C89" s="96" t="str">
        <f t="shared" si="35"/>
        <v/>
      </c>
      <c r="D89" s="96" t="str">
        <f t="shared" si="36"/>
        <v/>
      </c>
      <c r="E89" s="96" t="str">
        <f t="shared" si="10"/>
        <v/>
      </c>
      <c r="F89" s="96" t="str">
        <f t="shared" si="11"/>
        <v/>
      </c>
      <c r="G89" s="303" t="str">
        <f t="shared" si="12"/>
        <v/>
      </c>
      <c r="H89" s="303" t="str">
        <f t="shared" si="13"/>
        <v/>
      </c>
      <c r="I89" s="97" t="str">
        <f t="shared" si="14"/>
        <v/>
      </c>
      <c r="J89" s="157" t="str">
        <f t="shared" si="15"/>
        <v/>
      </c>
      <c r="K89" s="96" t="str">
        <f t="shared" si="16"/>
        <v/>
      </c>
      <c r="L89" s="96" t="str">
        <f t="shared" si="17"/>
        <v/>
      </c>
      <c r="M89" s="97" t="str">
        <f t="shared" si="18"/>
        <v/>
      </c>
      <c r="N89" s="149" t="str">
        <f t="shared" si="19"/>
        <v/>
      </c>
      <c r="O89" s="149" t="str">
        <f t="shared" si="20"/>
        <v/>
      </c>
      <c r="P89" s="150" t="str">
        <f t="shared" si="21"/>
        <v/>
      </c>
      <c r="Q89" s="151" t="str">
        <f t="shared" si="22"/>
        <v/>
      </c>
      <c r="R89" s="149" t="str">
        <f t="shared" si="23"/>
        <v/>
      </c>
      <c r="S89" s="149" t="str">
        <f t="shared" si="24"/>
        <v/>
      </c>
      <c r="T89" s="150" t="str">
        <f t="shared" si="25"/>
        <v/>
      </c>
      <c r="U89" s="150" t="str">
        <f t="shared" si="26"/>
        <v/>
      </c>
      <c r="V89" s="152" t="str">
        <f t="shared" si="27"/>
        <v/>
      </c>
      <c r="W89" s="152" t="str">
        <f t="shared" si="28"/>
        <v/>
      </c>
      <c r="X89" s="150" t="str">
        <f t="shared" si="29"/>
        <v/>
      </c>
      <c r="Y89" s="150" t="str">
        <f t="shared" si="30"/>
        <v/>
      </c>
      <c r="Z89" s="153" t="str">
        <f t="shared" si="31"/>
        <v/>
      </c>
      <c r="AA89" s="154" t="str">
        <f t="shared" si="37"/>
        <v/>
      </c>
      <c r="AB89" s="153" t="str">
        <f t="shared" si="32"/>
        <v/>
      </c>
      <c r="AC89" s="436" t="str">
        <f t="shared" si="33"/>
        <v/>
      </c>
      <c r="AD89" s="338" t="str">
        <f t="shared" si="38"/>
        <v/>
      </c>
      <c r="AE89" s="158" t="str">
        <f t="shared" si="34"/>
        <v/>
      </c>
      <c r="AF89" s="158"/>
      <c r="AG89" s="158"/>
    </row>
    <row r="90" spans="1:33" ht="16.8" x14ac:dyDescent="0.25">
      <c r="A90" s="177"/>
      <c r="B90" s="376">
        <v>34</v>
      </c>
      <c r="C90" s="96" t="str">
        <f t="shared" si="35"/>
        <v/>
      </c>
      <c r="D90" s="96" t="str">
        <f t="shared" si="36"/>
        <v/>
      </c>
      <c r="E90" s="96" t="str">
        <f t="shared" si="10"/>
        <v/>
      </c>
      <c r="F90" s="96" t="str">
        <f t="shared" si="11"/>
        <v/>
      </c>
      <c r="G90" s="303" t="str">
        <f t="shared" si="12"/>
        <v/>
      </c>
      <c r="H90" s="303" t="str">
        <f t="shared" si="13"/>
        <v/>
      </c>
      <c r="I90" s="97" t="str">
        <f t="shared" si="14"/>
        <v/>
      </c>
      <c r="J90" s="157" t="str">
        <f t="shared" si="15"/>
        <v/>
      </c>
      <c r="K90" s="96" t="str">
        <f t="shared" si="16"/>
        <v/>
      </c>
      <c r="L90" s="96" t="str">
        <f t="shared" si="17"/>
        <v/>
      </c>
      <c r="M90" s="97" t="str">
        <f t="shared" si="18"/>
        <v/>
      </c>
      <c r="N90" s="149" t="str">
        <f t="shared" si="19"/>
        <v/>
      </c>
      <c r="O90" s="149" t="str">
        <f t="shared" si="20"/>
        <v/>
      </c>
      <c r="P90" s="150" t="str">
        <f t="shared" si="21"/>
        <v/>
      </c>
      <c r="Q90" s="151" t="str">
        <f t="shared" si="22"/>
        <v/>
      </c>
      <c r="R90" s="149" t="str">
        <f t="shared" si="23"/>
        <v/>
      </c>
      <c r="S90" s="149" t="str">
        <f t="shared" si="24"/>
        <v/>
      </c>
      <c r="T90" s="150" t="str">
        <f t="shared" si="25"/>
        <v/>
      </c>
      <c r="U90" s="150" t="str">
        <f t="shared" si="26"/>
        <v/>
      </c>
      <c r="V90" s="152" t="str">
        <f t="shared" si="27"/>
        <v/>
      </c>
      <c r="W90" s="152" t="str">
        <f t="shared" si="28"/>
        <v/>
      </c>
      <c r="X90" s="150" t="str">
        <f t="shared" si="29"/>
        <v/>
      </c>
      <c r="Y90" s="150" t="str">
        <f t="shared" si="30"/>
        <v/>
      </c>
      <c r="Z90" s="153" t="str">
        <f t="shared" si="31"/>
        <v/>
      </c>
      <c r="AA90" s="154" t="str">
        <f t="shared" si="37"/>
        <v/>
      </c>
      <c r="AB90" s="153" t="str">
        <f t="shared" si="32"/>
        <v/>
      </c>
      <c r="AC90" s="436" t="str">
        <f t="shared" si="33"/>
        <v/>
      </c>
      <c r="AD90" s="338" t="str">
        <f t="shared" si="38"/>
        <v/>
      </c>
      <c r="AE90" s="158" t="str">
        <f t="shared" si="34"/>
        <v/>
      </c>
      <c r="AF90" s="158"/>
      <c r="AG90" s="158"/>
    </row>
    <row r="91" spans="1:33" ht="16.8" x14ac:dyDescent="0.25">
      <c r="A91" s="177"/>
      <c r="B91" s="376">
        <v>35</v>
      </c>
      <c r="C91" s="96" t="str">
        <f t="shared" si="35"/>
        <v/>
      </c>
      <c r="D91" s="96" t="str">
        <f t="shared" si="36"/>
        <v/>
      </c>
      <c r="E91" s="96" t="str">
        <f t="shared" si="10"/>
        <v/>
      </c>
      <c r="F91" s="96" t="str">
        <f t="shared" si="11"/>
        <v/>
      </c>
      <c r="G91" s="303" t="str">
        <f t="shared" si="12"/>
        <v/>
      </c>
      <c r="H91" s="303" t="str">
        <f t="shared" si="13"/>
        <v/>
      </c>
      <c r="I91" s="97" t="str">
        <f t="shared" si="14"/>
        <v/>
      </c>
      <c r="J91" s="157" t="str">
        <f t="shared" si="15"/>
        <v/>
      </c>
      <c r="K91" s="96" t="str">
        <f t="shared" si="16"/>
        <v/>
      </c>
      <c r="L91" s="96" t="str">
        <f t="shared" si="17"/>
        <v/>
      </c>
      <c r="M91" s="97" t="str">
        <f t="shared" si="18"/>
        <v/>
      </c>
      <c r="N91" s="149" t="str">
        <f t="shared" si="19"/>
        <v/>
      </c>
      <c r="O91" s="149" t="str">
        <f t="shared" si="20"/>
        <v/>
      </c>
      <c r="P91" s="150" t="str">
        <f t="shared" si="21"/>
        <v/>
      </c>
      <c r="Q91" s="151" t="str">
        <f t="shared" si="22"/>
        <v/>
      </c>
      <c r="R91" s="149" t="str">
        <f t="shared" si="23"/>
        <v/>
      </c>
      <c r="S91" s="149" t="str">
        <f t="shared" si="24"/>
        <v/>
      </c>
      <c r="T91" s="150" t="str">
        <f t="shared" si="25"/>
        <v/>
      </c>
      <c r="U91" s="150" t="str">
        <f t="shared" si="26"/>
        <v/>
      </c>
      <c r="V91" s="152" t="str">
        <f t="shared" si="27"/>
        <v/>
      </c>
      <c r="W91" s="152" t="str">
        <f t="shared" si="28"/>
        <v/>
      </c>
      <c r="X91" s="150" t="str">
        <f t="shared" si="29"/>
        <v/>
      </c>
      <c r="Y91" s="150" t="str">
        <f t="shared" si="30"/>
        <v/>
      </c>
      <c r="Z91" s="153" t="str">
        <f t="shared" si="31"/>
        <v/>
      </c>
      <c r="AA91" s="154" t="str">
        <f t="shared" si="37"/>
        <v/>
      </c>
      <c r="AB91" s="153" t="str">
        <f t="shared" si="32"/>
        <v/>
      </c>
      <c r="AC91" s="436" t="str">
        <f t="shared" si="33"/>
        <v/>
      </c>
      <c r="AD91" s="338" t="str">
        <f t="shared" si="38"/>
        <v/>
      </c>
      <c r="AE91" s="158" t="str">
        <f t="shared" si="34"/>
        <v/>
      </c>
      <c r="AF91" s="158"/>
      <c r="AG91" s="158"/>
    </row>
    <row r="92" spans="1:33" ht="16.8" x14ac:dyDescent="0.25">
      <c r="A92" s="177"/>
      <c r="B92" s="376">
        <v>36</v>
      </c>
      <c r="C92" s="96" t="str">
        <f t="shared" si="35"/>
        <v/>
      </c>
      <c r="D92" s="96" t="str">
        <f t="shared" si="36"/>
        <v/>
      </c>
      <c r="E92" s="96" t="str">
        <f t="shared" si="10"/>
        <v/>
      </c>
      <c r="F92" s="96" t="str">
        <f t="shared" si="11"/>
        <v/>
      </c>
      <c r="G92" s="303" t="str">
        <f t="shared" si="12"/>
        <v/>
      </c>
      <c r="H92" s="303" t="str">
        <f t="shared" si="13"/>
        <v/>
      </c>
      <c r="I92" s="97" t="str">
        <f t="shared" si="14"/>
        <v/>
      </c>
      <c r="J92" s="157" t="str">
        <f t="shared" si="15"/>
        <v/>
      </c>
      <c r="K92" s="96" t="str">
        <f t="shared" si="16"/>
        <v/>
      </c>
      <c r="L92" s="96" t="str">
        <f t="shared" si="17"/>
        <v/>
      </c>
      <c r="M92" s="97" t="str">
        <f t="shared" si="18"/>
        <v/>
      </c>
      <c r="N92" s="149" t="str">
        <f t="shared" si="19"/>
        <v/>
      </c>
      <c r="O92" s="149" t="str">
        <f t="shared" si="20"/>
        <v/>
      </c>
      <c r="P92" s="150" t="str">
        <f t="shared" si="21"/>
        <v/>
      </c>
      <c r="Q92" s="151" t="str">
        <f t="shared" si="22"/>
        <v/>
      </c>
      <c r="R92" s="149" t="str">
        <f t="shared" si="23"/>
        <v/>
      </c>
      <c r="S92" s="149" t="str">
        <f t="shared" si="24"/>
        <v/>
      </c>
      <c r="T92" s="150" t="str">
        <f t="shared" si="25"/>
        <v/>
      </c>
      <c r="U92" s="150" t="str">
        <f t="shared" si="26"/>
        <v/>
      </c>
      <c r="V92" s="152" t="str">
        <f t="shared" si="27"/>
        <v/>
      </c>
      <c r="W92" s="152" t="str">
        <f t="shared" si="28"/>
        <v/>
      </c>
      <c r="X92" s="150" t="str">
        <f t="shared" si="29"/>
        <v/>
      </c>
      <c r="Y92" s="150" t="str">
        <f t="shared" si="30"/>
        <v/>
      </c>
      <c r="Z92" s="153" t="str">
        <f t="shared" si="31"/>
        <v/>
      </c>
      <c r="AA92" s="154" t="str">
        <f t="shared" si="37"/>
        <v/>
      </c>
      <c r="AB92" s="153" t="str">
        <f t="shared" si="32"/>
        <v/>
      </c>
      <c r="AC92" s="436" t="str">
        <f t="shared" si="33"/>
        <v/>
      </c>
      <c r="AD92" s="338" t="str">
        <f t="shared" si="38"/>
        <v/>
      </c>
      <c r="AE92" s="158" t="str">
        <f t="shared" si="34"/>
        <v/>
      </c>
      <c r="AF92" s="158"/>
      <c r="AG92" s="158"/>
    </row>
    <row r="93" spans="1:33" ht="16.8" x14ac:dyDescent="0.25">
      <c r="A93" s="177"/>
      <c r="B93" s="376">
        <v>37</v>
      </c>
      <c r="C93" s="96" t="str">
        <f t="shared" si="35"/>
        <v/>
      </c>
      <c r="D93" s="96" t="str">
        <f t="shared" si="36"/>
        <v/>
      </c>
      <c r="E93" s="96" t="str">
        <f t="shared" si="10"/>
        <v/>
      </c>
      <c r="F93" s="96" t="str">
        <f t="shared" si="11"/>
        <v/>
      </c>
      <c r="G93" s="303" t="str">
        <f t="shared" si="12"/>
        <v/>
      </c>
      <c r="H93" s="303" t="str">
        <f t="shared" si="13"/>
        <v/>
      </c>
      <c r="I93" s="97" t="str">
        <f t="shared" si="14"/>
        <v/>
      </c>
      <c r="J93" s="157" t="str">
        <f t="shared" si="15"/>
        <v/>
      </c>
      <c r="K93" s="96" t="str">
        <f t="shared" si="16"/>
        <v/>
      </c>
      <c r="L93" s="96" t="str">
        <f t="shared" si="17"/>
        <v/>
      </c>
      <c r="M93" s="97" t="str">
        <f t="shared" si="18"/>
        <v/>
      </c>
      <c r="N93" s="149" t="str">
        <f t="shared" si="19"/>
        <v/>
      </c>
      <c r="O93" s="149" t="str">
        <f t="shared" si="20"/>
        <v/>
      </c>
      <c r="P93" s="150" t="str">
        <f t="shared" si="21"/>
        <v/>
      </c>
      <c r="Q93" s="151" t="str">
        <f t="shared" si="22"/>
        <v/>
      </c>
      <c r="R93" s="149" t="str">
        <f t="shared" si="23"/>
        <v/>
      </c>
      <c r="S93" s="149" t="str">
        <f t="shared" si="24"/>
        <v/>
      </c>
      <c r="T93" s="150" t="str">
        <f t="shared" si="25"/>
        <v/>
      </c>
      <c r="U93" s="150" t="str">
        <f t="shared" si="26"/>
        <v/>
      </c>
      <c r="V93" s="152" t="str">
        <f t="shared" si="27"/>
        <v/>
      </c>
      <c r="W93" s="152" t="str">
        <f t="shared" si="28"/>
        <v/>
      </c>
      <c r="X93" s="150" t="str">
        <f t="shared" si="29"/>
        <v/>
      </c>
      <c r="Y93" s="150" t="str">
        <f t="shared" si="30"/>
        <v/>
      </c>
      <c r="Z93" s="153" t="str">
        <f t="shared" si="31"/>
        <v/>
      </c>
      <c r="AA93" s="154" t="str">
        <f t="shared" si="37"/>
        <v/>
      </c>
      <c r="AB93" s="153" t="str">
        <f t="shared" si="32"/>
        <v/>
      </c>
      <c r="AC93" s="436" t="str">
        <f t="shared" si="33"/>
        <v/>
      </c>
      <c r="AD93" s="338" t="str">
        <f t="shared" si="38"/>
        <v/>
      </c>
      <c r="AE93" s="158" t="str">
        <f t="shared" si="34"/>
        <v/>
      </c>
      <c r="AF93" s="158"/>
      <c r="AG93" s="158"/>
    </row>
    <row r="94" spans="1:33" ht="16.8" x14ac:dyDescent="0.25">
      <c r="A94" s="177"/>
      <c r="B94" s="376">
        <v>38</v>
      </c>
      <c r="C94" s="96" t="str">
        <f t="shared" si="35"/>
        <v/>
      </c>
      <c r="D94" s="96" t="str">
        <f t="shared" si="36"/>
        <v/>
      </c>
      <c r="E94" s="96" t="str">
        <f t="shared" si="10"/>
        <v/>
      </c>
      <c r="F94" s="96" t="str">
        <f t="shared" si="11"/>
        <v/>
      </c>
      <c r="G94" s="303" t="str">
        <f t="shared" si="12"/>
        <v/>
      </c>
      <c r="H94" s="303" t="str">
        <f t="shared" si="13"/>
        <v/>
      </c>
      <c r="I94" s="97" t="str">
        <f t="shared" si="14"/>
        <v/>
      </c>
      <c r="J94" s="157" t="str">
        <f t="shared" si="15"/>
        <v/>
      </c>
      <c r="K94" s="96" t="str">
        <f t="shared" si="16"/>
        <v/>
      </c>
      <c r="L94" s="96" t="str">
        <f t="shared" si="17"/>
        <v/>
      </c>
      <c r="M94" s="97" t="str">
        <f t="shared" si="18"/>
        <v/>
      </c>
      <c r="N94" s="149" t="str">
        <f t="shared" si="19"/>
        <v/>
      </c>
      <c r="O94" s="149" t="str">
        <f t="shared" si="20"/>
        <v/>
      </c>
      <c r="P94" s="150" t="str">
        <f t="shared" si="21"/>
        <v/>
      </c>
      <c r="Q94" s="151" t="str">
        <f t="shared" si="22"/>
        <v/>
      </c>
      <c r="R94" s="149" t="str">
        <f t="shared" si="23"/>
        <v/>
      </c>
      <c r="S94" s="149" t="str">
        <f t="shared" si="24"/>
        <v/>
      </c>
      <c r="T94" s="150" t="str">
        <f t="shared" si="25"/>
        <v/>
      </c>
      <c r="U94" s="150" t="str">
        <f t="shared" si="26"/>
        <v/>
      </c>
      <c r="V94" s="152" t="str">
        <f t="shared" si="27"/>
        <v/>
      </c>
      <c r="W94" s="152" t="str">
        <f t="shared" si="28"/>
        <v/>
      </c>
      <c r="X94" s="150" t="str">
        <f t="shared" si="29"/>
        <v/>
      </c>
      <c r="Y94" s="150" t="str">
        <f t="shared" si="30"/>
        <v/>
      </c>
      <c r="Z94" s="153" t="str">
        <f t="shared" si="31"/>
        <v/>
      </c>
      <c r="AA94" s="154" t="str">
        <f t="shared" si="37"/>
        <v/>
      </c>
      <c r="AB94" s="153" t="str">
        <f t="shared" si="32"/>
        <v/>
      </c>
      <c r="AC94" s="436" t="str">
        <f t="shared" si="33"/>
        <v/>
      </c>
      <c r="AD94" s="338" t="str">
        <f t="shared" si="38"/>
        <v/>
      </c>
      <c r="AE94" s="158" t="str">
        <f t="shared" si="34"/>
        <v/>
      </c>
      <c r="AF94" s="158"/>
      <c r="AG94" s="158"/>
    </row>
    <row r="95" spans="1:33" ht="16.8" x14ac:dyDescent="0.25">
      <c r="A95" s="177"/>
      <c r="B95" s="376">
        <v>39</v>
      </c>
      <c r="C95" s="96" t="str">
        <f t="shared" si="35"/>
        <v/>
      </c>
      <c r="D95" s="96" t="str">
        <f t="shared" si="36"/>
        <v/>
      </c>
      <c r="E95" s="96" t="str">
        <f t="shared" si="10"/>
        <v/>
      </c>
      <c r="F95" s="96" t="str">
        <f t="shared" si="11"/>
        <v/>
      </c>
      <c r="G95" s="303" t="str">
        <f t="shared" si="12"/>
        <v/>
      </c>
      <c r="H95" s="303" t="str">
        <f t="shared" si="13"/>
        <v/>
      </c>
      <c r="I95" s="97" t="str">
        <f t="shared" si="14"/>
        <v/>
      </c>
      <c r="J95" s="157" t="str">
        <f t="shared" si="15"/>
        <v/>
      </c>
      <c r="K95" s="96" t="str">
        <f t="shared" si="16"/>
        <v/>
      </c>
      <c r="L95" s="96" t="str">
        <f t="shared" si="17"/>
        <v/>
      </c>
      <c r="M95" s="97" t="str">
        <f t="shared" si="18"/>
        <v/>
      </c>
      <c r="N95" s="149" t="str">
        <f t="shared" si="19"/>
        <v/>
      </c>
      <c r="O95" s="149" t="str">
        <f t="shared" si="20"/>
        <v/>
      </c>
      <c r="P95" s="150" t="str">
        <f t="shared" si="21"/>
        <v/>
      </c>
      <c r="Q95" s="151" t="str">
        <f t="shared" si="22"/>
        <v/>
      </c>
      <c r="R95" s="149" t="str">
        <f t="shared" si="23"/>
        <v/>
      </c>
      <c r="S95" s="149" t="str">
        <f t="shared" si="24"/>
        <v/>
      </c>
      <c r="T95" s="150" t="str">
        <f t="shared" si="25"/>
        <v/>
      </c>
      <c r="U95" s="150" t="str">
        <f t="shared" si="26"/>
        <v/>
      </c>
      <c r="V95" s="152" t="str">
        <f t="shared" si="27"/>
        <v/>
      </c>
      <c r="W95" s="152" t="str">
        <f t="shared" si="28"/>
        <v/>
      </c>
      <c r="X95" s="150" t="str">
        <f t="shared" si="29"/>
        <v/>
      </c>
      <c r="Y95" s="150" t="str">
        <f t="shared" si="30"/>
        <v/>
      </c>
      <c r="Z95" s="153" t="str">
        <f t="shared" si="31"/>
        <v/>
      </c>
      <c r="AA95" s="154" t="str">
        <f t="shared" si="37"/>
        <v/>
      </c>
      <c r="AB95" s="153" t="str">
        <f t="shared" si="32"/>
        <v/>
      </c>
      <c r="AC95" s="436" t="str">
        <f t="shared" si="33"/>
        <v/>
      </c>
      <c r="AD95" s="338" t="str">
        <f t="shared" si="38"/>
        <v/>
      </c>
      <c r="AE95" s="158" t="str">
        <f t="shared" si="34"/>
        <v/>
      </c>
      <c r="AF95" s="158"/>
      <c r="AG95" s="158"/>
    </row>
    <row r="96" spans="1:33" ht="17.399999999999999" thickBot="1" x14ac:dyDescent="0.3">
      <c r="A96" s="177"/>
      <c r="B96" s="378">
        <v>40</v>
      </c>
      <c r="C96" s="379" t="str">
        <f t="shared" si="35"/>
        <v/>
      </c>
      <c r="D96" s="379"/>
      <c r="E96" s="379"/>
      <c r="F96" s="379"/>
      <c r="G96" s="437"/>
      <c r="H96" s="437"/>
      <c r="I96" s="437"/>
      <c r="J96" s="438"/>
      <c r="K96" s="379"/>
      <c r="L96" s="379"/>
      <c r="M96" s="437"/>
      <c r="N96" s="439" t="str">
        <f t="shared" si="19"/>
        <v/>
      </c>
      <c r="O96" s="439" t="str">
        <f t="shared" si="20"/>
        <v/>
      </c>
      <c r="P96" s="440" t="str">
        <f t="shared" si="21"/>
        <v/>
      </c>
      <c r="Q96" s="441" t="str">
        <f t="shared" si="22"/>
        <v/>
      </c>
      <c r="R96" s="439" t="str">
        <f t="shared" si="23"/>
        <v/>
      </c>
      <c r="S96" s="439" t="str">
        <f t="shared" si="24"/>
        <v/>
      </c>
      <c r="T96" s="440" t="str">
        <f t="shared" si="25"/>
        <v/>
      </c>
      <c r="U96" s="440" t="str">
        <f t="shared" si="26"/>
        <v/>
      </c>
      <c r="V96" s="442" t="str">
        <f t="shared" si="27"/>
        <v/>
      </c>
      <c r="W96" s="442" t="str">
        <f t="shared" si="28"/>
        <v/>
      </c>
      <c r="X96" s="440" t="str">
        <f t="shared" si="29"/>
        <v/>
      </c>
      <c r="Y96" s="440" t="str">
        <f t="shared" si="30"/>
        <v/>
      </c>
      <c r="Z96" s="443" t="str">
        <f t="shared" si="31"/>
        <v/>
      </c>
      <c r="AA96" s="444" t="str">
        <f t="shared" si="37"/>
        <v/>
      </c>
      <c r="AB96" s="443" t="str">
        <f t="shared" si="32"/>
        <v/>
      </c>
      <c r="AC96" s="445" t="str">
        <f t="shared" si="33"/>
        <v/>
      </c>
      <c r="AD96" s="338" t="str">
        <f t="shared" si="38"/>
        <v/>
      </c>
      <c r="AE96" s="158" t="str">
        <f t="shared" si="34"/>
        <v/>
      </c>
      <c r="AF96" s="158"/>
      <c r="AG96" s="158"/>
    </row>
    <row r="97" spans="1:34" s="174" customFormat="1" ht="17.25" customHeight="1" x14ac:dyDescent="0.25">
      <c r="A97" s="177"/>
      <c r="B97" s="177"/>
      <c r="C97" s="177"/>
      <c r="D97" s="177"/>
      <c r="E97" s="177"/>
      <c r="F97" s="177"/>
      <c r="G97" s="177"/>
      <c r="H97" s="177"/>
      <c r="I97" s="177"/>
      <c r="J97" s="177"/>
      <c r="K97" s="177"/>
      <c r="L97" s="177"/>
      <c r="M97" s="177"/>
      <c r="N97" s="177"/>
      <c r="O97" s="177"/>
      <c r="P97" s="181"/>
      <c r="Q97" s="181"/>
      <c r="R97" s="181"/>
      <c r="S97" s="181"/>
      <c r="T97" s="181"/>
      <c r="U97" s="181"/>
      <c r="V97" s="178"/>
      <c r="W97" s="178"/>
      <c r="X97" s="181"/>
      <c r="Y97" s="181"/>
      <c r="Z97" s="181"/>
      <c r="AA97" s="182"/>
      <c r="AB97" s="177"/>
      <c r="AC97" s="180"/>
      <c r="AD97" s="180"/>
      <c r="AE97" s="180"/>
      <c r="AF97" s="180"/>
      <c r="AG97" s="180"/>
      <c r="AH97" s="176"/>
    </row>
    <row r="98" spans="1:34" ht="3.75" hidden="1" customHeight="1" x14ac:dyDescent="0.25">
      <c r="A98" s="60"/>
      <c r="B98" s="60"/>
      <c r="C98" s="60"/>
      <c r="D98" s="60"/>
      <c r="E98" s="60"/>
      <c r="F98" s="60"/>
      <c r="G98" s="60"/>
      <c r="H98" s="60"/>
      <c r="I98" s="79"/>
      <c r="J98" s="79"/>
      <c r="K98" s="79"/>
      <c r="L98" s="79"/>
      <c r="M98" s="79"/>
      <c r="N98" s="60"/>
      <c r="O98" s="60"/>
      <c r="P98" s="79"/>
      <c r="Q98" s="79"/>
      <c r="R98" s="79"/>
      <c r="S98" s="79"/>
      <c r="T98" s="79"/>
      <c r="U98" s="79"/>
      <c r="V98" s="144"/>
      <c r="W98" s="144"/>
      <c r="X98" s="79"/>
      <c r="Y98" s="79"/>
      <c r="Z98" s="79"/>
      <c r="AA98" s="162"/>
      <c r="AB98" s="60"/>
      <c r="AC98" s="145"/>
      <c r="AD98" s="145"/>
      <c r="AE98" s="145"/>
      <c r="AF98" s="145"/>
      <c r="AG98" s="145"/>
    </row>
    <row r="99" spans="1:34" ht="13.8" hidden="1" x14ac:dyDescent="0.25">
      <c r="I99" s="163"/>
      <c r="J99" s="163"/>
      <c r="K99" s="163"/>
      <c r="L99" s="163"/>
      <c r="M99" s="163"/>
    </row>
    <row r="100" spans="1:34" ht="13.8" hidden="1" x14ac:dyDescent="0.25"/>
    <row r="101" spans="1:34" ht="13.8" hidden="1" x14ac:dyDescent="0.25"/>
    <row r="102" spans="1:34" ht="13.8" hidden="1" x14ac:dyDescent="0.25"/>
    <row r="103" spans="1:34" ht="13.8" hidden="1" x14ac:dyDescent="0.25"/>
    <row r="104" spans="1:34" ht="13.8" hidden="1" x14ac:dyDescent="0.25"/>
    <row r="105" spans="1:34" ht="13.8" hidden="1" x14ac:dyDescent="0.25"/>
    <row r="106" spans="1:34" ht="13.8" hidden="1" x14ac:dyDescent="0.25"/>
    <row r="107" spans="1:34" ht="13.8" hidden="1" x14ac:dyDescent="0.25"/>
    <row r="108" spans="1:34" ht="13.8" hidden="1" x14ac:dyDescent="0.25"/>
    <row r="109" spans="1:34" ht="13.8" hidden="1" x14ac:dyDescent="0.25"/>
    <row r="110" spans="1:34" ht="13.8" hidden="1" x14ac:dyDescent="0.25"/>
    <row r="111" spans="1:34" ht="13.8" hidden="1" x14ac:dyDescent="0.25"/>
    <row r="112" spans="1:34" ht="13.8" hidden="1" x14ac:dyDescent="0.25"/>
    <row r="113" spans="22:38" s="70" customFormat="1" ht="13.8" hidden="1" x14ac:dyDescent="0.25">
      <c r="V113" s="164"/>
      <c r="W113" s="164"/>
      <c r="AA113" s="165"/>
      <c r="AC113" s="166"/>
      <c r="AD113" s="166"/>
      <c r="AE113" s="166"/>
      <c r="AF113" s="166"/>
      <c r="AG113" s="166"/>
      <c r="AH113" s="176"/>
      <c r="AI113" s="43"/>
      <c r="AJ113" s="43"/>
      <c r="AK113" s="43"/>
      <c r="AL113" s="43"/>
    </row>
    <row r="114" spans="22:38" s="70" customFormat="1" ht="13.8" hidden="1" x14ac:dyDescent="0.25">
      <c r="V114" s="164"/>
      <c r="W114" s="164"/>
      <c r="AA114" s="165"/>
      <c r="AC114" s="166"/>
      <c r="AD114" s="166"/>
      <c r="AE114" s="166"/>
      <c r="AF114" s="166"/>
      <c r="AG114" s="166"/>
      <c r="AH114" s="176"/>
      <c r="AI114" s="43"/>
      <c r="AJ114" s="43"/>
      <c r="AK114" s="43"/>
      <c r="AL114" s="43"/>
    </row>
    <row r="115" spans="22:38" s="70" customFormat="1" ht="13.8" hidden="1" x14ac:dyDescent="0.25">
      <c r="V115" s="164"/>
      <c r="W115" s="164"/>
      <c r="AA115" s="165"/>
      <c r="AC115" s="166"/>
      <c r="AD115" s="166"/>
      <c r="AE115" s="166"/>
      <c r="AF115" s="166"/>
      <c r="AG115" s="166"/>
      <c r="AH115" s="176"/>
      <c r="AI115" s="43"/>
      <c r="AJ115" s="43"/>
      <c r="AK115" s="43"/>
      <c r="AL115" s="43"/>
    </row>
  </sheetData>
  <sheetProtection algorithmName="SHA-512" hashValue="cc/qijUtUgyZwVkC/dfmFzxbO31cts5LVEK8kG1K9QoArMyLXOPZe8ZY2fuqSg7FSRKV+jqWzh1Amkkoi3VmLg==" saltValue="TK1Mees5CCiusUz+gwtQ4w==" spinCount="100000" sheet="1" objects="1" scenarios="1" selectLockedCells="1"/>
  <mergeCells count="30">
    <mergeCell ref="B54:AC54"/>
    <mergeCell ref="N55:AC55"/>
    <mergeCell ref="H55:L55"/>
    <mergeCell ref="B55:F55"/>
    <mergeCell ref="Z2:Z4"/>
    <mergeCell ref="AA2:AA4"/>
    <mergeCell ref="AB2:AB4"/>
    <mergeCell ref="AC2:AC4"/>
    <mergeCell ref="B5:M5"/>
    <mergeCell ref="X4:Y4"/>
    <mergeCell ref="B4:M4"/>
    <mergeCell ref="N4:O4"/>
    <mergeCell ref="P4:Q4"/>
    <mergeCell ref="R4:S4"/>
    <mergeCell ref="T4:U4"/>
    <mergeCell ref="V4:W4"/>
    <mergeCell ref="X2:Y2"/>
    <mergeCell ref="V3:W3"/>
    <mergeCell ref="X3:Y3"/>
    <mergeCell ref="B2:M2"/>
    <mergeCell ref="N2:O2"/>
    <mergeCell ref="P2:Q2"/>
    <mergeCell ref="R2:S2"/>
    <mergeCell ref="T2:U2"/>
    <mergeCell ref="V2:W2"/>
    <mergeCell ref="B3:M3"/>
    <mergeCell ref="N3:O3"/>
    <mergeCell ref="P3:Q3"/>
    <mergeCell ref="R3:S3"/>
    <mergeCell ref="T3:U3"/>
  </mergeCells>
  <hyperlinks>
    <hyperlink ref="A1" location="DASHBOARD!A1" display="D"/>
  </hyperlinks>
  <pageMargins left="0.39370078740157483" right="0.18" top="0.39370078740157483" bottom="0.74803149606299213" header="0.23622047244094491" footer="0.31496062992125984"/>
  <pageSetup paperSize="9" scale="4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FFC000"/>
    <pageSetUpPr fitToPage="1"/>
  </sheetPr>
  <dimension ref="A1:AM147"/>
  <sheetViews>
    <sheetView topLeftCell="A2" workbookViewId="0">
      <selection activeCell="G55" sqref="G55"/>
    </sheetView>
  </sheetViews>
  <sheetFormatPr defaultColWidth="0" defaultRowHeight="0" customHeight="1" zeroHeight="1" x14ac:dyDescent="0.25"/>
  <cols>
    <col min="1" max="1" width="4.33203125" style="70" customWidth="1"/>
    <col min="2" max="2" width="6" style="70" customWidth="1"/>
    <col min="3" max="4" width="7.33203125" style="70" hidden="1" customWidth="1"/>
    <col min="5" max="6" width="11.6640625" style="70" customWidth="1"/>
    <col min="7" max="7" width="39.6640625" style="70" customWidth="1"/>
    <col min="8" max="8" width="36" style="70" customWidth="1"/>
    <col min="9" max="9" width="17.6640625" style="70" hidden="1" customWidth="1"/>
    <col min="10" max="10" width="6" style="70" hidden="1" customWidth="1"/>
    <col min="11" max="11" width="7.109375" style="70" customWidth="1"/>
    <col min="12" max="12" width="8.88671875" style="70" customWidth="1"/>
    <col min="13" max="13" width="28" style="70" hidden="1" customWidth="1"/>
    <col min="14" max="19" width="8.88671875" style="70" customWidth="1"/>
    <col min="20" max="21" width="11.33203125" style="70" customWidth="1"/>
    <col min="22" max="23" width="8.88671875" style="164" customWidth="1"/>
    <col min="24" max="25" width="9.44140625" style="70" customWidth="1"/>
    <col min="26" max="26" width="13.88671875" style="70" bestFit="1" customWidth="1"/>
    <col min="27" max="27" width="10.44140625" style="165" customWidth="1"/>
    <col min="28" max="28" width="10.5546875" style="70" bestFit="1" customWidth="1"/>
    <col min="29" max="29" width="10.5546875" style="166" bestFit="1" customWidth="1"/>
    <col min="30" max="30" width="10.33203125" style="166" hidden="1" customWidth="1"/>
    <col min="31" max="31" width="9.88671875" style="166" hidden="1" customWidth="1"/>
    <col min="32" max="32" width="8.6640625" style="166" hidden="1" customWidth="1"/>
    <col min="33" max="33" width="7.109375" style="166" hidden="1" customWidth="1"/>
    <col min="34" max="34" width="3.5546875" style="176" customWidth="1"/>
    <col min="35" max="39" width="0" style="43" hidden="1" customWidth="1"/>
    <col min="40" max="16384" width="9.109375" style="43" hidden="1"/>
  </cols>
  <sheetData>
    <row r="1" spans="1:33" ht="18" customHeight="1" thickBot="1" x14ac:dyDescent="0.3">
      <c r="A1" s="143" t="s">
        <v>24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8"/>
      <c r="W1" s="178"/>
      <c r="X1" s="177"/>
      <c r="Y1" s="177"/>
      <c r="Z1" s="177"/>
      <c r="AA1" s="179"/>
      <c r="AB1" s="177"/>
      <c r="AC1" s="180"/>
      <c r="AD1" s="180"/>
      <c r="AE1" s="180"/>
      <c r="AF1" s="180"/>
      <c r="AG1" s="180"/>
    </row>
    <row r="2" spans="1:33" ht="34.799999999999997" x14ac:dyDescent="0.25">
      <c r="A2" s="177"/>
      <c r="B2" s="1178" t="str">
        <f>"SWAMI VIVEKANAND GOVT. MODEL SCHOOL,"&amp;DASHBOARD!C3</f>
        <v>SWAMI VIVEKANAND GOVT. MODEL SCHOOL,XXXX,  BLOCK-XXXX (RAJSAMAND)</v>
      </c>
      <c r="C2" s="1179"/>
      <c r="D2" s="1179"/>
      <c r="E2" s="1179"/>
      <c r="F2" s="1179"/>
      <c r="G2" s="1179"/>
      <c r="H2" s="1179"/>
      <c r="I2" s="1179"/>
      <c r="J2" s="1179"/>
      <c r="K2" s="1179"/>
      <c r="L2" s="1179"/>
      <c r="M2" s="1180"/>
      <c r="N2" s="1128" t="str">
        <f>IF('GREEN SHEET'!L3="","",'GREEN SHEET'!L3)</f>
        <v>XXXXX</v>
      </c>
      <c r="O2" s="1128"/>
      <c r="P2" s="1129" t="str">
        <f>IF('GREEN SHEET'!AG3="","",'GREEN SHEET'!AG3)</f>
        <v>XXXXX / XXXXX</v>
      </c>
      <c r="Q2" s="1129"/>
      <c r="R2" s="1128" t="str">
        <f>IF('GREEN SHEET'!BC3="","",'GREEN SHEET'!BC3)</f>
        <v>XXXXX</v>
      </c>
      <c r="S2" s="1128"/>
      <c r="T2" s="1129" t="str">
        <f>IF('GREEN SHEET'!BX3="","",'GREEN SHEET'!BX3)</f>
        <v>XXXXX</v>
      </c>
      <c r="U2" s="1129"/>
      <c r="V2" s="1121" t="str">
        <f>IF('GREEN SHEET'!CS3="","",'GREEN SHEET'!CS3)</f>
        <v>XXXXX</v>
      </c>
      <c r="W2" s="1122"/>
      <c r="X2" s="1121" t="str">
        <f>IF('GREEN SHEET'!DO3="","",'GREEN SHEET'!DO3)</f>
        <v>XXXXX / XXXXX / XXXXX</v>
      </c>
      <c r="Y2" s="1122"/>
      <c r="Z2" s="1144" t="s">
        <v>211</v>
      </c>
      <c r="AA2" s="1146" t="s">
        <v>212</v>
      </c>
      <c r="AB2" s="1144" t="s">
        <v>213</v>
      </c>
      <c r="AC2" s="1144" t="s">
        <v>110</v>
      </c>
      <c r="AD2" s="428"/>
      <c r="AE2" s="428"/>
      <c r="AF2" s="429"/>
      <c r="AG2" s="183"/>
    </row>
    <row r="3" spans="1:33" ht="35.4" thickBot="1" x14ac:dyDescent="0.3">
      <c r="A3" s="177"/>
      <c r="B3" s="1174" t="str">
        <f>IF(DASHBOARD!B4="","",DASHBOARD!B4)&amp;"                CLASS :- "&amp;DASHBOARD!B8&amp; DASHBOARD!C8</f>
        <v>SESSION  -  2025-26                CLASS :- 9A</v>
      </c>
      <c r="C3" s="734"/>
      <c r="D3" s="734"/>
      <c r="E3" s="734"/>
      <c r="F3" s="734"/>
      <c r="G3" s="734"/>
      <c r="H3" s="734"/>
      <c r="I3" s="734"/>
      <c r="J3" s="734"/>
      <c r="K3" s="734"/>
      <c r="L3" s="734"/>
      <c r="M3" s="1175"/>
      <c r="N3" s="1133" t="str">
        <f>IF('GREEN SHEET'!L4="","",'GREEN SHEET'!L4)</f>
        <v>ENGLISH</v>
      </c>
      <c r="O3" s="1133"/>
      <c r="P3" s="1133" t="str">
        <f>IF('GREEN SHEET'!AG4="","",'GREEN SHEET'!AG4)</f>
        <v>HINDI / SANSKRIT</v>
      </c>
      <c r="Q3" s="1133"/>
      <c r="R3" s="1133" t="str">
        <f>IF('GREEN SHEET'!BC4="","",'GREEN SHEET'!BC4)</f>
        <v>MATHS</v>
      </c>
      <c r="S3" s="1133"/>
      <c r="T3" s="1134" t="str">
        <f>IF('GREEN SHEET'!BX4="","",'GREEN SHEET'!BX4)</f>
        <v>SCIENCE</v>
      </c>
      <c r="U3" s="1134"/>
      <c r="V3" s="1123" t="str">
        <f>IF('GREEN SHEET'!CS4="","",'GREEN SHEET'!CS4)</f>
        <v>SOCIAL SCIENCE</v>
      </c>
      <c r="W3" s="1124"/>
      <c r="X3" s="1123" t="str">
        <f>IF('GREEN SHEET'!DO4="","",'GREEN SHEET'!DO4)</f>
        <v>BEAUTY &amp; WELLNESS / IT / APPAREL MADE-UPS HOME FURNISHING</v>
      </c>
      <c r="Y3" s="1124"/>
      <c r="Z3" s="1145"/>
      <c r="AA3" s="1147"/>
      <c r="AB3" s="1145"/>
      <c r="AC3" s="1145"/>
      <c r="AD3" s="184"/>
      <c r="AE3" s="184"/>
      <c r="AF3" s="430"/>
      <c r="AG3" s="184"/>
    </row>
    <row r="4" spans="1:33" ht="23.4" thickBot="1" x14ac:dyDescent="0.3">
      <c r="A4" s="177"/>
      <c r="B4" s="1161" t="s">
        <v>221</v>
      </c>
      <c r="C4" s="1162"/>
      <c r="D4" s="1162"/>
      <c r="E4" s="1162"/>
      <c r="F4" s="1162"/>
      <c r="G4" s="1162"/>
      <c r="H4" s="1162"/>
      <c r="I4" s="1162"/>
      <c r="J4" s="1162"/>
      <c r="K4" s="1162"/>
      <c r="L4" s="1162"/>
      <c r="M4" s="1163"/>
      <c r="N4" s="1124" t="s">
        <v>210</v>
      </c>
      <c r="O4" s="1133"/>
      <c r="P4" s="1134" t="s">
        <v>210</v>
      </c>
      <c r="Q4" s="1134"/>
      <c r="R4" s="1133" t="s">
        <v>210</v>
      </c>
      <c r="S4" s="1133"/>
      <c r="T4" s="1134" t="s">
        <v>210</v>
      </c>
      <c r="U4" s="1134"/>
      <c r="V4" s="1133" t="s">
        <v>210</v>
      </c>
      <c r="W4" s="1133"/>
      <c r="X4" s="1133" t="s">
        <v>210</v>
      </c>
      <c r="Y4" s="1133"/>
      <c r="Z4" s="1145"/>
      <c r="AA4" s="1147"/>
      <c r="AB4" s="1145"/>
      <c r="AC4" s="1145"/>
      <c r="AD4" s="1159" t="s">
        <v>214</v>
      </c>
      <c r="AE4" s="1170" t="s">
        <v>215</v>
      </c>
      <c r="AF4" s="1172" t="s">
        <v>216</v>
      </c>
      <c r="AG4" s="1155" t="s">
        <v>217</v>
      </c>
    </row>
    <row r="5" spans="1:33" ht="36.6" hidden="1" x14ac:dyDescent="0.25">
      <c r="A5" s="177"/>
      <c r="B5" s="1157" t="s">
        <v>218</v>
      </c>
      <c r="C5" s="1158"/>
      <c r="D5" s="1158"/>
      <c r="E5" s="1158"/>
      <c r="F5" s="1158"/>
      <c r="G5" s="1158"/>
      <c r="H5" s="1158"/>
      <c r="I5" s="1158"/>
      <c r="J5" s="1158"/>
      <c r="K5" s="1158"/>
      <c r="L5" s="1158"/>
      <c r="M5" s="1158"/>
      <c r="N5" s="146" t="s">
        <v>57</v>
      </c>
      <c r="O5" s="146" t="s">
        <v>146</v>
      </c>
      <c r="P5" s="147" t="s">
        <v>57</v>
      </c>
      <c r="Q5" s="147" t="s">
        <v>146</v>
      </c>
      <c r="R5" s="146" t="s">
        <v>57</v>
      </c>
      <c r="S5" s="146" t="s">
        <v>146</v>
      </c>
      <c r="T5" s="147" t="s">
        <v>57</v>
      </c>
      <c r="U5" s="147" t="s">
        <v>146</v>
      </c>
      <c r="V5" s="146" t="s">
        <v>57</v>
      </c>
      <c r="W5" s="146" t="s">
        <v>146</v>
      </c>
      <c r="X5" s="147" t="s">
        <v>57</v>
      </c>
      <c r="Y5" s="147" t="s">
        <v>146</v>
      </c>
      <c r="Z5" s="1145"/>
      <c r="AA5" s="1147"/>
      <c r="AB5" s="1145"/>
      <c r="AC5" s="1145"/>
      <c r="AD5" s="1160"/>
      <c r="AE5" s="1171"/>
      <c r="AF5" s="1173"/>
      <c r="AG5" s="1156"/>
    </row>
    <row r="6" spans="1:33" ht="16.8" hidden="1" x14ac:dyDescent="0.25">
      <c r="A6" s="177"/>
      <c r="B6" s="431" t="s">
        <v>4</v>
      </c>
      <c r="C6" s="148" t="s">
        <v>214</v>
      </c>
      <c r="D6" s="148" t="s">
        <v>214</v>
      </c>
      <c r="E6" s="148" t="s">
        <v>5</v>
      </c>
      <c r="F6" s="148" t="s">
        <v>6</v>
      </c>
      <c r="G6" s="148" t="s">
        <v>7</v>
      </c>
      <c r="H6" s="111" t="s">
        <v>8</v>
      </c>
      <c r="I6" s="111" t="s">
        <v>9</v>
      </c>
      <c r="J6" s="111" t="s">
        <v>10</v>
      </c>
      <c r="K6" s="111" t="s">
        <v>11</v>
      </c>
      <c r="L6" s="111" t="s">
        <v>12</v>
      </c>
      <c r="M6" s="111" t="s">
        <v>13</v>
      </c>
      <c r="N6" s="149">
        <f>IF('GREEN SHEET'!AA6="","",'GREEN SHEET'!AA6)</f>
        <v>100</v>
      </c>
      <c r="O6" s="149" t="str">
        <f>IF('GREEN SHEET'!AB6="","",'GREEN SHEET'!AB6)</f>
        <v>A1</v>
      </c>
      <c r="P6" s="150">
        <f>IF('GREEN SHEET'!AW6="","",'GREEN SHEET'!AW6)</f>
        <v>100</v>
      </c>
      <c r="Q6" s="150" t="str">
        <f>IF('GREEN SHEET'!AX6="","",'GREEN SHEET'!AX6)</f>
        <v>A1</v>
      </c>
      <c r="R6" s="149">
        <f>IF('GREEN SHEET'!BR6="","",'GREEN SHEET'!BR6)</f>
        <v>100</v>
      </c>
      <c r="S6" s="149" t="str">
        <f>IF('GREEN SHEET'!BS6="","",'GREEN SHEET'!BS6)</f>
        <v>A1</v>
      </c>
      <c r="T6" s="150">
        <f>IF('GREEN SHEET'!CM6="","",'GREEN SHEET'!CM6)</f>
        <v>100</v>
      </c>
      <c r="U6" s="150" t="str">
        <f>IF('GREEN SHEET'!CN6="","",'GREEN SHEET'!CN6)</f>
        <v>A1</v>
      </c>
      <c r="V6" s="152">
        <f>IF('GREEN SHEET'!DH6="","",'GREEN SHEET'!DH6)</f>
        <v>100</v>
      </c>
      <c r="W6" s="152" t="str">
        <f>IF('GREEN SHEET'!DI6="","",'GREEN SHEET'!DI6)</f>
        <v>A1</v>
      </c>
      <c r="X6" s="150">
        <f>IF('GREEN SHEET'!DR6="","",'GREEN SHEET'!DR6)</f>
        <v>100</v>
      </c>
      <c r="Y6" s="150" t="str">
        <f>IF('GREEN SHEET'!DS6="","",'GREEN SHEET'!DS6)</f>
        <v>A1</v>
      </c>
      <c r="Z6" s="153">
        <f>IF('GREEN SHEET'!FK6="PASS",'GREEN SHEET'!FP6,'GREEN SHEET'!FQ6)</f>
        <v>500</v>
      </c>
      <c r="AA6" s="154">
        <f>IFERROR(Z6*100/$Z$6,"")</f>
        <v>100</v>
      </c>
      <c r="AB6" s="171" t="str">
        <f>IF(AA6="","",IF(AA6&lt;33,"E",IF(AND(AA6&gt;=33,AA6&lt;41),"D",IF(AND(AA6&gt;=41,AA6&lt;51),"C2",IF(AND(AA6&gt;=51,AA6&lt;61),"C1",IF(AND(AA6&gt;=61,AA6&lt;71),"B2",IF(AND(AA6&gt;=71,AA6&lt;81),"B1",IF(AND(AA6&gt;=81,AA6&lt;91),"A2",IF(AND(AA6&gt;=91,AA6&lt;=100),"A1")))))))))</f>
        <v>A1</v>
      </c>
      <c r="AC6" s="153" t="str">
        <f>IF('GREEN SHEET'!FU6="","",'GREEN SHEET'!FU6)</f>
        <v/>
      </c>
      <c r="AD6" s="155"/>
      <c r="AE6" s="155"/>
      <c r="AF6" s="432">
        <v>50</v>
      </c>
      <c r="AG6" s="426">
        <v>1</v>
      </c>
    </row>
    <row r="7" spans="1:33" ht="16.8" hidden="1" x14ac:dyDescent="0.25">
      <c r="A7" s="177"/>
      <c r="B7" s="376">
        <v>1</v>
      </c>
      <c r="C7" s="156">
        <f>IF(AE7="","",ROUND(AE7,0))</f>
        <v>1</v>
      </c>
      <c r="D7" s="156">
        <f t="shared" ref="D7:D51" si="0">IF(AC7="","",ROUND(AC7,0))</f>
        <v>1</v>
      </c>
      <c r="E7" s="96">
        <f>IF('GREEN SHEET'!C7="","",'GREEN SHEET'!C7)</f>
        <v>901</v>
      </c>
      <c r="F7" s="96">
        <f>IF('GREEN SHEET'!D7="","",'GREEN SHEET'!D7)</f>
        <v>974</v>
      </c>
      <c r="G7" s="96" t="str">
        <f>IF('GREEN SHEET'!E7="","",'GREEN SHEET'!E7)</f>
        <v>ARTI PRAJAPAT</v>
      </c>
      <c r="H7" s="96" t="str">
        <f>IF('GREEN SHEET'!F7="","",'GREEN SHEET'!F7)</f>
        <v>MR PRABHU LAL</v>
      </c>
      <c r="I7" s="96" t="str">
        <f>IF('GREEN SHEET'!G7="","",'GREEN SHEET'!G7)</f>
        <v>MRS PREM DEVI</v>
      </c>
      <c r="J7" s="96">
        <f>IF('GREEN SHEET'!H7="","",'GREEN SHEET'!H7)</f>
        <v>40203</v>
      </c>
      <c r="K7" s="96" t="str">
        <f>IF('GREEN SHEET'!I7="","",'GREEN SHEET'!I7)</f>
        <v>GIRL</v>
      </c>
      <c r="L7" s="96" t="str">
        <f>IF('GREEN SHEET'!J7="","",'GREEN SHEET'!J7)</f>
        <v>OBC</v>
      </c>
      <c r="M7" s="96" t="str">
        <f>IF('GREEN SHEET'!K7="","",'GREEN SHEET'!K7)</f>
        <v/>
      </c>
      <c r="N7" s="149">
        <f>IF('GREEN SHEET'!AA7="","",'GREEN SHEET'!AA7)</f>
        <v>68</v>
      </c>
      <c r="O7" s="149" t="str">
        <f>IF('GREEN SHEET'!AB7="","",'GREEN SHEET'!AB7)</f>
        <v>B2</v>
      </c>
      <c r="P7" s="150">
        <f>IF('GREEN SHEET'!AW7="","",'GREEN SHEET'!AW7)</f>
        <v>44</v>
      </c>
      <c r="Q7" s="150" t="str">
        <f>IF('GREEN SHEET'!AX7="","",'GREEN SHEET'!AX7)</f>
        <v>C2</v>
      </c>
      <c r="R7" s="149">
        <f>IF('GREEN SHEET'!BR7="","",'GREEN SHEET'!BR7)</f>
        <v>62</v>
      </c>
      <c r="S7" s="149" t="str">
        <f>IF('GREEN SHEET'!BS7="","",'GREEN SHEET'!BS7)</f>
        <v>B2</v>
      </c>
      <c r="T7" s="150">
        <f>IF('GREEN SHEET'!CM7="","",'GREEN SHEET'!CM7)</f>
        <v>22</v>
      </c>
      <c r="U7" s="150" t="str">
        <f>IF('GREEN SHEET'!CN7="","",'GREEN SHEET'!CN7)</f>
        <v>E</v>
      </c>
      <c r="V7" s="152">
        <f>IF('GREEN SHEET'!DH7="","",'GREEN SHEET'!DH7)</f>
        <v>65</v>
      </c>
      <c r="W7" s="152" t="str">
        <f>IF('GREEN SHEET'!DI7="","",'GREEN SHEET'!DI7)</f>
        <v>B2</v>
      </c>
      <c r="X7" s="150">
        <f>IF('GREEN SHEET'!DR7="","",'GREEN SHEET'!DR7)</f>
        <v>55</v>
      </c>
      <c r="Y7" s="150" t="str">
        <f>IF('GREEN SHEET'!DS7="","",'GREEN SHEET'!DS7)</f>
        <v>C1</v>
      </c>
      <c r="Z7" s="153">
        <f>IF('GREEN SHEET'!FK7="PASS",'GREEN SHEET'!FP7,'GREEN SHEET'!FQ7)</f>
        <v>294</v>
      </c>
      <c r="AA7" s="154">
        <f t="shared" ref="AA7:AA51" si="1">IFERROR(Z7*100/$Z$6,"")</f>
        <v>58.8</v>
      </c>
      <c r="AB7" s="171" t="str">
        <f>IF(AA7="","",IF(AA7&lt;33,"E",IF(AND(AA7&gt;=33,AA7&lt;41),"D",IF(AND(AA7&gt;=41,AA7&lt;51),"C2",IF(AND(AA7&gt;=51,AA7&lt;61),"C1",IF(AND(AA7&gt;=61,AA7&lt;71),"B2",IF(AND(AA7&gt;=71,AA7&lt;81),"B1",IF(AND(AA7&gt;=81,AA7&lt;91),"A2",IF(AND(AA7&gt;=91,AA7&lt;=100),"A1")))))))))</f>
        <v>C1</v>
      </c>
      <c r="AC7" s="153">
        <f>IF('GREEN SHEET'!FU7="","",'GREEN SHEET'!FU7)</f>
        <v>1.0000000000000007</v>
      </c>
      <c r="AD7" s="158">
        <f>IF(Z7="","",RANK(Z7,Z$7:$Z$51,0)+COUNTIF($Z$7:Z7,Z7)-1)</f>
        <v>2</v>
      </c>
      <c r="AE7" s="158">
        <f t="shared" ref="AE7:AE51" si="2">IF(AD7="","",SMALL($AD$7:$AD$53,B7))</f>
        <v>1</v>
      </c>
      <c r="AF7" s="433">
        <f>IF(ISNUMBER(SEARCH($G$55,$AB$7:$AB$53)),AE7,"")</f>
        <v>1</v>
      </c>
      <c r="AG7" s="337">
        <f>IFERROR(SMALL($AF$7:$AF$53,AE7),"")</f>
        <v>1</v>
      </c>
    </row>
    <row r="8" spans="1:33" ht="41.4" hidden="1" x14ac:dyDescent="0.25">
      <c r="A8" s="177"/>
      <c r="B8" s="376">
        <v>2</v>
      </c>
      <c r="C8" s="156">
        <f t="shared" ref="C8:C51" si="3">IF(AE8="","",ROUND(AE8,0))</f>
        <v>2</v>
      </c>
      <c r="D8" s="156" t="str">
        <f t="shared" si="0"/>
        <v/>
      </c>
      <c r="E8" s="96">
        <f>IF('GREEN SHEET'!C8="","",'GREEN SHEET'!C8)</f>
        <v>902</v>
      </c>
      <c r="F8" s="96">
        <f>IF('GREEN SHEET'!D8="","",'GREEN SHEET'!D8)</f>
        <v>971</v>
      </c>
      <c r="G8" s="96" t="str">
        <f>IF('GREEN SHEET'!E8="","",'GREEN SHEET'!E8)</f>
        <v>ARVIND SINGH BALLA</v>
      </c>
      <c r="H8" s="96" t="str">
        <f>IF('GREEN SHEET'!F8="","",'GREEN SHEET'!F8)</f>
        <v>INDRA SINGH BALLA</v>
      </c>
      <c r="I8" s="96" t="str">
        <f>IF('GREEN SHEET'!G8="","",'GREEN SHEET'!G8)</f>
        <v>MEENA KANWAR BALLA</v>
      </c>
      <c r="J8" s="96">
        <f>IF('GREEN SHEET'!H8="","",'GREEN SHEET'!H8)</f>
        <v>40292</v>
      </c>
      <c r="K8" s="96" t="str">
        <f>IF('GREEN SHEET'!I8="","",'GREEN SHEET'!I8)</f>
        <v>BOY</v>
      </c>
      <c r="L8" s="96" t="str">
        <f>IF('GREEN SHEET'!J8="","",'GREEN SHEET'!J8)</f>
        <v>GEN</v>
      </c>
      <c r="M8" s="96" t="str">
        <f>IF('GREEN SHEET'!K8="","",'GREEN SHEET'!K8)</f>
        <v/>
      </c>
      <c r="N8" s="149">
        <f>IF('GREEN SHEET'!AA8="","",'GREEN SHEET'!AA8)</f>
        <v>63</v>
      </c>
      <c r="O8" s="149" t="str">
        <f>IF('GREEN SHEET'!AB8="","",'GREEN SHEET'!AB8)</f>
        <v>B2</v>
      </c>
      <c r="P8" s="150">
        <f>IF('GREEN SHEET'!AW8="","",'GREEN SHEET'!AW8)</f>
        <v>70</v>
      </c>
      <c r="Q8" s="150" t="str">
        <f>IF('GREEN SHEET'!AX8="","",'GREEN SHEET'!AX8)</f>
        <v>B2</v>
      </c>
      <c r="R8" s="149">
        <f>IF('GREEN SHEET'!BR8="","",'GREEN SHEET'!BR8)</f>
        <v>64</v>
      </c>
      <c r="S8" s="149" t="str">
        <f>IF('GREEN SHEET'!BS8="","",'GREEN SHEET'!BS8)</f>
        <v>B2</v>
      </c>
      <c r="T8" s="150">
        <f>IF('GREEN SHEET'!CM8="","",'GREEN SHEET'!CM8)</f>
        <v>36</v>
      </c>
      <c r="U8" s="150" t="str">
        <f>IF('GREEN SHEET'!CN8="","",'GREEN SHEET'!CN8)</f>
        <v>D</v>
      </c>
      <c r="V8" s="152">
        <f>IF('GREEN SHEET'!DH8="","",'GREEN SHEET'!DH8)</f>
        <v>16</v>
      </c>
      <c r="W8" s="152" t="str">
        <f>IF('GREEN SHEET'!DI8="","",'GREEN SHEET'!DI8)</f>
        <v>E</v>
      </c>
      <c r="X8" s="150">
        <f>IF('GREEN SHEET'!DR8="","",'GREEN SHEET'!DR8)</f>
        <v>25</v>
      </c>
      <c r="Y8" s="150" t="str">
        <f>IF('GREEN SHEET'!DS8="","",'GREEN SHEET'!DS8)</f>
        <v>E</v>
      </c>
      <c r="Z8" s="153">
        <f>IF('GREEN SHEET'!FK8="PASS",'GREEN SHEET'!FP8,'GREEN SHEET'!FQ8)</f>
        <v>299</v>
      </c>
      <c r="AA8" s="154">
        <f t="shared" si="1"/>
        <v>59.8</v>
      </c>
      <c r="AB8" s="171" t="str">
        <f t="shared" ref="AB8:AB51" si="4">IF(AA8="","",IF(AA8&lt;33,"E",IF(AND(AA8&gt;=33,AA8&lt;41),"D",IF(AND(AA8&gt;=41,AA8&lt;51),"C2",IF(AND(AA8&gt;=51,AA8&lt;61),"C1",IF(AND(AA8&gt;=61,AA8&lt;71),"B2",IF(AND(AA8&gt;=71,AA8&lt;81),"B1",IF(AND(AA8&gt;=81,AA8&lt;91),"A2",IF(AND(AA8&gt;=91,AA8&lt;=100),"A1")))))))))</f>
        <v>C1</v>
      </c>
      <c r="AC8" s="153" t="str">
        <f>IF('GREEN SHEET'!FU8="","",'GREEN SHEET'!FU8)</f>
        <v/>
      </c>
      <c r="AD8" s="158">
        <f>IF(Z8="","",RANK(Z8,Z$7:$Z$51,0)+COUNTIF($Z$7:Z8,Z8)-1)</f>
        <v>1</v>
      </c>
      <c r="AE8" s="158">
        <f t="shared" si="2"/>
        <v>2</v>
      </c>
      <c r="AF8" s="433">
        <f t="shared" ref="AF8:AF51" si="5">IF(ISNUMBER(SEARCH($G$55,$AB$7:$AB$53)),AE8,"")</f>
        <v>2</v>
      </c>
      <c r="AG8" s="337">
        <f t="shared" ref="AG8:AG51" si="6">IFERROR(SMALL($AF$7:$AF$53,AE8),"")</f>
        <v>2</v>
      </c>
    </row>
    <row r="9" spans="1:33" ht="27.6" hidden="1" x14ac:dyDescent="0.25">
      <c r="A9" s="177"/>
      <c r="B9" s="376">
        <v>3</v>
      </c>
      <c r="C9" s="156" t="str">
        <f t="shared" si="3"/>
        <v/>
      </c>
      <c r="D9" s="156" t="str">
        <f t="shared" si="0"/>
        <v/>
      </c>
      <c r="E9" s="96" t="str">
        <f>IF('GREEN SHEET'!C9="","",'GREEN SHEET'!C9)</f>
        <v>TC</v>
      </c>
      <c r="F9" s="96">
        <f>IF('GREEN SHEET'!D9="","",'GREEN SHEET'!D9)</f>
        <v>1370</v>
      </c>
      <c r="G9" s="96" t="str">
        <f>IF('GREEN SHEET'!E9="","",'GREEN SHEET'!E9)</f>
        <v>BHAVESH SINGH RAO</v>
      </c>
      <c r="H9" s="96" t="str">
        <f>IF('GREEN SHEET'!F9="","",'GREEN SHEET'!F9)</f>
        <v>FATEH SINGH RAO</v>
      </c>
      <c r="I9" s="96" t="str">
        <f>IF('GREEN SHEET'!G9="","",'GREEN SHEET'!G9)</f>
        <v>GANGA KUNWAR</v>
      </c>
      <c r="J9" s="96">
        <f>IF('GREEN SHEET'!H9="","",'GREEN SHEET'!H9)</f>
        <v>40431</v>
      </c>
      <c r="K9" s="96" t="str">
        <f>IF('GREEN SHEET'!I9="","",'GREEN SHEET'!I9)</f>
        <v>BOY</v>
      </c>
      <c r="L9" s="96" t="str">
        <f>IF('GREEN SHEET'!J9="","",'GREEN SHEET'!J9)</f>
        <v>OBC</v>
      </c>
      <c r="M9" s="96" t="str">
        <f>IF('GREEN SHEET'!K9="","",'GREEN SHEET'!K9)</f>
        <v/>
      </c>
      <c r="N9" s="149" t="str">
        <f>IF('GREEN SHEET'!AA9="","",'GREEN SHEET'!AA9)</f>
        <v/>
      </c>
      <c r="O9" s="149" t="str">
        <f>IF('GREEN SHEET'!AB9="","",'GREEN SHEET'!AB9)</f>
        <v/>
      </c>
      <c r="P9" s="150" t="str">
        <f>IF('GREEN SHEET'!AW9="","",'GREEN SHEET'!AW9)</f>
        <v/>
      </c>
      <c r="Q9" s="150" t="str">
        <f>IF('GREEN SHEET'!AX9="","",'GREEN SHEET'!AX9)</f>
        <v/>
      </c>
      <c r="R9" s="149" t="str">
        <f>IF('GREEN SHEET'!BR9="","",'GREEN SHEET'!BR9)</f>
        <v/>
      </c>
      <c r="S9" s="149" t="str">
        <f>IF('GREEN SHEET'!BS9="","",'GREEN SHEET'!BS9)</f>
        <v/>
      </c>
      <c r="T9" s="150" t="str">
        <f>IF('GREEN SHEET'!CM9="","",'GREEN SHEET'!CM9)</f>
        <v/>
      </c>
      <c r="U9" s="150" t="str">
        <f>IF('GREEN SHEET'!CN9="","",'GREEN SHEET'!CN9)</f>
        <v/>
      </c>
      <c r="V9" s="152" t="str">
        <f>IF('GREEN SHEET'!DH9="","",'GREEN SHEET'!DH9)</f>
        <v/>
      </c>
      <c r="W9" s="152" t="str">
        <f>IF('GREEN SHEET'!DI9="","",'GREEN SHEET'!DI9)</f>
        <v/>
      </c>
      <c r="X9" s="150" t="str">
        <f>IF('GREEN SHEET'!DR9="","",'GREEN SHEET'!DR9)</f>
        <v/>
      </c>
      <c r="Y9" s="150" t="str">
        <f>IF('GREEN SHEET'!DS9="","",'GREEN SHEET'!DS9)</f>
        <v/>
      </c>
      <c r="Z9" s="153" t="str">
        <f>IF('GREEN SHEET'!FK9="PASS",'GREEN SHEET'!FP9,'GREEN SHEET'!FQ9)</f>
        <v/>
      </c>
      <c r="AA9" s="154" t="str">
        <f t="shared" si="1"/>
        <v/>
      </c>
      <c r="AB9" s="171" t="str">
        <f t="shared" si="4"/>
        <v/>
      </c>
      <c r="AC9" s="153" t="str">
        <f>IF('GREEN SHEET'!FU9="","",'GREEN SHEET'!FU9)</f>
        <v/>
      </c>
      <c r="AD9" s="158" t="str">
        <f>IF(Z9="","",RANK(Z9,Z$7:$Z$51,0)+COUNTIF($Z$7:Z9,Z9)-1)</f>
        <v/>
      </c>
      <c r="AE9" s="158" t="str">
        <f t="shared" si="2"/>
        <v/>
      </c>
      <c r="AF9" s="433" t="str">
        <f t="shared" si="5"/>
        <v/>
      </c>
      <c r="AG9" s="337" t="str">
        <f t="shared" si="6"/>
        <v/>
      </c>
    </row>
    <row r="10" spans="1:33" ht="16.8" hidden="1" x14ac:dyDescent="0.25">
      <c r="A10" s="177"/>
      <c r="B10" s="376">
        <v>4</v>
      </c>
      <c r="C10" s="156" t="str">
        <f t="shared" si="3"/>
        <v/>
      </c>
      <c r="D10" s="156" t="str">
        <f t="shared" si="0"/>
        <v/>
      </c>
      <c r="E10" s="96" t="str">
        <f>IF('GREEN SHEET'!C10="","",'GREEN SHEET'!C10)</f>
        <v/>
      </c>
      <c r="F10" s="96" t="str">
        <f>IF('GREEN SHEET'!D10="","",'GREEN SHEET'!D10)</f>
        <v/>
      </c>
      <c r="G10" s="96" t="str">
        <f>IF('GREEN SHEET'!E10="","",'GREEN SHEET'!E10)</f>
        <v/>
      </c>
      <c r="H10" s="96" t="str">
        <f>IF('GREEN SHEET'!F10="","",'GREEN SHEET'!F10)</f>
        <v/>
      </c>
      <c r="I10" s="96" t="str">
        <f>IF('GREEN SHEET'!G10="","",'GREEN SHEET'!G10)</f>
        <v/>
      </c>
      <c r="J10" s="96" t="str">
        <f>IF('GREEN SHEET'!H10="","",'GREEN SHEET'!H10)</f>
        <v/>
      </c>
      <c r="K10" s="96" t="str">
        <f>IF('GREEN SHEET'!I10="","",'GREEN SHEET'!I10)</f>
        <v/>
      </c>
      <c r="L10" s="96" t="str">
        <f>IF('GREEN SHEET'!J10="","",'GREEN SHEET'!J10)</f>
        <v/>
      </c>
      <c r="M10" s="96" t="str">
        <f>IF('GREEN SHEET'!K10="","",'GREEN SHEET'!K10)</f>
        <v/>
      </c>
      <c r="N10" s="149" t="str">
        <f>IF('GREEN SHEET'!AA10="","",'GREEN SHEET'!AA10)</f>
        <v/>
      </c>
      <c r="O10" s="149" t="str">
        <f>IF('GREEN SHEET'!AB10="","",'GREEN SHEET'!AB10)</f>
        <v/>
      </c>
      <c r="P10" s="150" t="str">
        <f>IF('GREEN SHEET'!AW10="","",'GREEN SHEET'!AW10)</f>
        <v/>
      </c>
      <c r="Q10" s="150" t="str">
        <f>IF('GREEN SHEET'!AX10="","",'GREEN SHEET'!AX10)</f>
        <v/>
      </c>
      <c r="R10" s="149" t="str">
        <f>IF('GREEN SHEET'!BR10="","",'GREEN SHEET'!BR10)</f>
        <v/>
      </c>
      <c r="S10" s="149" t="str">
        <f>IF('GREEN SHEET'!BS10="","",'GREEN SHEET'!BS10)</f>
        <v/>
      </c>
      <c r="T10" s="150" t="str">
        <f>IF('GREEN SHEET'!CM10="","",'GREEN SHEET'!CM10)</f>
        <v/>
      </c>
      <c r="U10" s="150" t="str">
        <f>IF('GREEN SHEET'!CN10="","",'GREEN SHEET'!CN10)</f>
        <v/>
      </c>
      <c r="V10" s="152" t="str">
        <f>IF('GREEN SHEET'!DH10="","",'GREEN SHEET'!DH10)</f>
        <v/>
      </c>
      <c r="W10" s="152" t="str">
        <f>IF('GREEN SHEET'!DI10="","",'GREEN SHEET'!DI10)</f>
        <v/>
      </c>
      <c r="X10" s="150" t="str">
        <f>IF('GREEN SHEET'!DR10="","",'GREEN SHEET'!DR10)</f>
        <v/>
      </c>
      <c r="Y10" s="150" t="str">
        <f>IF('GREEN SHEET'!DS10="","",'GREEN SHEET'!DS10)</f>
        <v/>
      </c>
      <c r="Z10" s="153" t="str">
        <f>IF('GREEN SHEET'!FK10="PASS",'GREEN SHEET'!FP10,'GREEN SHEET'!FQ10)</f>
        <v/>
      </c>
      <c r="AA10" s="154" t="str">
        <f t="shared" si="1"/>
        <v/>
      </c>
      <c r="AB10" s="171" t="str">
        <f t="shared" si="4"/>
        <v/>
      </c>
      <c r="AC10" s="153" t="str">
        <f>IF('GREEN SHEET'!FU10="","",'GREEN SHEET'!FU10)</f>
        <v/>
      </c>
      <c r="AD10" s="158" t="str">
        <f>IF(Z10="","",RANK(Z10,Z$7:$Z$51,0)+COUNTIF($Z$7:Z10,Z10)-1)</f>
        <v/>
      </c>
      <c r="AE10" s="158" t="str">
        <f t="shared" si="2"/>
        <v/>
      </c>
      <c r="AF10" s="433" t="str">
        <f t="shared" si="5"/>
        <v/>
      </c>
      <c r="AG10" s="337" t="str">
        <f t="shared" si="6"/>
        <v/>
      </c>
    </row>
    <row r="11" spans="1:33" ht="16.8" hidden="1" x14ac:dyDescent="0.25">
      <c r="A11" s="177"/>
      <c r="B11" s="376">
        <v>5</v>
      </c>
      <c r="C11" s="156" t="str">
        <f t="shared" si="3"/>
        <v/>
      </c>
      <c r="D11" s="156" t="str">
        <f t="shared" si="0"/>
        <v/>
      </c>
      <c r="E11" s="96" t="str">
        <f>IF('GREEN SHEET'!C11="","",'GREEN SHEET'!C11)</f>
        <v/>
      </c>
      <c r="F11" s="96" t="str">
        <f>IF('GREEN SHEET'!D11="","",'GREEN SHEET'!D11)</f>
        <v/>
      </c>
      <c r="G11" s="96" t="str">
        <f>IF('GREEN SHEET'!E11="","",'GREEN SHEET'!E11)</f>
        <v/>
      </c>
      <c r="H11" s="96" t="str">
        <f>IF('GREEN SHEET'!F11="","",'GREEN SHEET'!F11)</f>
        <v/>
      </c>
      <c r="I11" s="96" t="str">
        <f>IF('GREEN SHEET'!G11="","",'GREEN SHEET'!G11)</f>
        <v/>
      </c>
      <c r="J11" s="96" t="str">
        <f>IF('GREEN SHEET'!H11="","",'GREEN SHEET'!H11)</f>
        <v/>
      </c>
      <c r="K11" s="96" t="str">
        <f>IF('GREEN SHEET'!I11="","",'GREEN SHEET'!I11)</f>
        <v/>
      </c>
      <c r="L11" s="96" t="str">
        <f>IF('GREEN SHEET'!J11="","",'GREEN SHEET'!J11)</f>
        <v/>
      </c>
      <c r="M11" s="96" t="str">
        <f>IF('GREEN SHEET'!K11="","",'GREEN SHEET'!K11)</f>
        <v/>
      </c>
      <c r="N11" s="149" t="str">
        <f>IF('GREEN SHEET'!AA11="","",'GREEN SHEET'!AA11)</f>
        <v/>
      </c>
      <c r="O11" s="149" t="str">
        <f>IF('GREEN SHEET'!AB11="","",'GREEN SHEET'!AB11)</f>
        <v/>
      </c>
      <c r="P11" s="150" t="str">
        <f>IF('GREEN SHEET'!AW11="","",'GREEN SHEET'!AW11)</f>
        <v/>
      </c>
      <c r="Q11" s="150" t="str">
        <f>IF('GREEN SHEET'!AX11="","",'GREEN SHEET'!AX11)</f>
        <v/>
      </c>
      <c r="R11" s="149" t="str">
        <f>IF('GREEN SHEET'!BR11="","",'GREEN SHEET'!BR11)</f>
        <v/>
      </c>
      <c r="S11" s="149" t="str">
        <f>IF('GREEN SHEET'!BS11="","",'GREEN SHEET'!BS11)</f>
        <v/>
      </c>
      <c r="T11" s="150" t="str">
        <f>IF('GREEN SHEET'!CM11="","",'GREEN SHEET'!CM11)</f>
        <v/>
      </c>
      <c r="U11" s="150" t="str">
        <f>IF('GREEN SHEET'!CN11="","",'GREEN SHEET'!CN11)</f>
        <v/>
      </c>
      <c r="V11" s="152" t="str">
        <f>IF('GREEN SHEET'!DH11="","",'GREEN SHEET'!DH11)</f>
        <v/>
      </c>
      <c r="W11" s="152" t="str">
        <f>IF('GREEN SHEET'!DI11="","",'GREEN SHEET'!DI11)</f>
        <v/>
      </c>
      <c r="X11" s="150" t="str">
        <f>IF('GREEN SHEET'!DR11="","",'GREEN SHEET'!DR11)</f>
        <v/>
      </c>
      <c r="Y11" s="150" t="str">
        <f>IF('GREEN SHEET'!DS11="","",'GREEN SHEET'!DS11)</f>
        <v/>
      </c>
      <c r="Z11" s="153" t="str">
        <f>IF('GREEN SHEET'!FK11="PASS",'GREEN SHEET'!FP11,'GREEN SHEET'!FQ11)</f>
        <v/>
      </c>
      <c r="AA11" s="154" t="str">
        <f t="shared" si="1"/>
        <v/>
      </c>
      <c r="AB11" s="171" t="str">
        <f t="shared" si="4"/>
        <v/>
      </c>
      <c r="AC11" s="153" t="str">
        <f>IF('GREEN SHEET'!FU11="","",'GREEN SHEET'!FU11)</f>
        <v/>
      </c>
      <c r="AD11" s="158" t="str">
        <f>IF(Z11="","",RANK(Z11,Z$7:$Z$51,0)+COUNTIF($Z$7:Z11,Z11)-1)</f>
        <v/>
      </c>
      <c r="AE11" s="158" t="str">
        <f t="shared" si="2"/>
        <v/>
      </c>
      <c r="AF11" s="433" t="str">
        <f t="shared" si="5"/>
        <v/>
      </c>
      <c r="AG11" s="337" t="str">
        <f t="shared" si="6"/>
        <v/>
      </c>
    </row>
    <row r="12" spans="1:33" ht="16.8" hidden="1" x14ac:dyDescent="0.25">
      <c r="A12" s="177"/>
      <c r="B12" s="376">
        <v>6</v>
      </c>
      <c r="C12" s="156" t="str">
        <f t="shared" si="3"/>
        <v/>
      </c>
      <c r="D12" s="156" t="str">
        <f t="shared" si="0"/>
        <v/>
      </c>
      <c r="E12" s="96" t="str">
        <f>IF('GREEN SHEET'!C12="","",'GREEN SHEET'!C12)</f>
        <v/>
      </c>
      <c r="F12" s="96" t="str">
        <f>IF('GREEN SHEET'!D12="","",'GREEN SHEET'!D12)</f>
        <v/>
      </c>
      <c r="G12" s="96" t="str">
        <f>IF('GREEN SHEET'!E12="","",'GREEN SHEET'!E12)</f>
        <v/>
      </c>
      <c r="H12" s="96" t="str">
        <f>IF('GREEN SHEET'!F12="","",'GREEN SHEET'!F12)</f>
        <v/>
      </c>
      <c r="I12" s="96" t="str">
        <f>IF('GREEN SHEET'!G12="","",'GREEN SHEET'!G12)</f>
        <v/>
      </c>
      <c r="J12" s="96" t="str">
        <f>IF('GREEN SHEET'!H12="","",'GREEN SHEET'!H12)</f>
        <v/>
      </c>
      <c r="K12" s="96" t="str">
        <f>IF('GREEN SHEET'!I12="","",'GREEN SHEET'!I12)</f>
        <v/>
      </c>
      <c r="L12" s="96" t="str">
        <f>IF('GREEN SHEET'!J12="","",'GREEN SHEET'!J12)</f>
        <v/>
      </c>
      <c r="M12" s="96" t="str">
        <f>IF('GREEN SHEET'!K12="","",'GREEN SHEET'!K12)</f>
        <v/>
      </c>
      <c r="N12" s="149" t="str">
        <f>IF('GREEN SHEET'!AA12="","",'GREEN SHEET'!AA12)</f>
        <v/>
      </c>
      <c r="O12" s="149" t="str">
        <f>IF('GREEN SHEET'!AB12="","",'GREEN SHEET'!AB12)</f>
        <v/>
      </c>
      <c r="P12" s="150" t="str">
        <f>IF('GREEN SHEET'!AW12="","",'GREEN SHEET'!AW12)</f>
        <v/>
      </c>
      <c r="Q12" s="150" t="str">
        <f>IF('GREEN SHEET'!AX12="","",'GREEN SHEET'!AX12)</f>
        <v/>
      </c>
      <c r="R12" s="149" t="str">
        <f>IF('GREEN SHEET'!BR12="","",'GREEN SHEET'!BR12)</f>
        <v/>
      </c>
      <c r="S12" s="149" t="str">
        <f>IF('GREEN SHEET'!BS12="","",'GREEN SHEET'!BS12)</f>
        <v/>
      </c>
      <c r="T12" s="150" t="str">
        <f>IF('GREEN SHEET'!CM12="","",'GREEN SHEET'!CM12)</f>
        <v/>
      </c>
      <c r="U12" s="150" t="str">
        <f>IF('GREEN SHEET'!CN12="","",'GREEN SHEET'!CN12)</f>
        <v/>
      </c>
      <c r="V12" s="152" t="str">
        <f>IF('GREEN SHEET'!DH12="","",'GREEN SHEET'!DH12)</f>
        <v/>
      </c>
      <c r="W12" s="152" t="str">
        <f>IF('GREEN SHEET'!DI12="","",'GREEN SHEET'!DI12)</f>
        <v/>
      </c>
      <c r="X12" s="150" t="str">
        <f>IF('GREEN SHEET'!DR12="","",'GREEN SHEET'!DR12)</f>
        <v/>
      </c>
      <c r="Y12" s="150" t="str">
        <f>IF('GREEN SHEET'!DS12="","",'GREEN SHEET'!DS12)</f>
        <v/>
      </c>
      <c r="Z12" s="153" t="str">
        <f>IF('GREEN SHEET'!FK12="PASS",'GREEN SHEET'!FP12,'GREEN SHEET'!FQ12)</f>
        <v/>
      </c>
      <c r="AA12" s="154" t="str">
        <f t="shared" si="1"/>
        <v/>
      </c>
      <c r="AB12" s="171" t="str">
        <f t="shared" si="4"/>
        <v/>
      </c>
      <c r="AC12" s="153" t="str">
        <f>IF('GREEN SHEET'!FU12="","",'GREEN SHEET'!FU12)</f>
        <v/>
      </c>
      <c r="AD12" s="158" t="str">
        <f>IF(Z12="","",RANK(Z12,Z$7:$Z$51,0)+COUNTIF($Z$7:Z12,Z12)-1)</f>
        <v/>
      </c>
      <c r="AE12" s="158" t="str">
        <f t="shared" si="2"/>
        <v/>
      </c>
      <c r="AF12" s="433" t="str">
        <f t="shared" si="5"/>
        <v/>
      </c>
      <c r="AG12" s="337" t="str">
        <f t="shared" si="6"/>
        <v/>
      </c>
    </row>
    <row r="13" spans="1:33" ht="16.8" hidden="1" x14ac:dyDescent="0.25">
      <c r="A13" s="177"/>
      <c r="B13" s="376">
        <v>7</v>
      </c>
      <c r="C13" s="156" t="str">
        <f t="shared" si="3"/>
        <v/>
      </c>
      <c r="D13" s="156" t="str">
        <f t="shared" si="0"/>
        <v/>
      </c>
      <c r="E13" s="96" t="str">
        <f>IF('GREEN SHEET'!C13="","",'GREEN SHEET'!C13)</f>
        <v/>
      </c>
      <c r="F13" s="96" t="str">
        <f>IF('GREEN SHEET'!D13="","",'GREEN SHEET'!D13)</f>
        <v/>
      </c>
      <c r="G13" s="96" t="str">
        <f>IF('GREEN SHEET'!E13="","",'GREEN SHEET'!E13)</f>
        <v/>
      </c>
      <c r="H13" s="96" t="str">
        <f>IF('GREEN SHEET'!F13="","",'GREEN SHEET'!F13)</f>
        <v/>
      </c>
      <c r="I13" s="96" t="str">
        <f>IF('GREEN SHEET'!G13="","",'GREEN SHEET'!G13)</f>
        <v/>
      </c>
      <c r="J13" s="96" t="str">
        <f>IF('GREEN SHEET'!H13="","",'GREEN SHEET'!H13)</f>
        <v/>
      </c>
      <c r="K13" s="96" t="str">
        <f>IF('GREEN SHEET'!I13="","",'GREEN SHEET'!I13)</f>
        <v/>
      </c>
      <c r="L13" s="96" t="str">
        <f>IF('GREEN SHEET'!J13="","",'GREEN SHEET'!J13)</f>
        <v/>
      </c>
      <c r="M13" s="96" t="str">
        <f>IF('GREEN SHEET'!K13="","",'GREEN SHEET'!K13)</f>
        <v/>
      </c>
      <c r="N13" s="149" t="str">
        <f>IF('GREEN SHEET'!AA13="","",'GREEN SHEET'!AA13)</f>
        <v/>
      </c>
      <c r="O13" s="149" t="str">
        <f>IF('GREEN SHEET'!AB13="","",'GREEN SHEET'!AB13)</f>
        <v/>
      </c>
      <c r="P13" s="150" t="str">
        <f>IF('GREEN SHEET'!AW13="","",'GREEN SHEET'!AW13)</f>
        <v/>
      </c>
      <c r="Q13" s="150" t="str">
        <f>IF('GREEN SHEET'!AX13="","",'GREEN SHEET'!AX13)</f>
        <v/>
      </c>
      <c r="R13" s="149" t="str">
        <f>IF('GREEN SHEET'!BR13="","",'GREEN SHEET'!BR13)</f>
        <v/>
      </c>
      <c r="S13" s="149" t="str">
        <f>IF('GREEN SHEET'!BS13="","",'GREEN SHEET'!BS13)</f>
        <v/>
      </c>
      <c r="T13" s="150" t="str">
        <f>IF('GREEN SHEET'!CM13="","",'GREEN SHEET'!CM13)</f>
        <v/>
      </c>
      <c r="U13" s="150" t="str">
        <f>IF('GREEN SHEET'!CN13="","",'GREEN SHEET'!CN13)</f>
        <v/>
      </c>
      <c r="V13" s="152" t="str">
        <f>IF('GREEN SHEET'!DH13="","",'GREEN SHEET'!DH13)</f>
        <v/>
      </c>
      <c r="W13" s="152" t="str">
        <f>IF('GREEN SHEET'!DI13="","",'GREEN SHEET'!DI13)</f>
        <v/>
      </c>
      <c r="X13" s="150" t="str">
        <f>IF('GREEN SHEET'!DR13="","",'GREEN SHEET'!DR13)</f>
        <v/>
      </c>
      <c r="Y13" s="150" t="str">
        <f>IF('GREEN SHEET'!DS13="","",'GREEN SHEET'!DS13)</f>
        <v/>
      </c>
      <c r="Z13" s="153" t="str">
        <f>IF('GREEN SHEET'!FK13="PASS",'GREEN SHEET'!FP13,'GREEN SHEET'!FQ13)</f>
        <v/>
      </c>
      <c r="AA13" s="154" t="str">
        <f t="shared" si="1"/>
        <v/>
      </c>
      <c r="AB13" s="171" t="str">
        <f t="shared" si="4"/>
        <v/>
      </c>
      <c r="AC13" s="153" t="str">
        <f>IF('GREEN SHEET'!FU13="","",'GREEN SHEET'!FU13)</f>
        <v/>
      </c>
      <c r="AD13" s="158" t="str">
        <f>IF(Z13="","",RANK(Z13,Z$7:$Z$51,0)+COUNTIF($Z$7:Z13,Z13)-1)</f>
        <v/>
      </c>
      <c r="AE13" s="158" t="str">
        <f t="shared" si="2"/>
        <v/>
      </c>
      <c r="AF13" s="433" t="str">
        <f t="shared" si="5"/>
        <v/>
      </c>
      <c r="AG13" s="337" t="str">
        <f t="shared" si="6"/>
        <v/>
      </c>
    </row>
    <row r="14" spans="1:33" ht="16.8" hidden="1" x14ac:dyDescent="0.25">
      <c r="A14" s="177"/>
      <c r="B14" s="376">
        <v>8</v>
      </c>
      <c r="C14" s="156" t="str">
        <f t="shared" si="3"/>
        <v/>
      </c>
      <c r="D14" s="156" t="str">
        <f t="shared" si="0"/>
        <v/>
      </c>
      <c r="E14" s="96" t="str">
        <f>IF('GREEN SHEET'!C14="","",'GREEN SHEET'!C14)</f>
        <v/>
      </c>
      <c r="F14" s="96" t="str">
        <f>IF('GREEN SHEET'!D14="","",'GREEN SHEET'!D14)</f>
        <v/>
      </c>
      <c r="G14" s="96" t="str">
        <f>IF('GREEN SHEET'!E14="","",'GREEN SHEET'!E14)</f>
        <v/>
      </c>
      <c r="H14" s="96" t="str">
        <f>IF('GREEN SHEET'!F14="","",'GREEN SHEET'!F14)</f>
        <v/>
      </c>
      <c r="I14" s="96" t="str">
        <f>IF('GREEN SHEET'!G14="","",'GREEN SHEET'!G14)</f>
        <v/>
      </c>
      <c r="J14" s="96" t="str">
        <f>IF('GREEN SHEET'!H14="","",'GREEN SHEET'!H14)</f>
        <v/>
      </c>
      <c r="K14" s="96" t="str">
        <f>IF('GREEN SHEET'!I14="","",'GREEN SHEET'!I14)</f>
        <v/>
      </c>
      <c r="L14" s="96" t="str">
        <f>IF('GREEN SHEET'!J14="","",'GREEN SHEET'!J14)</f>
        <v/>
      </c>
      <c r="M14" s="96" t="str">
        <f>IF('GREEN SHEET'!K14="","",'GREEN SHEET'!K14)</f>
        <v/>
      </c>
      <c r="N14" s="149" t="str">
        <f>IF('GREEN SHEET'!AA14="","",'GREEN SHEET'!AA14)</f>
        <v/>
      </c>
      <c r="O14" s="149" t="str">
        <f>IF('GREEN SHEET'!AB14="","",'GREEN SHEET'!AB14)</f>
        <v/>
      </c>
      <c r="P14" s="150" t="str">
        <f>IF('GREEN SHEET'!AW14="","",'GREEN SHEET'!AW14)</f>
        <v/>
      </c>
      <c r="Q14" s="150" t="str">
        <f>IF('GREEN SHEET'!AX14="","",'GREEN SHEET'!AX14)</f>
        <v/>
      </c>
      <c r="R14" s="149" t="str">
        <f>IF('GREEN SHEET'!BR14="","",'GREEN SHEET'!BR14)</f>
        <v/>
      </c>
      <c r="S14" s="149" t="str">
        <f>IF('GREEN SHEET'!BS14="","",'GREEN SHEET'!BS14)</f>
        <v/>
      </c>
      <c r="T14" s="150" t="str">
        <f>IF('GREEN SHEET'!CM14="","",'GREEN SHEET'!CM14)</f>
        <v/>
      </c>
      <c r="U14" s="150" t="str">
        <f>IF('GREEN SHEET'!CN14="","",'GREEN SHEET'!CN14)</f>
        <v/>
      </c>
      <c r="V14" s="152" t="str">
        <f>IF('GREEN SHEET'!DH14="","",'GREEN SHEET'!DH14)</f>
        <v/>
      </c>
      <c r="W14" s="152" t="str">
        <f>IF('GREEN SHEET'!DI14="","",'GREEN SHEET'!DI14)</f>
        <v/>
      </c>
      <c r="X14" s="150" t="str">
        <f>IF('GREEN SHEET'!DR14="","",'GREEN SHEET'!DR14)</f>
        <v/>
      </c>
      <c r="Y14" s="150" t="str">
        <f>IF('GREEN SHEET'!DS14="","",'GREEN SHEET'!DS14)</f>
        <v/>
      </c>
      <c r="Z14" s="153" t="str">
        <f>IF('GREEN SHEET'!FK14="PASS",'GREEN SHEET'!FP14,'GREEN SHEET'!FQ14)</f>
        <v/>
      </c>
      <c r="AA14" s="154" t="str">
        <f t="shared" si="1"/>
        <v/>
      </c>
      <c r="AB14" s="171" t="str">
        <f t="shared" si="4"/>
        <v/>
      </c>
      <c r="AC14" s="153" t="str">
        <f>IF('GREEN SHEET'!FU14="","",'GREEN SHEET'!FU14)</f>
        <v/>
      </c>
      <c r="AD14" s="158" t="str">
        <f>IF(Z14="","",RANK(Z14,Z$7:$Z$51,0)+COUNTIF($Z$7:Z14,Z14)-1)</f>
        <v/>
      </c>
      <c r="AE14" s="158" t="str">
        <f t="shared" si="2"/>
        <v/>
      </c>
      <c r="AF14" s="433" t="str">
        <f t="shared" si="5"/>
        <v/>
      </c>
      <c r="AG14" s="337" t="str">
        <f t="shared" si="6"/>
        <v/>
      </c>
    </row>
    <row r="15" spans="1:33" ht="16.8" hidden="1" x14ac:dyDescent="0.25">
      <c r="A15" s="177"/>
      <c r="B15" s="376">
        <v>9</v>
      </c>
      <c r="C15" s="156" t="str">
        <f t="shared" si="3"/>
        <v/>
      </c>
      <c r="D15" s="156" t="str">
        <f t="shared" si="0"/>
        <v/>
      </c>
      <c r="E15" s="96" t="str">
        <f>IF('GREEN SHEET'!C15="","",'GREEN SHEET'!C15)</f>
        <v/>
      </c>
      <c r="F15" s="96" t="str">
        <f>IF('GREEN SHEET'!D15="","",'GREEN SHEET'!D15)</f>
        <v/>
      </c>
      <c r="G15" s="96" t="str">
        <f>IF('GREEN SHEET'!E15="","",'GREEN SHEET'!E15)</f>
        <v/>
      </c>
      <c r="H15" s="96" t="str">
        <f>IF('GREEN SHEET'!F15="","",'GREEN SHEET'!F15)</f>
        <v/>
      </c>
      <c r="I15" s="96" t="str">
        <f>IF('GREEN SHEET'!G15="","",'GREEN SHEET'!G15)</f>
        <v/>
      </c>
      <c r="J15" s="96" t="str">
        <f>IF('GREEN SHEET'!H15="","",'GREEN SHEET'!H15)</f>
        <v/>
      </c>
      <c r="K15" s="96" t="str">
        <f>IF('GREEN SHEET'!I15="","",'GREEN SHEET'!I15)</f>
        <v/>
      </c>
      <c r="L15" s="96" t="str">
        <f>IF('GREEN SHEET'!J15="","",'GREEN SHEET'!J15)</f>
        <v/>
      </c>
      <c r="M15" s="96" t="str">
        <f>IF('GREEN SHEET'!K15="","",'GREEN SHEET'!K15)</f>
        <v/>
      </c>
      <c r="N15" s="149" t="str">
        <f>IF('GREEN SHEET'!AA15="","",'GREEN SHEET'!AA15)</f>
        <v/>
      </c>
      <c r="O15" s="149" t="str">
        <f>IF('GREEN SHEET'!AB15="","",'GREEN SHEET'!AB15)</f>
        <v/>
      </c>
      <c r="P15" s="150" t="str">
        <f>IF('GREEN SHEET'!AW15="","",'GREEN SHEET'!AW15)</f>
        <v/>
      </c>
      <c r="Q15" s="150" t="str">
        <f>IF('GREEN SHEET'!AX15="","",'GREEN SHEET'!AX15)</f>
        <v/>
      </c>
      <c r="R15" s="149" t="str">
        <f>IF('GREEN SHEET'!BR15="","",'GREEN SHEET'!BR15)</f>
        <v/>
      </c>
      <c r="S15" s="149" t="str">
        <f>IF('GREEN SHEET'!BS15="","",'GREEN SHEET'!BS15)</f>
        <v/>
      </c>
      <c r="T15" s="150" t="str">
        <f>IF('GREEN SHEET'!CM15="","",'GREEN SHEET'!CM15)</f>
        <v/>
      </c>
      <c r="U15" s="150" t="str">
        <f>IF('GREEN SHEET'!CN15="","",'GREEN SHEET'!CN15)</f>
        <v/>
      </c>
      <c r="V15" s="152" t="str">
        <f>IF('GREEN SHEET'!DH15="","",'GREEN SHEET'!DH15)</f>
        <v/>
      </c>
      <c r="W15" s="152" t="str">
        <f>IF('GREEN SHEET'!DI15="","",'GREEN SHEET'!DI15)</f>
        <v/>
      </c>
      <c r="X15" s="150" t="str">
        <f>IF('GREEN SHEET'!DR15="","",'GREEN SHEET'!DR15)</f>
        <v/>
      </c>
      <c r="Y15" s="150" t="str">
        <f>IF('GREEN SHEET'!DS15="","",'GREEN SHEET'!DS15)</f>
        <v/>
      </c>
      <c r="Z15" s="153" t="str">
        <f>IF('GREEN SHEET'!FK15="PASS",'GREEN SHEET'!FP15,'GREEN SHEET'!FQ15)</f>
        <v/>
      </c>
      <c r="AA15" s="154" t="str">
        <f t="shared" si="1"/>
        <v/>
      </c>
      <c r="AB15" s="171" t="str">
        <f t="shared" si="4"/>
        <v/>
      </c>
      <c r="AC15" s="153" t="str">
        <f>IF('GREEN SHEET'!FU15="","",'GREEN SHEET'!FU15)</f>
        <v/>
      </c>
      <c r="AD15" s="158" t="str">
        <f>IF(Z15="","",RANK(Z15,Z$7:$Z$51,0)+COUNTIF($Z$7:Z15,Z15)-1)</f>
        <v/>
      </c>
      <c r="AE15" s="158" t="str">
        <f t="shared" si="2"/>
        <v/>
      </c>
      <c r="AF15" s="433" t="str">
        <f t="shared" si="5"/>
        <v/>
      </c>
      <c r="AG15" s="337" t="str">
        <f t="shared" si="6"/>
        <v/>
      </c>
    </row>
    <row r="16" spans="1:33" ht="16.8" hidden="1" x14ac:dyDescent="0.25">
      <c r="A16" s="177"/>
      <c r="B16" s="376">
        <v>10</v>
      </c>
      <c r="C16" s="156" t="str">
        <f t="shared" si="3"/>
        <v/>
      </c>
      <c r="D16" s="156" t="str">
        <f t="shared" si="0"/>
        <v/>
      </c>
      <c r="E16" s="96" t="str">
        <f>IF('GREEN SHEET'!C16="","",'GREEN SHEET'!C16)</f>
        <v/>
      </c>
      <c r="F16" s="96" t="str">
        <f>IF('GREEN SHEET'!D16="","",'GREEN SHEET'!D16)</f>
        <v/>
      </c>
      <c r="G16" s="96" t="str">
        <f>IF('GREEN SHEET'!E16="","",'GREEN SHEET'!E16)</f>
        <v/>
      </c>
      <c r="H16" s="96" t="str">
        <f>IF('GREEN SHEET'!F16="","",'GREEN SHEET'!F16)</f>
        <v/>
      </c>
      <c r="I16" s="96" t="str">
        <f>IF('GREEN SHEET'!G16="","",'GREEN SHEET'!G16)</f>
        <v/>
      </c>
      <c r="J16" s="96" t="str">
        <f>IF('GREEN SHEET'!H16="","",'GREEN SHEET'!H16)</f>
        <v/>
      </c>
      <c r="K16" s="96" t="str">
        <f>IF('GREEN SHEET'!I16="","",'GREEN SHEET'!I16)</f>
        <v/>
      </c>
      <c r="L16" s="96" t="str">
        <f>IF('GREEN SHEET'!J16="","",'GREEN SHEET'!J16)</f>
        <v/>
      </c>
      <c r="M16" s="96" t="str">
        <f>IF('GREEN SHEET'!K16="","",'GREEN SHEET'!K16)</f>
        <v/>
      </c>
      <c r="N16" s="149" t="str">
        <f>IF('GREEN SHEET'!AA16="","",'GREEN SHEET'!AA16)</f>
        <v/>
      </c>
      <c r="O16" s="149" t="str">
        <f>IF('GREEN SHEET'!AB16="","",'GREEN SHEET'!AB16)</f>
        <v/>
      </c>
      <c r="P16" s="150" t="str">
        <f>IF('GREEN SHEET'!AW16="","",'GREEN SHEET'!AW16)</f>
        <v/>
      </c>
      <c r="Q16" s="150" t="str">
        <f>IF('GREEN SHEET'!AX16="","",'GREEN SHEET'!AX16)</f>
        <v/>
      </c>
      <c r="R16" s="149" t="str">
        <f>IF('GREEN SHEET'!BR16="","",'GREEN SHEET'!BR16)</f>
        <v/>
      </c>
      <c r="S16" s="149" t="str">
        <f>IF('GREEN SHEET'!BS16="","",'GREEN SHEET'!BS16)</f>
        <v/>
      </c>
      <c r="T16" s="150" t="str">
        <f>IF('GREEN SHEET'!CM16="","",'GREEN SHEET'!CM16)</f>
        <v/>
      </c>
      <c r="U16" s="150" t="str">
        <f>IF('GREEN SHEET'!CN16="","",'GREEN SHEET'!CN16)</f>
        <v/>
      </c>
      <c r="V16" s="152" t="str">
        <f>IF('GREEN SHEET'!DH16="","",'GREEN SHEET'!DH16)</f>
        <v/>
      </c>
      <c r="W16" s="152" t="str">
        <f>IF('GREEN SHEET'!DI16="","",'GREEN SHEET'!DI16)</f>
        <v/>
      </c>
      <c r="X16" s="150" t="str">
        <f>IF('GREEN SHEET'!DR16="","",'GREEN SHEET'!DR16)</f>
        <v/>
      </c>
      <c r="Y16" s="150" t="str">
        <f>IF('GREEN SHEET'!DS16="","",'GREEN SHEET'!DS16)</f>
        <v/>
      </c>
      <c r="Z16" s="153" t="str">
        <f>IF('GREEN SHEET'!FK16="PASS",'GREEN SHEET'!FP16,'GREEN SHEET'!FQ16)</f>
        <v/>
      </c>
      <c r="AA16" s="154" t="str">
        <f t="shared" si="1"/>
        <v/>
      </c>
      <c r="AB16" s="171" t="str">
        <f t="shared" si="4"/>
        <v/>
      </c>
      <c r="AC16" s="153" t="str">
        <f>IF('GREEN SHEET'!FU16="","",'GREEN SHEET'!FU16)</f>
        <v/>
      </c>
      <c r="AD16" s="158" t="str">
        <f>IF(Z16="","",RANK(Z16,Z$7:$Z$51,0)+COUNTIF($Z$7:Z16,Z16)-1)</f>
        <v/>
      </c>
      <c r="AE16" s="158" t="str">
        <f t="shared" si="2"/>
        <v/>
      </c>
      <c r="AF16" s="433" t="str">
        <f t="shared" si="5"/>
        <v/>
      </c>
      <c r="AG16" s="337" t="str">
        <f t="shared" si="6"/>
        <v/>
      </c>
    </row>
    <row r="17" spans="1:33" ht="16.8" hidden="1" x14ac:dyDescent="0.25">
      <c r="A17" s="177"/>
      <c r="B17" s="376">
        <v>11</v>
      </c>
      <c r="C17" s="156" t="str">
        <f t="shared" si="3"/>
        <v/>
      </c>
      <c r="D17" s="156" t="str">
        <f t="shared" si="0"/>
        <v/>
      </c>
      <c r="E17" s="96" t="str">
        <f>IF('GREEN SHEET'!C17="","",'GREEN SHEET'!C17)</f>
        <v/>
      </c>
      <c r="F17" s="96" t="str">
        <f>IF('GREEN SHEET'!D17="","",'GREEN SHEET'!D17)</f>
        <v/>
      </c>
      <c r="G17" s="96" t="str">
        <f>IF('GREEN SHEET'!E17="","",'GREEN SHEET'!E17)</f>
        <v/>
      </c>
      <c r="H17" s="96" t="str">
        <f>IF('GREEN SHEET'!F17="","",'GREEN SHEET'!F17)</f>
        <v/>
      </c>
      <c r="I17" s="96" t="str">
        <f>IF('GREEN SHEET'!G17="","",'GREEN SHEET'!G17)</f>
        <v/>
      </c>
      <c r="J17" s="96" t="str">
        <f>IF('GREEN SHEET'!H17="","",'GREEN SHEET'!H17)</f>
        <v/>
      </c>
      <c r="K17" s="96" t="str">
        <f>IF('GREEN SHEET'!I17="","",'GREEN SHEET'!I17)</f>
        <v/>
      </c>
      <c r="L17" s="96" t="str">
        <f>IF('GREEN SHEET'!J17="","",'GREEN SHEET'!J17)</f>
        <v/>
      </c>
      <c r="M17" s="96" t="str">
        <f>IF('GREEN SHEET'!K17="","",'GREEN SHEET'!K17)</f>
        <v/>
      </c>
      <c r="N17" s="149" t="str">
        <f>IF('GREEN SHEET'!AA17="","",'GREEN SHEET'!AA17)</f>
        <v/>
      </c>
      <c r="O17" s="149" t="str">
        <f>IF('GREEN SHEET'!AB17="","",'GREEN SHEET'!AB17)</f>
        <v/>
      </c>
      <c r="P17" s="150" t="str">
        <f>IF('GREEN SHEET'!AW17="","",'GREEN SHEET'!AW17)</f>
        <v/>
      </c>
      <c r="Q17" s="150" t="str">
        <f>IF('GREEN SHEET'!AX17="","",'GREEN SHEET'!AX17)</f>
        <v/>
      </c>
      <c r="R17" s="149" t="str">
        <f>IF('GREEN SHEET'!BR17="","",'GREEN SHEET'!BR17)</f>
        <v/>
      </c>
      <c r="S17" s="149" t="str">
        <f>IF('GREEN SHEET'!BS17="","",'GREEN SHEET'!BS17)</f>
        <v/>
      </c>
      <c r="T17" s="150" t="str">
        <f>IF('GREEN SHEET'!CM17="","",'GREEN SHEET'!CM17)</f>
        <v/>
      </c>
      <c r="U17" s="150" t="str">
        <f>IF('GREEN SHEET'!CN17="","",'GREEN SHEET'!CN17)</f>
        <v/>
      </c>
      <c r="V17" s="152" t="str">
        <f>IF('GREEN SHEET'!DH17="","",'GREEN SHEET'!DH17)</f>
        <v/>
      </c>
      <c r="W17" s="152" t="str">
        <f>IF('GREEN SHEET'!DI17="","",'GREEN SHEET'!DI17)</f>
        <v/>
      </c>
      <c r="X17" s="150" t="str">
        <f>IF('GREEN SHEET'!DR17="","",'GREEN SHEET'!DR17)</f>
        <v/>
      </c>
      <c r="Y17" s="150" t="str">
        <f>IF('GREEN SHEET'!DS17="","",'GREEN SHEET'!DS17)</f>
        <v/>
      </c>
      <c r="Z17" s="153" t="str">
        <f>IF('GREEN SHEET'!FK17="PASS",'GREEN SHEET'!FP17,'GREEN SHEET'!FQ17)</f>
        <v/>
      </c>
      <c r="AA17" s="154" t="str">
        <f t="shared" si="1"/>
        <v/>
      </c>
      <c r="AB17" s="171" t="str">
        <f t="shared" si="4"/>
        <v/>
      </c>
      <c r="AC17" s="153" t="str">
        <f>IF('GREEN SHEET'!FU17="","",'GREEN SHEET'!FU17)</f>
        <v/>
      </c>
      <c r="AD17" s="158" t="str">
        <f>IF(Z17="","",RANK(Z17,Z$7:$Z$51,0)+COUNTIF($Z$7:Z17,Z17)-1)</f>
        <v/>
      </c>
      <c r="AE17" s="158" t="str">
        <f t="shared" si="2"/>
        <v/>
      </c>
      <c r="AF17" s="433" t="str">
        <f t="shared" si="5"/>
        <v/>
      </c>
      <c r="AG17" s="337" t="str">
        <f t="shared" si="6"/>
        <v/>
      </c>
    </row>
    <row r="18" spans="1:33" ht="16.8" hidden="1" x14ac:dyDescent="0.25">
      <c r="A18" s="177"/>
      <c r="B18" s="376">
        <v>12</v>
      </c>
      <c r="C18" s="156" t="str">
        <f t="shared" si="3"/>
        <v/>
      </c>
      <c r="D18" s="156" t="str">
        <f t="shared" si="0"/>
        <v/>
      </c>
      <c r="E18" s="96" t="str">
        <f>IF('GREEN SHEET'!C18="","",'GREEN SHEET'!C18)</f>
        <v/>
      </c>
      <c r="F18" s="96" t="str">
        <f>IF('GREEN SHEET'!D18="","",'GREEN SHEET'!D18)</f>
        <v/>
      </c>
      <c r="G18" s="96" t="str">
        <f>IF('GREEN SHEET'!E18="","",'GREEN SHEET'!E18)</f>
        <v/>
      </c>
      <c r="H18" s="96" t="str">
        <f>IF('GREEN SHEET'!F18="","",'GREEN SHEET'!F18)</f>
        <v/>
      </c>
      <c r="I18" s="96" t="str">
        <f>IF('GREEN SHEET'!G18="","",'GREEN SHEET'!G18)</f>
        <v/>
      </c>
      <c r="J18" s="96" t="str">
        <f>IF('GREEN SHEET'!H18="","",'GREEN SHEET'!H18)</f>
        <v/>
      </c>
      <c r="K18" s="96" t="str">
        <f>IF('GREEN SHEET'!I18="","",'GREEN SHEET'!I18)</f>
        <v/>
      </c>
      <c r="L18" s="96" t="str">
        <f>IF('GREEN SHEET'!J18="","",'GREEN SHEET'!J18)</f>
        <v/>
      </c>
      <c r="M18" s="96" t="str">
        <f>IF('GREEN SHEET'!K18="","",'GREEN SHEET'!K18)</f>
        <v/>
      </c>
      <c r="N18" s="149" t="str">
        <f>IF('GREEN SHEET'!AA18="","",'GREEN SHEET'!AA18)</f>
        <v/>
      </c>
      <c r="O18" s="149" t="str">
        <f>IF('GREEN SHEET'!AB18="","",'GREEN SHEET'!AB18)</f>
        <v/>
      </c>
      <c r="P18" s="150" t="str">
        <f>IF('GREEN SHEET'!AW18="","",'GREEN SHEET'!AW18)</f>
        <v/>
      </c>
      <c r="Q18" s="150" t="str">
        <f>IF('GREEN SHEET'!AX18="","",'GREEN SHEET'!AX18)</f>
        <v/>
      </c>
      <c r="R18" s="149" t="str">
        <f>IF('GREEN SHEET'!BR18="","",'GREEN SHEET'!BR18)</f>
        <v/>
      </c>
      <c r="S18" s="149" t="str">
        <f>IF('GREEN SHEET'!BS18="","",'GREEN SHEET'!BS18)</f>
        <v/>
      </c>
      <c r="T18" s="150" t="str">
        <f>IF('GREEN SHEET'!CM18="","",'GREEN SHEET'!CM18)</f>
        <v/>
      </c>
      <c r="U18" s="150" t="str">
        <f>IF('GREEN SHEET'!CN18="","",'GREEN SHEET'!CN18)</f>
        <v/>
      </c>
      <c r="V18" s="152" t="str">
        <f>IF('GREEN SHEET'!DH18="","",'GREEN SHEET'!DH18)</f>
        <v/>
      </c>
      <c r="W18" s="152" t="str">
        <f>IF('GREEN SHEET'!DI18="","",'GREEN SHEET'!DI18)</f>
        <v/>
      </c>
      <c r="X18" s="150" t="str">
        <f>IF('GREEN SHEET'!DR18="","",'GREEN SHEET'!DR18)</f>
        <v/>
      </c>
      <c r="Y18" s="150" t="str">
        <f>IF('GREEN SHEET'!DS18="","",'GREEN SHEET'!DS18)</f>
        <v/>
      </c>
      <c r="Z18" s="153" t="str">
        <f>IF('GREEN SHEET'!FK18="PASS",'GREEN SHEET'!FP18,'GREEN SHEET'!FQ18)</f>
        <v/>
      </c>
      <c r="AA18" s="154" t="str">
        <f t="shared" si="1"/>
        <v/>
      </c>
      <c r="AB18" s="171" t="str">
        <f t="shared" si="4"/>
        <v/>
      </c>
      <c r="AC18" s="153" t="str">
        <f>IF('GREEN SHEET'!FU18="","",'GREEN SHEET'!FU18)</f>
        <v/>
      </c>
      <c r="AD18" s="158" t="str">
        <f>IF(Z18="","",RANK(Z18,Z$7:$Z$51,0)+COUNTIF($Z$7:Z18,Z18)-1)</f>
        <v/>
      </c>
      <c r="AE18" s="158" t="str">
        <f t="shared" si="2"/>
        <v/>
      </c>
      <c r="AF18" s="433" t="str">
        <f t="shared" si="5"/>
        <v/>
      </c>
      <c r="AG18" s="337" t="str">
        <f t="shared" si="6"/>
        <v/>
      </c>
    </row>
    <row r="19" spans="1:33" ht="16.8" hidden="1" x14ac:dyDescent="0.25">
      <c r="A19" s="177"/>
      <c r="B19" s="376">
        <v>13</v>
      </c>
      <c r="C19" s="156" t="str">
        <f t="shared" si="3"/>
        <v/>
      </c>
      <c r="D19" s="156" t="str">
        <f t="shared" si="0"/>
        <v/>
      </c>
      <c r="E19" s="96" t="str">
        <f>IF('GREEN SHEET'!C19="","",'GREEN SHEET'!C19)</f>
        <v/>
      </c>
      <c r="F19" s="96" t="str">
        <f>IF('GREEN SHEET'!D19="","",'GREEN SHEET'!D19)</f>
        <v/>
      </c>
      <c r="G19" s="96" t="str">
        <f>IF('GREEN SHEET'!E19="","",'GREEN SHEET'!E19)</f>
        <v/>
      </c>
      <c r="H19" s="96" t="str">
        <f>IF('GREEN SHEET'!F19="","",'GREEN SHEET'!F19)</f>
        <v/>
      </c>
      <c r="I19" s="96" t="str">
        <f>IF('GREEN SHEET'!G19="","",'GREEN SHEET'!G19)</f>
        <v/>
      </c>
      <c r="J19" s="96" t="str">
        <f>IF('GREEN SHEET'!H19="","",'GREEN SHEET'!H19)</f>
        <v/>
      </c>
      <c r="K19" s="96" t="str">
        <f>IF('GREEN SHEET'!I19="","",'GREEN SHEET'!I19)</f>
        <v/>
      </c>
      <c r="L19" s="96" t="str">
        <f>IF('GREEN SHEET'!J19="","",'GREEN SHEET'!J19)</f>
        <v/>
      </c>
      <c r="M19" s="96" t="str">
        <f>IF('GREEN SHEET'!K19="","",'GREEN SHEET'!K19)</f>
        <v/>
      </c>
      <c r="N19" s="149" t="str">
        <f>IF('GREEN SHEET'!AA19="","",'GREEN SHEET'!AA19)</f>
        <v/>
      </c>
      <c r="O19" s="149" t="str">
        <f>IF('GREEN SHEET'!AB19="","",'GREEN SHEET'!AB19)</f>
        <v/>
      </c>
      <c r="P19" s="150" t="str">
        <f>IF('GREEN SHEET'!AW19="","",'GREEN SHEET'!AW19)</f>
        <v/>
      </c>
      <c r="Q19" s="150" t="str">
        <f>IF('GREEN SHEET'!AX19="","",'GREEN SHEET'!AX19)</f>
        <v/>
      </c>
      <c r="R19" s="149" t="str">
        <f>IF('GREEN SHEET'!BR19="","",'GREEN SHEET'!BR19)</f>
        <v/>
      </c>
      <c r="S19" s="149" t="str">
        <f>IF('GREEN SHEET'!BS19="","",'GREEN SHEET'!BS19)</f>
        <v/>
      </c>
      <c r="T19" s="150" t="str">
        <f>IF('GREEN SHEET'!CM19="","",'GREEN SHEET'!CM19)</f>
        <v/>
      </c>
      <c r="U19" s="150" t="str">
        <f>IF('GREEN SHEET'!CN19="","",'GREEN SHEET'!CN19)</f>
        <v/>
      </c>
      <c r="V19" s="152" t="str">
        <f>IF('GREEN SHEET'!DH19="","",'GREEN SHEET'!DH19)</f>
        <v/>
      </c>
      <c r="W19" s="152" t="str">
        <f>IF('GREEN SHEET'!DI19="","",'GREEN SHEET'!DI19)</f>
        <v/>
      </c>
      <c r="X19" s="150" t="str">
        <f>IF('GREEN SHEET'!DR19="","",'GREEN SHEET'!DR19)</f>
        <v/>
      </c>
      <c r="Y19" s="150" t="str">
        <f>IF('GREEN SHEET'!DS19="","",'GREEN SHEET'!DS19)</f>
        <v/>
      </c>
      <c r="Z19" s="153" t="str">
        <f>IF('GREEN SHEET'!FK19="PASS",'GREEN SHEET'!FP19,'GREEN SHEET'!FQ19)</f>
        <v/>
      </c>
      <c r="AA19" s="154" t="str">
        <f t="shared" si="1"/>
        <v/>
      </c>
      <c r="AB19" s="171" t="str">
        <f t="shared" si="4"/>
        <v/>
      </c>
      <c r="AC19" s="153" t="str">
        <f>IF('GREEN SHEET'!FU19="","",'GREEN SHEET'!FU19)</f>
        <v/>
      </c>
      <c r="AD19" s="158" t="str">
        <f>IF(Z19="","",RANK(Z19,Z$7:$Z$51,0)+COUNTIF($Z$7:Z19,Z19)-1)</f>
        <v/>
      </c>
      <c r="AE19" s="158" t="str">
        <f t="shared" si="2"/>
        <v/>
      </c>
      <c r="AF19" s="433" t="str">
        <f t="shared" si="5"/>
        <v/>
      </c>
      <c r="AG19" s="337" t="str">
        <f t="shared" si="6"/>
        <v/>
      </c>
    </row>
    <row r="20" spans="1:33" ht="16.8" hidden="1" x14ac:dyDescent="0.25">
      <c r="A20" s="177"/>
      <c r="B20" s="376">
        <v>14</v>
      </c>
      <c r="C20" s="156" t="str">
        <f t="shared" si="3"/>
        <v/>
      </c>
      <c r="D20" s="156" t="str">
        <f t="shared" si="0"/>
        <v/>
      </c>
      <c r="E20" s="96" t="str">
        <f>IF('GREEN SHEET'!C20="","",'GREEN SHEET'!C20)</f>
        <v/>
      </c>
      <c r="F20" s="96" t="str">
        <f>IF('GREEN SHEET'!D20="","",'GREEN SHEET'!D20)</f>
        <v/>
      </c>
      <c r="G20" s="96" t="str">
        <f>IF('GREEN SHEET'!E20="","",'GREEN SHEET'!E20)</f>
        <v/>
      </c>
      <c r="H20" s="96" t="str">
        <f>IF('GREEN SHEET'!F20="","",'GREEN SHEET'!F20)</f>
        <v/>
      </c>
      <c r="I20" s="96" t="str">
        <f>IF('GREEN SHEET'!G20="","",'GREEN SHEET'!G20)</f>
        <v/>
      </c>
      <c r="J20" s="96" t="str">
        <f>IF('GREEN SHEET'!H20="","",'GREEN SHEET'!H20)</f>
        <v/>
      </c>
      <c r="K20" s="96" t="str">
        <f>IF('GREEN SHEET'!I20="","",'GREEN SHEET'!I20)</f>
        <v/>
      </c>
      <c r="L20" s="96" t="str">
        <f>IF('GREEN SHEET'!J20="","",'GREEN SHEET'!J20)</f>
        <v/>
      </c>
      <c r="M20" s="96" t="str">
        <f>IF('GREEN SHEET'!K20="","",'GREEN SHEET'!K20)</f>
        <v/>
      </c>
      <c r="N20" s="149" t="str">
        <f>IF('GREEN SHEET'!AA20="","",'GREEN SHEET'!AA20)</f>
        <v/>
      </c>
      <c r="O20" s="149" t="str">
        <f>IF('GREEN SHEET'!AB20="","",'GREEN SHEET'!AB20)</f>
        <v/>
      </c>
      <c r="P20" s="150" t="str">
        <f>IF('GREEN SHEET'!AW20="","",'GREEN SHEET'!AW20)</f>
        <v/>
      </c>
      <c r="Q20" s="150" t="str">
        <f>IF('GREEN SHEET'!AX20="","",'GREEN SHEET'!AX20)</f>
        <v/>
      </c>
      <c r="R20" s="149" t="str">
        <f>IF('GREEN SHEET'!BR20="","",'GREEN SHEET'!BR20)</f>
        <v/>
      </c>
      <c r="S20" s="149" t="str">
        <f>IF('GREEN SHEET'!BS20="","",'GREEN SHEET'!BS20)</f>
        <v/>
      </c>
      <c r="T20" s="150" t="str">
        <f>IF('GREEN SHEET'!CM20="","",'GREEN SHEET'!CM20)</f>
        <v/>
      </c>
      <c r="U20" s="150" t="str">
        <f>IF('GREEN SHEET'!CN20="","",'GREEN SHEET'!CN20)</f>
        <v/>
      </c>
      <c r="V20" s="152" t="str">
        <f>IF('GREEN SHEET'!DH20="","",'GREEN SHEET'!DH20)</f>
        <v/>
      </c>
      <c r="W20" s="152" t="str">
        <f>IF('GREEN SHEET'!DI20="","",'GREEN SHEET'!DI20)</f>
        <v/>
      </c>
      <c r="X20" s="150" t="str">
        <f>IF('GREEN SHEET'!DR20="","",'GREEN SHEET'!DR20)</f>
        <v/>
      </c>
      <c r="Y20" s="150" t="str">
        <f>IF('GREEN SHEET'!DS20="","",'GREEN SHEET'!DS20)</f>
        <v/>
      </c>
      <c r="Z20" s="153" t="str">
        <f>IF('GREEN SHEET'!FK20="PASS",'GREEN SHEET'!FP20,'GREEN SHEET'!FQ20)</f>
        <v/>
      </c>
      <c r="AA20" s="154" t="str">
        <f t="shared" si="1"/>
        <v/>
      </c>
      <c r="AB20" s="171" t="str">
        <f t="shared" si="4"/>
        <v/>
      </c>
      <c r="AC20" s="153" t="str">
        <f>IF('GREEN SHEET'!FU20="","",'GREEN SHEET'!FU20)</f>
        <v/>
      </c>
      <c r="AD20" s="158" t="str">
        <f>IF(Z20="","",RANK(Z20,Z$7:$Z$51,0)+COUNTIF($Z$7:Z20,Z20)-1)</f>
        <v/>
      </c>
      <c r="AE20" s="158" t="str">
        <f t="shared" si="2"/>
        <v/>
      </c>
      <c r="AF20" s="433" t="str">
        <f t="shared" si="5"/>
        <v/>
      </c>
      <c r="AG20" s="337" t="str">
        <f t="shared" si="6"/>
        <v/>
      </c>
    </row>
    <row r="21" spans="1:33" ht="16.8" hidden="1" x14ac:dyDescent="0.25">
      <c r="A21" s="177"/>
      <c r="B21" s="376">
        <v>15</v>
      </c>
      <c r="C21" s="156" t="str">
        <f t="shared" si="3"/>
        <v/>
      </c>
      <c r="D21" s="156" t="str">
        <f t="shared" si="0"/>
        <v/>
      </c>
      <c r="E21" s="96" t="str">
        <f>IF('GREEN SHEET'!C21="","",'GREEN SHEET'!C21)</f>
        <v/>
      </c>
      <c r="F21" s="96" t="str">
        <f>IF('GREEN SHEET'!D21="","",'GREEN SHEET'!D21)</f>
        <v/>
      </c>
      <c r="G21" s="96" t="str">
        <f>IF('GREEN SHEET'!E21="","",'GREEN SHEET'!E21)</f>
        <v/>
      </c>
      <c r="H21" s="96" t="str">
        <f>IF('GREEN SHEET'!F21="","",'GREEN SHEET'!F21)</f>
        <v/>
      </c>
      <c r="I21" s="96" t="str">
        <f>IF('GREEN SHEET'!G21="","",'GREEN SHEET'!G21)</f>
        <v/>
      </c>
      <c r="J21" s="96" t="str">
        <f>IF('GREEN SHEET'!H21="","",'GREEN SHEET'!H21)</f>
        <v/>
      </c>
      <c r="K21" s="96" t="str">
        <f>IF('GREEN SHEET'!I21="","",'GREEN SHEET'!I21)</f>
        <v/>
      </c>
      <c r="L21" s="96" t="str">
        <f>IF('GREEN SHEET'!J21="","",'GREEN SHEET'!J21)</f>
        <v/>
      </c>
      <c r="M21" s="96" t="str">
        <f>IF('GREEN SHEET'!K21="","",'GREEN SHEET'!K21)</f>
        <v/>
      </c>
      <c r="N21" s="149" t="str">
        <f>IF('GREEN SHEET'!AA21="","",'GREEN SHEET'!AA21)</f>
        <v/>
      </c>
      <c r="O21" s="149" t="str">
        <f>IF('GREEN SHEET'!AB21="","",'GREEN SHEET'!AB21)</f>
        <v/>
      </c>
      <c r="P21" s="150" t="str">
        <f>IF('GREEN SHEET'!AW21="","",'GREEN SHEET'!AW21)</f>
        <v/>
      </c>
      <c r="Q21" s="150" t="str">
        <f>IF('GREEN SHEET'!AX21="","",'GREEN SHEET'!AX21)</f>
        <v/>
      </c>
      <c r="R21" s="149" t="str">
        <f>IF('GREEN SHEET'!BR21="","",'GREEN SHEET'!BR21)</f>
        <v/>
      </c>
      <c r="S21" s="149" t="str">
        <f>IF('GREEN SHEET'!BS21="","",'GREEN SHEET'!BS21)</f>
        <v/>
      </c>
      <c r="T21" s="150" t="str">
        <f>IF('GREEN SHEET'!CM21="","",'GREEN SHEET'!CM21)</f>
        <v/>
      </c>
      <c r="U21" s="150" t="str">
        <f>IF('GREEN SHEET'!CN21="","",'GREEN SHEET'!CN21)</f>
        <v/>
      </c>
      <c r="V21" s="152" t="str">
        <f>IF('GREEN SHEET'!DH21="","",'GREEN SHEET'!DH21)</f>
        <v/>
      </c>
      <c r="W21" s="152" t="str">
        <f>IF('GREEN SHEET'!DI21="","",'GREEN SHEET'!DI21)</f>
        <v/>
      </c>
      <c r="X21" s="150" t="str">
        <f>IF('GREEN SHEET'!DR21="","",'GREEN SHEET'!DR21)</f>
        <v/>
      </c>
      <c r="Y21" s="150" t="str">
        <f>IF('GREEN SHEET'!DS21="","",'GREEN SHEET'!DS21)</f>
        <v/>
      </c>
      <c r="Z21" s="153" t="str">
        <f>IF('GREEN SHEET'!FK21="PASS",'GREEN SHEET'!FP21,'GREEN SHEET'!FQ21)</f>
        <v/>
      </c>
      <c r="AA21" s="154" t="str">
        <f t="shared" si="1"/>
        <v/>
      </c>
      <c r="AB21" s="171" t="str">
        <f t="shared" si="4"/>
        <v/>
      </c>
      <c r="AC21" s="153" t="str">
        <f>IF('GREEN SHEET'!FU21="","",'GREEN SHEET'!FU21)</f>
        <v/>
      </c>
      <c r="AD21" s="158" t="str">
        <f>IF(Z21="","",RANK(Z21,Z$7:$Z$51,0)+COUNTIF($Z$7:Z21,Z21)-1)</f>
        <v/>
      </c>
      <c r="AE21" s="158" t="str">
        <f t="shared" si="2"/>
        <v/>
      </c>
      <c r="AF21" s="433" t="str">
        <f t="shared" si="5"/>
        <v/>
      </c>
      <c r="AG21" s="337" t="str">
        <f t="shared" si="6"/>
        <v/>
      </c>
    </row>
    <row r="22" spans="1:33" ht="16.8" hidden="1" x14ac:dyDescent="0.25">
      <c r="A22" s="177"/>
      <c r="B22" s="376">
        <v>16</v>
      </c>
      <c r="C22" s="156" t="str">
        <f t="shared" si="3"/>
        <v/>
      </c>
      <c r="D22" s="156" t="str">
        <f t="shared" si="0"/>
        <v/>
      </c>
      <c r="E22" s="96" t="str">
        <f>IF('GREEN SHEET'!C22="","",'GREEN SHEET'!C22)</f>
        <v/>
      </c>
      <c r="F22" s="96" t="str">
        <f>IF('GREEN SHEET'!D22="","",'GREEN SHEET'!D22)</f>
        <v/>
      </c>
      <c r="G22" s="96" t="str">
        <f>IF('GREEN SHEET'!E22="","",'GREEN SHEET'!E22)</f>
        <v/>
      </c>
      <c r="H22" s="96" t="str">
        <f>IF('GREEN SHEET'!F22="","",'GREEN SHEET'!F22)</f>
        <v/>
      </c>
      <c r="I22" s="96" t="str">
        <f>IF('GREEN SHEET'!G22="","",'GREEN SHEET'!G22)</f>
        <v/>
      </c>
      <c r="J22" s="96" t="str">
        <f>IF('GREEN SHEET'!H22="","",'GREEN SHEET'!H22)</f>
        <v/>
      </c>
      <c r="K22" s="96" t="str">
        <f>IF('GREEN SHEET'!I22="","",'GREEN SHEET'!I22)</f>
        <v/>
      </c>
      <c r="L22" s="96" t="str">
        <f>IF('GREEN SHEET'!J22="","",'GREEN SHEET'!J22)</f>
        <v/>
      </c>
      <c r="M22" s="96" t="str">
        <f>IF('GREEN SHEET'!K22="","",'GREEN SHEET'!K22)</f>
        <v/>
      </c>
      <c r="N22" s="149" t="str">
        <f>IF('GREEN SHEET'!AA22="","",'GREEN SHEET'!AA22)</f>
        <v/>
      </c>
      <c r="O22" s="149" t="str">
        <f>IF('GREEN SHEET'!AB22="","",'GREEN SHEET'!AB22)</f>
        <v/>
      </c>
      <c r="P22" s="150" t="str">
        <f>IF('GREEN SHEET'!AW22="","",'GREEN SHEET'!AW22)</f>
        <v/>
      </c>
      <c r="Q22" s="150" t="str">
        <f>IF('GREEN SHEET'!AX22="","",'GREEN SHEET'!AX22)</f>
        <v/>
      </c>
      <c r="R22" s="149" t="str">
        <f>IF('GREEN SHEET'!BR22="","",'GREEN SHEET'!BR22)</f>
        <v/>
      </c>
      <c r="S22" s="149" t="str">
        <f>IF('GREEN SHEET'!BS22="","",'GREEN SHEET'!BS22)</f>
        <v/>
      </c>
      <c r="T22" s="150" t="str">
        <f>IF('GREEN SHEET'!CM22="","",'GREEN SHEET'!CM22)</f>
        <v/>
      </c>
      <c r="U22" s="150" t="str">
        <f>IF('GREEN SHEET'!CN22="","",'GREEN SHEET'!CN22)</f>
        <v/>
      </c>
      <c r="V22" s="152" t="str">
        <f>IF('GREEN SHEET'!DH22="","",'GREEN SHEET'!DH22)</f>
        <v/>
      </c>
      <c r="W22" s="152" t="str">
        <f>IF('GREEN SHEET'!DI22="","",'GREEN SHEET'!DI22)</f>
        <v/>
      </c>
      <c r="X22" s="150" t="str">
        <f>IF('GREEN SHEET'!DR22="","",'GREEN SHEET'!DR22)</f>
        <v/>
      </c>
      <c r="Y22" s="150" t="str">
        <f>IF('GREEN SHEET'!DS22="","",'GREEN SHEET'!DS22)</f>
        <v/>
      </c>
      <c r="Z22" s="153" t="str">
        <f>IF('GREEN SHEET'!FK22="PASS",'GREEN SHEET'!FP22,'GREEN SHEET'!FQ22)</f>
        <v/>
      </c>
      <c r="AA22" s="154" t="str">
        <f t="shared" si="1"/>
        <v/>
      </c>
      <c r="AB22" s="171" t="str">
        <f t="shared" si="4"/>
        <v/>
      </c>
      <c r="AC22" s="153" t="str">
        <f>IF('GREEN SHEET'!FU22="","",'GREEN SHEET'!FU22)</f>
        <v/>
      </c>
      <c r="AD22" s="158" t="str">
        <f>IF(Z22="","",RANK(Z22,Z$7:$Z$51,0)+COUNTIF($Z$7:Z22,Z22)-1)</f>
        <v/>
      </c>
      <c r="AE22" s="158" t="str">
        <f t="shared" si="2"/>
        <v/>
      </c>
      <c r="AF22" s="433" t="str">
        <f t="shared" si="5"/>
        <v/>
      </c>
      <c r="AG22" s="337" t="str">
        <f t="shared" si="6"/>
        <v/>
      </c>
    </row>
    <row r="23" spans="1:33" ht="16.8" hidden="1" x14ac:dyDescent="0.25">
      <c r="A23" s="177"/>
      <c r="B23" s="376">
        <v>17</v>
      </c>
      <c r="C23" s="156" t="str">
        <f t="shared" si="3"/>
        <v/>
      </c>
      <c r="D23" s="156" t="str">
        <f t="shared" si="0"/>
        <v/>
      </c>
      <c r="E23" s="96" t="str">
        <f>IF('GREEN SHEET'!C23="","",'GREEN SHEET'!C23)</f>
        <v/>
      </c>
      <c r="F23" s="96" t="str">
        <f>IF('GREEN SHEET'!D23="","",'GREEN SHEET'!D23)</f>
        <v/>
      </c>
      <c r="G23" s="96" t="str">
        <f>IF('GREEN SHEET'!E23="","",'GREEN SHEET'!E23)</f>
        <v/>
      </c>
      <c r="H23" s="96" t="str">
        <f>IF('GREEN SHEET'!F23="","",'GREEN SHEET'!F23)</f>
        <v/>
      </c>
      <c r="I23" s="96" t="str">
        <f>IF('GREEN SHEET'!G23="","",'GREEN SHEET'!G23)</f>
        <v/>
      </c>
      <c r="J23" s="96" t="str">
        <f>IF('GREEN SHEET'!H23="","",'GREEN SHEET'!H23)</f>
        <v/>
      </c>
      <c r="K23" s="96" t="str">
        <f>IF('GREEN SHEET'!I23="","",'GREEN SHEET'!I23)</f>
        <v/>
      </c>
      <c r="L23" s="96" t="str">
        <f>IF('GREEN SHEET'!J23="","",'GREEN SHEET'!J23)</f>
        <v/>
      </c>
      <c r="M23" s="96" t="str">
        <f>IF('GREEN SHEET'!K23="","",'GREEN SHEET'!K23)</f>
        <v/>
      </c>
      <c r="N23" s="149" t="str">
        <f>IF('GREEN SHEET'!AA23="","",'GREEN SHEET'!AA23)</f>
        <v/>
      </c>
      <c r="O23" s="149" t="str">
        <f>IF('GREEN SHEET'!AB23="","",'GREEN SHEET'!AB23)</f>
        <v/>
      </c>
      <c r="P23" s="150" t="str">
        <f>IF('GREEN SHEET'!AW23="","",'GREEN SHEET'!AW23)</f>
        <v/>
      </c>
      <c r="Q23" s="150" t="str">
        <f>IF('GREEN SHEET'!AX23="","",'GREEN SHEET'!AX23)</f>
        <v/>
      </c>
      <c r="R23" s="149" t="str">
        <f>IF('GREEN SHEET'!BR23="","",'GREEN SHEET'!BR23)</f>
        <v/>
      </c>
      <c r="S23" s="149" t="str">
        <f>IF('GREEN SHEET'!BS23="","",'GREEN SHEET'!BS23)</f>
        <v/>
      </c>
      <c r="T23" s="150" t="str">
        <f>IF('GREEN SHEET'!CM23="","",'GREEN SHEET'!CM23)</f>
        <v/>
      </c>
      <c r="U23" s="150" t="str">
        <f>IF('GREEN SHEET'!CN23="","",'GREEN SHEET'!CN23)</f>
        <v/>
      </c>
      <c r="V23" s="152" t="str">
        <f>IF('GREEN SHEET'!DH23="","",'GREEN SHEET'!DH23)</f>
        <v/>
      </c>
      <c r="W23" s="152" t="str">
        <f>IF('GREEN SHEET'!DI23="","",'GREEN SHEET'!DI23)</f>
        <v/>
      </c>
      <c r="X23" s="150" t="str">
        <f>IF('GREEN SHEET'!DR23="","",'GREEN SHEET'!DR23)</f>
        <v/>
      </c>
      <c r="Y23" s="150" t="str">
        <f>IF('GREEN SHEET'!DS23="","",'GREEN SHEET'!DS23)</f>
        <v/>
      </c>
      <c r="Z23" s="153" t="str">
        <f>IF('GREEN SHEET'!FK23="PASS",'GREEN SHEET'!FP23,'GREEN SHEET'!FQ23)</f>
        <v/>
      </c>
      <c r="AA23" s="154" t="str">
        <f t="shared" si="1"/>
        <v/>
      </c>
      <c r="AB23" s="171" t="str">
        <f t="shared" si="4"/>
        <v/>
      </c>
      <c r="AC23" s="153" t="str">
        <f>IF('GREEN SHEET'!FU23="","",'GREEN SHEET'!FU23)</f>
        <v/>
      </c>
      <c r="AD23" s="158" t="str">
        <f>IF(Z23="","",RANK(Z23,Z$7:$Z$51,0)+COUNTIF($Z$7:Z23,Z23)-1)</f>
        <v/>
      </c>
      <c r="AE23" s="158" t="str">
        <f t="shared" si="2"/>
        <v/>
      </c>
      <c r="AF23" s="433" t="str">
        <f t="shared" si="5"/>
        <v/>
      </c>
      <c r="AG23" s="337" t="str">
        <f t="shared" si="6"/>
        <v/>
      </c>
    </row>
    <row r="24" spans="1:33" ht="16.8" hidden="1" x14ac:dyDescent="0.25">
      <c r="A24" s="177"/>
      <c r="B24" s="376">
        <v>18</v>
      </c>
      <c r="C24" s="156" t="str">
        <f t="shared" si="3"/>
        <v/>
      </c>
      <c r="D24" s="156" t="str">
        <f t="shared" si="0"/>
        <v/>
      </c>
      <c r="E24" s="96" t="str">
        <f>IF('GREEN SHEET'!C24="","",'GREEN SHEET'!C24)</f>
        <v/>
      </c>
      <c r="F24" s="96" t="str">
        <f>IF('GREEN SHEET'!D24="","",'GREEN SHEET'!D24)</f>
        <v/>
      </c>
      <c r="G24" s="96" t="str">
        <f>IF('GREEN SHEET'!E24="","",'GREEN SHEET'!E24)</f>
        <v/>
      </c>
      <c r="H24" s="96" t="str">
        <f>IF('GREEN SHEET'!F24="","",'GREEN SHEET'!F24)</f>
        <v/>
      </c>
      <c r="I24" s="96" t="str">
        <f>IF('GREEN SHEET'!G24="","",'GREEN SHEET'!G24)</f>
        <v/>
      </c>
      <c r="J24" s="96" t="str">
        <f>IF('GREEN SHEET'!H24="","",'GREEN SHEET'!H24)</f>
        <v/>
      </c>
      <c r="K24" s="96" t="str">
        <f>IF('GREEN SHEET'!I24="","",'GREEN SHEET'!I24)</f>
        <v/>
      </c>
      <c r="L24" s="96" t="str">
        <f>IF('GREEN SHEET'!J24="","",'GREEN SHEET'!J24)</f>
        <v/>
      </c>
      <c r="M24" s="96" t="str">
        <f>IF('GREEN SHEET'!K24="","",'GREEN SHEET'!K24)</f>
        <v/>
      </c>
      <c r="N24" s="149" t="str">
        <f>IF('GREEN SHEET'!AA24="","",'GREEN SHEET'!AA24)</f>
        <v/>
      </c>
      <c r="O24" s="149" t="str">
        <f>IF('GREEN SHEET'!AB24="","",'GREEN SHEET'!AB24)</f>
        <v/>
      </c>
      <c r="P24" s="150" t="str">
        <f>IF('GREEN SHEET'!AW24="","",'GREEN SHEET'!AW24)</f>
        <v/>
      </c>
      <c r="Q24" s="150" t="str">
        <f>IF('GREEN SHEET'!AX24="","",'GREEN SHEET'!AX24)</f>
        <v/>
      </c>
      <c r="R24" s="149" t="str">
        <f>IF('GREEN SHEET'!BR24="","",'GREEN SHEET'!BR24)</f>
        <v/>
      </c>
      <c r="S24" s="149" t="str">
        <f>IF('GREEN SHEET'!BS24="","",'GREEN SHEET'!BS24)</f>
        <v/>
      </c>
      <c r="T24" s="150" t="str">
        <f>IF('GREEN SHEET'!CM24="","",'GREEN SHEET'!CM24)</f>
        <v/>
      </c>
      <c r="U24" s="150" t="str">
        <f>IF('GREEN SHEET'!CN24="","",'GREEN SHEET'!CN24)</f>
        <v/>
      </c>
      <c r="V24" s="152" t="str">
        <f>IF('GREEN SHEET'!DH24="","",'GREEN SHEET'!DH24)</f>
        <v/>
      </c>
      <c r="W24" s="152" t="str">
        <f>IF('GREEN SHEET'!DI24="","",'GREEN SHEET'!DI24)</f>
        <v/>
      </c>
      <c r="X24" s="150" t="str">
        <f>IF('GREEN SHEET'!DR24="","",'GREEN SHEET'!DR24)</f>
        <v/>
      </c>
      <c r="Y24" s="150" t="str">
        <f>IF('GREEN SHEET'!DS24="","",'GREEN SHEET'!DS24)</f>
        <v/>
      </c>
      <c r="Z24" s="153" t="str">
        <f>IF('GREEN SHEET'!FK24="PASS",'GREEN SHEET'!FP24,'GREEN SHEET'!FQ24)</f>
        <v/>
      </c>
      <c r="AA24" s="154" t="str">
        <f t="shared" si="1"/>
        <v/>
      </c>
      <c r="AB24" s="171" t="str">
        <f t="shared" si="4"/>
        <v/>
      </c>
      <c r="AC24" s="153" t="str">
        <f>IF('GREEN SHEET'!FU24="","",'GREEN SHEET'!FU24)</f>
        <v/>
      </c>
      <c r="AD24" s="158" t="str">
        <f>IF(Z24="","",RANK(Z24,Z$7:$Z$51,0)+COUNTIF($Z$7:Z24,Z24)-1)</f>
        <v/>
      </c>
      <c r="AE24" s="158" t="str">
        <f t="shared" si="2"/>
        <v/>
      </c>
      <c r="AF24" s="433" t="str">
        <f t="shared" si="5"/>
        <v/>
      </c>
      <c r="AG24" s="337" t="str">
        <f t="shared" si="6"/>
        <v/>
      </c>
    </row>
    <row r="25" spans="1:33" ht="16.8" hidden="1" x14ac:dyDescent="0.25">
      <c r="A25" s="177"/>
      <c r="B25" s="376">
        <v>19</v>
      </c>
      <c r="C25" s="156" t="str">
        <f t="shared" si="3"/>
        <v/>
      </c>
      <c r="D25" s="156" t="str">
        <f t="shared" si="0"/>
        <v/>
      </c>
      <c r="E25" s="96" t="str">
        <f>IF('GREEN SHEET'!C25="","",'GREEN SHEET'!C25)</f>
        <v/>
      </c>
      <c r="F25" s="96" t="str">
        <f>IF('GREEN SHEET'!D25="","",'GREEN SHEET'!D25)</f>
        <v/>
      </c>
      <c r="G25" s="96" t="str">
        <f>IF('GREEN SHEET'!E25="","",'GREEN SHEET'!E25)</f>
        <v/>
      </c>
      <c r="H25" s="96" t="str">
        <f>IF('GREEN SHEET'!F25="","",'GREEN SHEET'!F25)</f>
        <v/>
      </c>
      <c r="I25" s="96" t="str">
        <f>IF('GREEN SHEET'!G25="","",'GREEN SHEET'!G25)</f>
        <v/>
      </c>
      <c r="J25" s="96" t="str">
        <f>IF('GREEN SHEET'!H25="","",'GREEN SHEET'!H25)</f>
        <v/>
      </c>
      <c r="K25" s="96" t="str">
        <f>IF('GREEN SHEET'!I25="","",'GREEN SHEET'!I25)</f>
        <v/>
      </c>
      <c r="L25" s="96" t="str">
        <f>IF('GREEN SHEET'!J25="","",'GREEN SHEET'!J25)</f>
        <v/>
      </c>
      <c r="M25" s="96" t="str">
        <f>IF('GREEN SHEET'!K25="","",'GREEN SHEET'!K25)</f>
        <v/>
      </c>
      <c r="N25" s="149" t="str">
        <f>IF('GREEN SHEET'!AA25="","",'GREEN SHEET'!AA25)</f>
        <v/>
      </c>
      <c r="O25" s="149" t="str">
        <f>IF('GREEN SHEET'!AB25="","",'GREEN SHEET'!AB25)</f>
        <v/>
      </c>
      <c r="P25" s="150" t="str">
        <f>IF('GREEN SHEET'!AW25="","",'GREEN SHEET'!AW25)</f>
        <v/>
      </c>
      <c r="Q25" s="150" t="str">
        <f>IF('GREEN SHEET'!AX25="","",'GREEN SHEET'!AX25)</f>
        <v/>
      </c>
      <c r="R25" s="149" t="str">
        <f>IF('GREEN SHEET'!BR25="","",'GREEN SHEET'!BR25)</f>
        <v/>
      </c>
      <c r="S25" s="149" t="str">
        <f>IF('GREEN SHEET'!BS25="","",'GREEN SHEET'!BS25)</f>
        <v/>
      </c>
      <c r="T25" s="150" t="str">
        <f>IF('GREEN SHEET'!CM25="","",'GREEN SHEET'!CM25)</f>
        <v/>
      </c>
      <c r="U25" s="150" t="str">
        <f>IF('GREEN SHEET'!CN25="","",'GREEN SHEET'!CN25)</f>
        <v/>
      </c>
      <c r="V25" s="152" t="str">
        <f>IF('GREEN SHEET'!DH25="","",'GREEN SHEET'!DH25)</f>
        <v/>
      </c>
      <c r="W25" s="152" t="str">
        <f>IF('GREEN SHEET'!DI25="","",'GREEN SHEET'!DI25)</f>
        <v/>
      </c>
      <c r="X25" s="150" t="str">
        <f>IF('GREEN SHEET'!DR25="","",'GREEN SHEET'!DR25)</f>
        <v/>
      </c>
      <c r="Y25" s="150" t="str">
        <f>IF('GREEN SHEET'!DS25="","",'GREEN SHEET'!DS25)</f>
        <v/>
      </c>
      <c r="Z25" s="153" t="str">
        <f>IF('GREEN SHEET'!FK25="PASS",'GREEN SHEET'!FP25,'GREEN SHEET'!FQ25)</f>
        <v/>
      </c>
      <c r="AA25" s="154" t="str">
        <f t="shared" si="1"/>
        <v/>
      </c>
      <c r="AB25" s="171" t="str">
        <f t="shared" si="4"/>
        <v/>
      </c>
      <c r="AC25" s="153" t="str">
        <f>IF('GREEN SHEET'!FU25="","",'GREEN SHEET'!FU25)</f>
        <v/>
      </c>
      <c r="AD25" s="158" t="str">
        <f>IF(Z25="","",RANK(Z25,Z$7:$Z$51,0)+COUNTIF($Z$7:Z25,Z25)-1)</f>
        <v/>
      </c>
      <c r="AE25" s="158" t="str">
        <f t="shared" si="2"/>
        <v/>
      </c>
      <c r="AF25" s="433" t="str">
        <f t="shared" si="5"/>
        <v/>
      </c>
      <c r="AG25" s="337" t="str">
        <f t="shared" si="6"/>
        <v/>
      </c>
    </row>
    <row r="26" spans="1:33" ht="16.8" hidden="1" x14ac:dyDescent="0.25">
      <c r="A26" s="177"/>
      <c r="B26" s="376">
        <v>20</v>
      </c>
      <c r="C26" s="156" t="str">
        <f t="shared" si="3"/>
        <v/>
      </c>
      <c r="D26" s="156" t="str">
        <f t="shared" si="0"/>
        <v/>
      </c>
      <c r="E26" s="96" t="str">
        <f>IF('GREEN SHEET'!C26="","",'GREEN SHEET'!C26)</f>
        <v/>
      </c>
      <c r="F26" s="96" t="str">
        <f>IF('GREEN SHEET'!D26="","",'GREEN SHEET'!D26)</f>
        <v/>
      </c>
      <c r="G26" s="96" t="str">
        <f>IF('GREEN SHEET'!E26="","",'GREEN SHEET'!E26)</f>
        <v/>
      </c>
      <c r="H26" s="96" t="str">
        <f>IF('GREEN SHEET'!F26="","",'GREEN SHEET'!F26)</f>
        <v/>
      </c>
      <c r="I26" s="96" t="str">
        <f>IF('GREEN SHEET'!G26="","",'GREEN SHEET'!G26)</f>
        <v/>
      </c>
      <c r="J26" s="96" t="str">
        <f>IF('GREEN SHEET'!H26="","",'GREEN SHEET'!H26)</f>
        <v/>
      </c>
      <c r="K26" s="96" t="str">
        <f>IF('GREEN SHEET'!I26="","",'GREEN SHEET'!I26)</f>
        <v/>
      </c>
      <c r="L26" s="96" t="str">
        <f>IF('GREEN SHEET'!J26="","",'GREEN SHEET'!J26)</f>
        <v/>
      </c>
      <c r="M26" s="96" t="str">
        <f>IF('GREEN SHEET'!K26="","",'GREEN SHEET'!K26)</f>
        <v/>
      </c>
      <c r="N26" s="149" t="str">
        <f>IF('GREEN SHEET'!AA26="","",'GREEN SHEET'!AA26)</f>
        <v/>
      </c>
      <c r="O26" s="149" t="str">
        <f>IF('GREEN SHEET'!AB26="","",'GREEN SHEET'!AB26)</f>
        <v/>
      </c>
      <c r="P26" s="150" t="str">
        <f>IF('GREEN SHEET'!AW26="","",'GREEN SHEET'!AW26)</f>
        <v/>
      </c>
      <c r="Q26" s="150" t="str">
        <f>IF('GREEN SHEET'!AX26="","",'GREEN SHEET'!AX26)</f>
        <v/>
      </c>
      <c r="R26" s="149" t="str">
        <f>IF('GREEN SHEET'!BR26="","",'GREEN SHEET'!BR26)</f>
        <v/>
      </c>
      <c r="S26" s="149" t="str">
        <f>IF('GREEN SHEET'!BS26="","",'GREEN SHEET'!BS26)</f>
        <v/>
      </c>
      <c r="T26" s="150" t="str">
        <f>IF('GREEN SHEET'!CM26="","",'GREEN SHEET'!CM26)</f>
        <v/>
      </c>
      <c r="U26" s="150" t="str">
        <f>IF('GREEN SHEET'!CN26="","",'GREEN SHEET'!CN26)</f>
        <v/>
      </c>
      <c r="V26" s="152" t="str">
        <f>IF('GREEN SHEET'!DH26="","",'GREEN SHEET'!DH26)</f>
        <v/>
      </c>
      <c r="W26" s="152" t="str">
        <f>IF('GREEN SHEET'!DI26="","",'GREEN SHEET'!DI26)</f>
        <v/>
      </c>
      <c r="X26" s="150" t="str">
        <f>IF('GREEN SHEET'!DR26="","",'GREEN SHEET'!DR26)</f>
        <v/>
      </c>
      <c r="Y26" s="150" t="str">
        <f>IF('GREEN SHEET'!DS26="","",'GREEN SHEET'!DS26)</f>
        <v/>
      </c>
      <c r="Z26" s="153" t="str">
        <f>IF('GREEN SHEET'!FK26="PASS",'GREEN SHEET'!FP26,'GREEN SHEET'!FQ26)</f>
        <v/>
      </c>
      <c r="AA26" s="154" t="str">
        <f t="shared" si="1"/>
        <v/>
      </c>
      <c r="AB26" s="171" t="str">
        <f t="shared" si="4"/>
        <v/>
      </c>
      <c r="AC26" s="153" t="str">
        <f>IF('GREEN SHEET'!FU26="","",'GREEN SHEET'!FU26)</f>
        <v/>
      </c>
      <c r="AD26" s="158" t="str">
        <f>IF(Z26="","",RANK(Z26,Z$7:$Z$51,0)+COUNTIF($Z$7:Z26,Z26)-1)</f>
        <v/>
      </c>
      <c r="AE26" s="158" t="str">
        <f t="shared" si="2"/>
        <v/>
      </c>
      <c r="AF26" s="433" t="str">
        <f t="shared" si="5"/>
        <v/>
      </c>
      <c r="AG26" s="337" t="str">
        <f t="shared" si="6"/>
        <v/>
      </c>
    </row>
    <row r="27" spans="1:33" ht="16.8" hidden="1" x14ac:dyDescent="0.25">
      <c r="A27" s="177"/>
      <c r="B27" s="376">
        <v>21</v>
      </c>
      <c r="C27" s="156" t="str">
        <f t="shared" si="3"/>
        <v/>
      </c>
      <c r="D27" s="156" t="str">
        <f t="shared" si="0"/>
        <v/>
      </c>
      <c r="E27" s="96" t="str">
        <f>IF('GREEN SHEET'!C27="","",'GREEN SHEET'!C27)</f>
        <v/>
      </c>
      <c r="F27" s="96" t="str">
        <f>IF('GREEN SHEET'!D27="","",'GREEN SHEET'!D27)</f>
        <v/>
      </c>
      <c r="G27" s="96" t="str">
        <f>IF('GREEN SHEET'!E27="","",'GREEN SHEET'!E27)</f>
        <v/>
      </c>
      <c r="H27" s="96" t="str">
        <f>IF('GREEN SHEET'!F27="","",'GREEN SHEET'!F27)</f>
        <v/>
      </c>
      <c r="I27" s="96" t="str">
        <f>IF('GREEN SHEET'!G27="","",'GREEN SHEET'!G27)</f>
        <v/>
      </c>
      <c r="J27" s="96" t="str">
        <f>IF('GREEN SHEET'!H27="","",'GREEN SHEET'!H27)</f>
        <v/>
      </c>
      <c r="K27" s="96" t="str">
        <f>IF('GREEN SHEET'!I27="","",'GREEN SHEET'!I27)</f>
        <v/>
      </c>
      <c r="L27" s="96" t="str">
        <f>IF('GREEN SHEET'!J27="","",'GREEN SHEET'!J27)</f>
        <v/>
      </c>
      <c r="M27" s="96" t="str">
        <f>IF('GREEN SHEET'!K27="","",'GREEN SHEET'!K27)</f>
        <v/>
      </c>
      <c r="N27" s="149" t="str">
        <f>IF('GREEN SHEET'!AA27="","",'GREEN SHEET'!AA27)</f>
        <v/>
      </c>
      <c r="O27" s="149" t="str">
        <f>IF('GREEN SHEET'!AB27="","",'GREEN SHEET'!AB27)</f>
        <v/>
      </c>
      <c r="P27" s="150" t="str">
        <f>IF('GREEN SHEET'!AW27="","",'GREEN SHEET'!AW27)</f>
        <v/>
      </c>
      <c r="Q27" s="150" t="str">
        <f>IF('GREEN SHEET'!AX27="","",'GREEN SHEET'!AX27)</f>
        <v/>
      </c>
      <c r="R27" s="149" t="str">
        <f>IF('GREEN SHEET'!BR27="","",'GREEN SHEET'!BR27)</f>
        <v/>
      </c>
      <c r="S27" s="149" t="str">
        <f>IF('GREEN SHEET'!BS27="","",'GREEN SHEET'!BS27)</f>
        <v/>
      </c>
      <c r="T27" s="150" t="str">
        <f>IF('GREEN SHEET'!CM27="","",'GREEN SHEET'!CM27)</f>
        <v/>
      </c>
      <c r="U27" s="150" t="str">
        <f>IF('GREEN SHEET'!CN27="","",'GREEN SHEET'!CN27)</f>
        <v/>
      </c>
      <c r="V27" s="152" t="str">
        <f>IF('GREEN SHEET'!DH27="","",'GREEN SHEET'!DH27)</f>
        <v/>
      </c>
      <c r="W27" s="152" t="str">
        <f>IF('GREEN SHEET'!DI27="","",'GREEN SHEET'!DI27)</f>
        <v/>
      </c>
      <c r="X27" s="150" t="str">
        <f>IF('GREEN SHEET'!DR27="","",'GREEN SHEET'!DR27)</f>
        <v/>
      </c>
      <c r="Y27" s="150" t="str">
        <f>IF('GREEN SHEET'!DS27="","",'GREEN SHEET'!DS27)</f>
        <v/>
      </c>
      <c r="Z27" s="153" t="str">
        <f>IF('GREEN SHEET'!FK27="PASS",'GREEN SHEET'!FP27,'GREEN SHEET'!FQ27)</f>
        <v/>
      </c>
      <c r="AA27" s="154" t="str">
        <f t="shared" si="1"/>
        <v/>
      </c>
      <c r="AB27" s="171" t="str">
        <f t="shared" si="4"/>
        <v/>
      </c>
      <c r="AC27" s="153" t="str">
        <f>IF('GREEN SHEET'!FU27="","",'GREEN SHEET'!FU27)</f>
        <v/>
      </c>
      <c r="AD27" s="158" t="str">
        <f>IF(Z27="","",RANK(Z27,Z$7:$Z$51,0)+COUNTIF($Z$7:Z27,Z27)-1)</f>
        <v/>
      </c>
      <c r="AE27" s="158" t="str">
        <f t="shared" si="2"/>
        <v/>
      </c>
      <c r="AF27" s="433" t="str">
        <f t="shared" si="5"/>
        <v/>
      </c>
      <c r="AG27" s="337" t="str">
        <f t="shared" si="6"/>
        <v/>
      </c>
    </row>
    <row r="28" spans="1:33" ht="16.8" hidden="1" x14ac:dyDescent="0.25">
      <c r="A28" s="177"/>
      <c r="B28" s="376">
        <v>22</v>
      </c>
      <c r="C28" s="156" t="str">
        <f t="shared" si="3"/>
        <v/>
      </c>
      <c r="D28" s="156" t="str">
        <f t="shared" si="0"/>
        <v/>
      </c>
      <c r="E28" s="96" t="str">
        <f>IF('GREEN SHEET'!C28="","",'GREEN SHEET'!C28)</f>
        <v/>
      </c>
      <c r="F28" s="96" t="str">
        <f>IF('GREEN SHEET'!D28="","",'GREEN SHEET'!D28)</f>
        <v/>
      </c>
      <c r="G28" s="96" t="str">
        <f>IF('GREEN SHEET'!E28="","",'GREEN SHEET'!E28)</f>
        <v/>
      </c>
      <c r="H28" s="96" t="str">
        <f>IF('GREEN SHEET'!F28="","",'GREEN SHEET'!F28)</f>
        <v/>
      </c>
      <c r="I28" s="96" t="str">
        <f>IF('GREEN SHEET'!G28="","",'GREEN SHEET'!G28)</f>
        <v/>
      </c>
      <c r="J28" s="96" t="str">
        <f>IF('GREEN SHEET'!H28="","",'GREEN SHEET'!H28)</f>
        <v/>
      </c>
      <c r="K28" s="96" t="str">
        <f>IF('GREEN SHEET'!I28="","",'GREEN SHEET'!I28)</f>
        <v/>
      </c>
      <c r="L28" s="96" t="str">
        <f>IF('GREEN SHEET'!J28="","",'GREEN SHEET'!J28)</f>
        <v/>
      </c>
      <c r="M28" s="96" t="str">
        <f>IF('GREEN SHEET'!K28="","",'GREEN SHEET'!K28)</f>
        <v/>
      </c>
      <c r="N28" s="149" t="str">
        <f>IF('GREEN SHEET'!AA28="","",'GREEN SHEET'!AA28)</f>
        <v/>
      </c>
      <c r="O28" s="149" t="str">
        <f>IF('GREEN SHEET'!AB28="","",'GREEN SHEET'!AB28)</f>
        <v/>
      </c>
      <c r="P28" s="150" t="str">
        <f>IF('GREEN SHEET'!AW28="","",'GREEN SHEET'!AW28)</f>
        <v/>
      </c>
      <c r="Q28" s="150" t="str">
        <f>IF('GREEN SHEET'!AX28="","",'GREEN SHEET'!AX28)</f>
        <v/>
      </c>
      <c r="R28" s="149" t="str">
        <f>IF('GREEN SHEET'!BR28="","",'GREEN SHEET'!BR28)</f>
        <v/>
      </c>
      <c r="S28" s="149" t="str">
        <f>IF('GREEN SHEET'!BS28="","",'GREEN SHEET'!BS28)</f>
        <v/>
      </c>
      <c r="T28" s="150" t="str">
        <f>IF('GREEN SHEET'!CM28="","",'GREEN SHEET'!CM28)</f>
        <v/>
      </c>
      <c r="U28" s="150" t="str">
        <f>IF('GREEN SHEET'!CN28="","",'GREEN SHEET'!CN28)</f>
        <v/>
      </c>
      <c r="V28" s="152" t="str">
        <f>IF('GREEN SHEET'!DH28="","",'GREEN SHEET'!DH28)</f>
        <v/>
      </c>
      <c r="W28" s="152" t="str">
        <f>IF('GREEN SHEET'!DI28="","",'GREEN SHEET'!DI28)</f>
        <v/>
      </c>
      <c r="X28" s="150" t="str">
        <f>IF('GREEN SHEET'!DR28="","",'GREEN SHEET'!DR28)</f>
        <v/>
      </c>
      <c r="Y28" s="150" t="str">
        <f>IF('GREEN SHEET'!DS28="","",'GREEN SHEET'!DS28)</f>
        <v/>
      </c>
      <c r="Z28" s="153" t="str">
        <f>IF('GREEN SHEET'!FK28="PASS",'GREEN SHEET'!FP28,'GREEN SHEET'!FQ28)</f>
        <v/>
      </c>
      <c r="AA28" s="154" t="str">
        <f t="shared" si="1"/>
        <v/>
      </c>
      <c r="AB28" s="171" t="str">
        <f t="shared" si="4"/>
        <v/>
      </c>
      <c r="AC28" s="153" t="str">
        <f>IF('GREEN SHEET'!FU28="","",'GREEN SHEET'!FU28)</f>
        <v/>
      </c>
      <c r="AD28" s="158" t="str">
        <f>IF(Z28="","",RANK(Z28,Z$7:$Z$51,0)+COUNTIF($Z$7:Z28,Z28)-1)</f>
        <v/>
      </c>
      <c r="AE28" s="158" t="str">
        <f t="shared" si="2"/>
        <v/>
      </c>
      <c r="AF28" s="433" t="str">
        <f t="shared" si="5"/>
        <v/>
      </c>
      <c r="AG28" s="337" t="str">
        <f t="shared" si="6"/>
        <v/>
      </c>
    </row>
    <row r="29" spans="1:33" ht="16.8" hidden="1" x14ac:dyDescent="0.25">
      <c r="A29" s="177"/>
      <c r="B29" s="376">
        <v>23</v>
      </c>
      <c r="C29" s="156" t="str">
        <f t="shared" si="3"/>
        <v/>
      </c>
      <c r="D29" s="156" t="str">
        <f t="shared" si="0"/>
        <v/>
      </c>
      <c r="E29" s="96" t="str">
        <f>IF('GREEN SHEET'!C29="","",'GREEN SHEET'!C29)</f>
        <v/>
      </c>
      <c r="F29" s="96" t="str">
        <f>IF('GREEN SHEET'!D29="","",'GREEN SHEET'!D29)</f>
        <v/>
      </c>
      <c r="G29" s="96" t="str">
        <f>IF('GREEN SHEET'!E29="","",'GREEN SHEET'!E29)</f>
        <v/>
      </c>
      <c r="H29" s="96" t="str">
        <f>IF('GREEN SHEET'!F29="","",'GREEN SHEET'!F29)</f>
        <v/>
      </c>
      <c r="I29" s="96" t="str">
        <f>IF('GREEN SHEET'!G29="","",'GREEN SHEET'!G29)</f>
        <v/>
      </c>
      <c r="J29" s="96" t="str">
        <f>IF('GREEN SHEET'!H29="","",'GREEN SHEET'!H29)</f>
        <v/>
      </c>
      <c r="K29" s="96" t="str">
        <f>IF('GREEN SHEET'!I29="","",'GREEN SHEET'!I29)</f>
        <v/>
      </c>
      <c r="L29" s="96" t="str">
        <f>IF('GREEN SHEET'!J29="","",'GREEN SHEET'!J29)</f>
        <v/>
      </c>
      <c r="M29" s="96" t="str">
        <f>IF('GREEN SHEET'!K29="","",'GREEN SHEET'!K29)</f>
        <v/>
      </c>
      <c r="N29" s="149" t="str">
        <f>IF('GREEN SHEET'!AA29="","",'GREEN SHEET'!AA29)</f>
        <v/>
      </c>
      <c r="O29" s="149" t="str">
        <f>IF('GREEN SHEET'!AB29="","",'GREEN SHEET'!AB29)</f>
        <v/>
      </c>
      <c r="P29" s="150" t="str">
        <f>IF('GREEN SHEET'!AW29="","",'GREEN SHEET'!AW29)</f>
        <v/>
      </c>
      <c r="Q29" s="150" t="str">
        <f>IF('GREEN SHEET'!AX29="","",'GREEN SHEET'!AX29)</f>
        <v/>
      </c>
      <c r="R29" s="149" t="str">
        <f>IF('GREEN SHEET'!BR29="","",'GREEN SHEET'!BR29)</f>
        <v/>
      </c>
      <c r="S29" s="149" t="str">
        <f>IF('GREEN SHEET'!BS29="","",'GREEN SHEET'!BS29)</f>
        <v/>
      </c>
      <c r="T29" s="150" t="str">
        <f>IF('GREEN SHEET'!CM29="","",'GREEN SHEET'!CM29)</f>
        <v/>
      </c>
      <c r="U29" s="150" t="str">
        <f>IF('GREEN SHEET'!CN29="","",'GREEN SHEET'!CN29)</f>
        <v/>
      </c>
      <c r="V29" s="152" t="str">
        <f>IF('GREEN SHEET'!DH29="","",'GREEN SHEET'!DH29)</f>
        <v/>
      </c>
      <c r="W29" s="152" t="str">
        <f>IF('GREEN SHEET'!DI29="","",'GREEN SHEET'!DI29)</f>
        <v/>
      </c>
      <c r="X29" s="150" t="str">
        <f>IF('GREEN SHEET'!DR29="","",'GREEN SHEET'!DR29)</f>
        <v/>
      </c>
      <c r="Y29" s="150" t="str">
        <f>IF('GREEN SHEET'!DS29="","",'GREEN SHEET'!DS29)</f>
        <v/>
      </c>
      <c r="Z29" s="153" t="str">
        <f>IF('GREEN SHEET'!FK29="PASS",'GREEN SHEET'!FP29,'GREEN SHEET'!FQ29)</f>
        <v/>
      </c>
      <c r="AA29" s="154" t="str">
        <f t="shared" si="1"/>
        <v/>
      </c>
      <c r="AB29" s="171" t="str">
        <f t="shared" si="4"/>
        <v/>
      </c>
      <c r="AC29" s="153" t="str">
        <f>IF('GREEN SHEET'!FU29="","",'GREEN SHEET'!FU29)</f>
        <v/>
      </c>
      <c r="AD29" s="158" t="str">
        <f>IF(Z29="","",RANK(Z29,Z$7:$Z$51,0)+COUNTIF($Z$7:Z29,Z29)-1)</f>
        <v/>
      </c>
      <c r="AE29" s="158" t="str">
        <f t="shared" si="2"/>
        <v/>
      </c>
      <c r="AF29" s="433" t="str">
        <f t="shared" si="5"/>
        <v/>
      </c>
      <c r="AG29" s="337" t="str">
        <f t="shared" si="6"/>
        <v/>
      </c>
    </row>
    <row r="30" spans="1:33" ht="16.8" hidden="1" x14ac:dyDescent="0.25">
      <c r="A30" s="177"/>
      <c r="B30" s="376">
        <v>24</v>
      </c>
      <c r="C30" s="156" t="str">
        <f t="shared" si="3"/>
        <v/>
      </c>
      <c r="D30" s="156" t="str">
        <f t="shared" si="0"/>
        <v/>
      </c>
      <c r="E30" s="96" t="str">
        <f>IF('GREEN SHEET'!C30="","",'GREEN SHEET'!C30)</f>
        <v/>
      </c>
      <c r="F30" s="96" t="str">
        <f>IF('GREEN SHEET'!D30="","",'GREEN SHEET'!D30)</f>
        <v/>
      </c>
      <c r="G30" s="96" t="str">
        <f>IF('GREEN SHEET'!E30="","",'GREEN SHEET'!E30)</f>
        <v/>
      </c>
      <c r="H30" s="96" t="str">
        <f>IF('GREEN SHEET'!F30="","",'GREEN SHEET'!F30)</f>
        <v/>
      </c>
      <c r="I30" s="96" t="str">
        <f>IF('GREEN SHEET'!G30="","",'GREEN SHEET'!G30)</f>
        <v/>
      </c>
      <c r="J30" s="96" t="str">
        <f>IF('GREEN SHEET'!H30="","",'GREEN SHEET'!H30)</f>
        <v/>
      </c>
      <c r="K30" s="96" t="str">
        <f>IF('GREEN SHEET'!I30="","",'GREEN SHEET'!I30)</f>
        <v/>
      </c>
      <c r="L30" s="96" t="str">
        <f>IF('GREEN SHEET'!J30="","",'GREEN SHEET'!J30)</f>
        <v/>
      </c>
      <c r="M30" s="96" t="str">
        <f>IF('GREEN SHEET'!K30="","",'GREEN SHEET'!K30)</f>
        <v/>
      </c>
      <c r="N30" s="149" t="str">
        <f>IF('GREEN SHEET'!AA30="","",'GREEN SHEET'!AA30)</f>
        <v/>
      </c>
      <c r="O30" s="149" t="str">
        <f>IF('GREEN SHEET'!AB30="","",'GREEN SHEET'!AB30)</f>
        <v/>
      </c>
      <c r="P30" s="150" t="str">
        <f>IF('GREEN SHEET'!AW30="","",'GREEN SHEET'!AW30)</f>
        <v/>
      </c>
      <c r="Q30" s="150" t="str">
        <f>IF('GREEN SHEET'!AX30="","",'GREEN SHEET'!AX30)</f>
        <v/>
      </c>
      <c r="R30" s="149" t="str">
        <f>IF('GREEN SHEET'!BR30="","",'GREEN SHEET'!BR30)</f>
        <v/>
      </c>
      <c r="S30" s="149" t="str">
        <f>IF('GREEN SHEET'!BS30="","",'GREEN SHEET'!BS30)</f>
        <v/>
      </c>
      <c r="T30" s="150" t="str">
        <f>IF('GREEN SHEET'!CM30="","",'GREEN SHEET'!CM30)</f>
        <v/>
      </c>
      <c r="U30" s="150" t="str">
        <f>IF('GREEN SHEET'!CN30="","",'GREEN SHEET'!CN30)</f>
        <v/>
      </c>
      <c r="V30" s="152" t="str">
        <f>IF('GREEN SHEET'!DH30="","",'GREEN SHEET'!DH30)</f>
        <v/>
      </c>
      <c r="W30" s="152" t="str">
        <f>IF('GREEN SHEET'!DI30="","",'GREEN SHEET'!DI30)</f>
        <v/>
      </c>
      <c r="X30" s="150" t="str">
        <f>IF('GREEN SHEET'!DR30="","",'GREEN SHEET'!DR30)</f>
        <v/>
      </c>
      <c r="Y30" s="150" t="str">
        <f>IF('GREEN SHEET'!DS30="","",'GREEN SHEET'!DS30)</f>
        <v/>
      </c>
      <c r="Z30" s="153" t="str">
        <f>IF('GREEN SHEET'!FK30="PASS",'GREEN SHEET'!FP30,'GREEN SHEET'!FQ30)</f>
        <v/>
      </c>
      <c r="AA30" s="154" t="str">
        <f t="shared" si="1"/>
        <v/>
      </c>
      <c r="AB30" s="171" t="str">
        <f t="shared" si="4"/>
        <v/>
      </c>
      <c r="AC30" s="153" t="str">
        <f>IF('GREEN SHEET'!FU30="","",'GREEN SHEET'!FU30)</f>
        <v/>
      </c>
      <c r="AD30" s="158" t="str">
        <f>IF(Z30="","",RANK(Z30,Z$7:$Z$51,0)+COUNTIF($Z$7:Z30,Z30)-1)</f>
        <v/>
      </c>
      <c r="AE30" s="158" t="str">
        <f t="shared" si="2"/>
        <v/>
      </c>
      <c r="AF30" s="433" t="str">
        <f t="shared" si="5"/>
        <v/>
      </c>
      <c r="AG30" s="337" t="str">
        <f t="shared" si="6"/>
        <v/>
      </c>
    </row>
    <row r="31" spans="1:33" ht="16.8" hidden="1" x14ac:dyDescent="0.25">
      <c r="A31" s="177"/>
      <c r="B31" s="376">
        <v>25</v>
      </c>
      <c r="C31" s="156" t="str">
        <f t="shared" si="3"/>
        <v/>
      </c>
      <c r="D31" s="156" t="str">
        <f t="shared" si="0"/>
        <v/>
      </c>
      <c r="E31" s="96" t="str">
        <f>IF('GREEN SHEET'!C31="","",'GREEN SHEET'!C31)</f>
        <v/>
      </c>
      <c r="F31" s="96" t="str">
        <f>IF('GREEN SHEET'!D31="","",'GREEN SHEET'!D31)</f>
        <v/>
      </c>
      <c r="G31" s="96" t="str">
        <f>IF('GREEN SHEET'!E31="","",'GREEN SHEET'!E31)</f>
        <v/>
      </c>
      <c r="H31" s="96" t="str">
        <f>IF('GREEN SHEET'!F31="","",'GREEN SHEET'!F31)</f>
        <v/>
      </c>
      <c r="I31" s="96" t="str">
        <f>IF('GREEN SHEET'!G31="","",'GREEN SHEET'!G31)</f>
        <v/>
      </c>
      <c r="J31" s="96" t="str">
        <f>IF('GREEN SHEET'!H31="","",'GREEN SHEET'!H31)</f>
        <v/>
      </c>
      <c r="K31" s="96" t="str">
        <f>IF('GREEN SHEET'!I31="","",'GREEN SHEET'!I31)</f>
        <v/>
      </c>
      <c r="L31" s="96" t="str">
        <f>IF('GREEN SHEET'!J31="","",'GREEN SHEET'!J31)</f>
        <v/>
      </c>
      <c r="M31" s="96" t="str">
        <f>IF('GREEN SHEET'!K31="","",'GREEN SHEET'!K31)</f>
        <v/>
      </c>
      <c r="N31" s="149" t="str">
        <f>IF('GREEN SHEET'!AA31="","",'GREEN SHEET'!AA31)</f>
        <v/>
      </c>
      <c r="O31" s="149" t="str">
        <f>IF('GREEN SHEET'!AB31="","",'GREEN SHEET'!AB31)</f>
        <v/>
      </c>
      <c r="P31" s="150" t="str">
        <f>IF('GREEN SHEET'!AW31="","",'GREEN SHEET'!AW31)</f>
        <v/>
      </c>
      <c r="Q31" s="150" t="str">
        <f>IF('GREEN SHEET'!AX31="","",'GREEN SHEET'!AX31)</f>
        <v/>
      </c>
      <c r="R31" s="149" t="str">
        <f>IF('GREEN SHEET'!BR31="","",'GREEN SHEET'!BR31)</f>
        <v/>
      </c>
      <c r="S31" s="149" t="str">
        <f>IF('GREEN SHEET'!BS31="","",'GREEN SHEET'!BS31)</f>
        <v/>
      </c>
      <c r="T31" s="150" t="str">
        <f>IF('GREEN SHEET'!CM31="","",'GREEN SHEET'!CM31)</f>
        <v/>
      </c>
      <c r="U31" s="150" t="str">
        <f>IF('GREEN SHEET'!CN31="","",'GREEN SHEET'!CN31)</f>
        <v/>
      </c>
      <c r="V31" s="152" t="str">
        <f>IF('GREEN SHEET'!DH31="","",'GREEN SHEET'!DH31)</f>
        <v/>
      </c>
      <c r="W31" s="152" t="str">
        <f>IF('GREEN SHEET'!DI31="","",'GREEN SHEET'!DI31)</f>
        <v/>
      </c>
      <c r="X31" s="150" t="str">
        <f>IF('GREEN SHEET'!DR31="","",'GREEN SHEET'!DR31)</f>
        <v/>
      </c>
      <c r="Y31" s="150" t="str">
        <f>IF('GREEN SHEET'!DS31="","",'GREEN SHEET'!DS31)</f>
        <v/>
      </c>
      <c r="Z31" s="153" t="str">
        <f>IF('GREEN SHEET'!FK31="PASS",'GREEN SHEET'!FP31,'GREEN SHEET'!FQ31)</f>
        <v/>
      </c>
      <c r="AA31" s="154" t="str">
        <f t="shared" si="1"/>
        <v/>
      </c>
      <c r="AB31" s="171" t="str">
        <f t="shared" si="4"/>
        <v/>
      </c>
      <c r="AC31" s="153" t="str">
        <f>IF('GREEN SHEET'!FU31="","",'GREEN SHEET'!FU31)</f>
        <v/>
      </c>
      <c r="AD31" s="158" t="str">
        <f>IF(Z31="","",RANK(Z31,Z$7:$Z$51,0)+COUNTIF($Z$7:Z31,Z31)-1)</f>
        <v/>
      </c>
      <c r="AE31" s="158" t="str">
        <f t="shared" si="2"/>
        <v/>
      </c>
      <c r="AF31" s="433" t="str">
        <f t="shared" si="5"/>
        <v/>
      </c>
      <c r="AG31" s="337" t="str">
        <f t="shared" si="6"/>
        <v/>
      </c>
    </row>
    <row r="32" spans="1:33" ht="16.8" hidden="1" x14ac:dyDescent="0.25">
      <c r="A32" s="177"/>
      <c r="B32" s="376">
        <v>26</v>
      </c>
      <c r="C32" s="156" t="str">
        <f t="shared" si="3"/>
        <v/>
      </c>
      <c r="D32" s="156" t="str">
        <f t="shared" si="0"/>
        <v/>
      </c>
      <c r="E32" s="96" t="str">
        <f>IF('GREEN SHEET'!C32="","",'GREEN SHEET'!C32)</f>
        <v/>
      </c>
      <c r="F32" s="96" t="str">
        <f>IF('GREEN SHEET'!D32="","",'GREEN SHEET'!D32)</f>
        <v/>
      </c>
      <c r="G32" s="96" t="str">
        <f>IF('GREEN SHEET'!E32="","",'GREEN SHEET'!E32)</f>
        <v/>
      </c>
      <c r="H32" s="96" t="str">
        <f>IF('GREEN SHEET'!F32="","",'GREEN SHEET'!F32)</f>
        <v/>
      </c>
      <c r="I32" s="96" t="str">
        <f>IF('GREEN SHEET'!G32="","",'GREEN SHEET'!G32)</f>
        <v/>
      </c>
      <c r="J32" s="96" t="str">
        <f>IF('GREEN SHEET'!H32="","",'GREEN SHEET'!H32)</f>
        <v/>
      </c>
      <c r="K32" s="96" t="str">
        <f>IF('GREEN SHEET'!I32="","",'GREEN SHEET'!I32)</f>
        <v/>
      </c>
      <c r="L32" s="96" t="str">
        <f>IF('GREEN SHEET'!J32="","",'GREEN SHEET'!J32)</f>
        <v/>
      </c>
      <c r="M32" s="96" t="str">
        <f>IF('GREEN SHEET'!K32="","",'GREEN SHEET'!K32)</f>
        <v/>
      </c>
      <c r="N32" s="149" t="str">
        <f>IF('GREEN SHEET'!AA32="","",'GREEN SHEET'!AA32)</f>
        <v/>
      </c>
      <c r="O32" s="149" t="str">
        <f>IF('GREEN SHEET'!AB32="","",'GREEN SHEET'!AB32)</f>
        <v/>
      </c>
      <c r="P32" s="150" t="str">
        <f>IF('GREEN SHEET'!AW32="","",'GREEN SHEET'!AW32)</f>
        <v/>
      </c>
      <c r="Q32" s="150" t="str">
        <f>IF('GREEN SHEET'!AX32="","",'GREEN SHEET'!AX32)</f>
        <v/>
      </c>
      <c r="R32" s="149" t="str">
        <f>IF('GREEN SHEET'!BR32="","",'GREEN SHEET'!BR32)</f>
        <v/>
      </c>
      <c r="S32" s="149" t="str">
        <f>IF('GREEN SHEET'!BS32="","",'GREEN SHEET'!BS32)</f>
        <v/>
      </c>
      <c r="T32" s="150" t="str">
        <f>IF('GREEN SHEET'!CM32="","",'GREEN SHEET'!CM32)</f>
        <v/>
      </c>
      <c r="U32" s="150" t="str">
        <f>IF('GREEN SHEET'!CN32="","",'GREEN SHEET'!CN32)</f>
        <v/>
      </c>
      <c r="V32" s="152" t="str">
        <f>IF('GREEN SHEET'!DH32="","",'GREEN SHEET'!DH32)</f>
        <v/>
      </c>
      <c r="W32" s="152" t="str">
        <f>IF('GREEN SHEET'!DI32="","",'GREEN SHEET'!DI32)</f>
        <v/>
      </c>
      <c r="X32" s="150" t="str">
        <f>IF('GREEN SHEET'!DR32="","",'GREEN SHEET'!DR32)</f>
        <v/>
      </c>
      <c r="Y32" s="150" t="str">
        <f>IF('GREEN SHEET'!DS32="","",'GREEN SHEET'!DS32)</f>
        <v/>
      </c>
      <c r="Z32" s="153" t="str">
        <f>IF('GREEN SHEET'!FK32="PASS",'GREEN SHEET'!FP32,'GREEN SHEET'!FQ32)</f>
        <v/>
      </c>
      <c r="AA32" s="154" t="str">
        <f t="shared" si="1"/>
        <v/>
      </c>
      <c r="AB32" s="171" t="str">
        <f t="shared" si="4"/>
        <v/>
      </c>
      <c r="AC32" s="153" t="str">
        <f>IF('GREEN SHEET'!FU32="","",'GREEN SHEET'!FU32)</f>
        <v/>
      </c>
      <c r="AD32" s="158" t="str">
        <f>IF(Z32="","",RANK(Z32,Z$7:$Z$51,0)+COUNTIF($Z$7:Z32,Z32)-1)</f>
        <v/>
      </c>
      <c r="AE32" s="158" t="str">
        <f t="shared" si="2"/>
        <v/>
      </c>
      <c r="AF32" s="433" t="str">
        <f t="shared" si="5"/>
        <v/>
      </c>
      <c r="AG32" s="337" t="str">
        <f t="shared" si="6"/>
        <v/>
      </c>
    </row>
    <row r="33" spans="1:33" ht="16.8" hidden="1" x14ac:dyDescent="0.25">
      <c r="A33" s="177"/>
      <c r="B33" s="376">
        <v>27</v>
      </c>
      <c r="C33" s="156" t="str">
        <f t="shared" si="3"/>
        <v/>
      </c>
      <c r="D33" s="156" t="str">
        <f t="shared" si="0"/>
        <v/>
      </c>
      <c r="E33" s="96" t="str">
        <f>IF('GREEN SHEET'!C33="","",'GREEN SHEET'!C33)</f>
        <v/>
      </c>
      <c r="F33" s="96" t="str">
        <f>IF('GREEN SHEET'!D33="","",'GREEN SHEET'!D33)</f>
        <v/>
      </c>
      <c r="G33" s="96" t="str">
        <f>IF('GREEN SHEET'!E33="","",'GREEN SHEET'!E33)</f>
        <v/>
      </c>
      <c r="H33" s="96" t="str">
        <f>IF('GREEN SHEET'!F33="","",'GREEN SHEET'!F33)</f>
        <v/>
      </c>
      <c r="I33" s="96" t="str">
        <f>IF('GREEN SHEET'!G33="","",'GREEN SHEET'!G33)</f>
        <v/>
      </c>
      <c r="J33" s="96" t="str">
        <f>IF('GREEN SHEET'!H33="","",'GREEN SHEET'!H33)</f>
        <v/>
      </c>
      <c r="K33" s="96" t="str">
        <f>IF('GREEN SHEET'!I33="","",'GREEN SHEET'!I33)</f>
        <v/>
      </c>
      <c r="L33" s="96" t="str">
        <f>IF('GREEN SHEET'!J33="","",'GREEN SHEET'!J33)</f>
        <v/>
      </c>
      <c r="M33" s="96" t="str">
        <f>IF('GREEN SHEET'!K33="","",'GREEN SHEET'!K33)</f>
        <v/>
      </c>
      <c r="N33" s="149" t="str">
        <f>IF('GREEN SHEET'!AA33="","",'GREEN SHEET'!AA33)</f>
        <v/>
      </c>
      <c r="O33" s="149" t="str">
        <f>IF('GREEN SHEET'!AB33="","",'GREEN SHEET'!AB33)</f>
        <v/>
      </c>
      <c r="P33" s="150" t="str">
        <f>IF('GREEN SHEET'!AW33="","",'GREEN SHEET'!AW33)</f>
        <v/>
      </c>
      <c r="Q33" s="150" t="str">
        <f>IF('GREEN SHEET'!AX33="","",'GREEN SHEET'!AX33)</f>
        <v/>
      </c>
      <c r="R33" s="149" t="str">
        <f>IF('GREEN SHEET'!BR33="","",'GREEN SHEET'!BR33)</f>
        <v/>
      </c>
      <c r="S33" s="149" t="str">
        <f>IF('GREEN SHEET'!BS33="","",'GREEN SHEET'!BS33)</f>
        <v/>
      </c>
      <c r="T33" s="150" t="str">
        <f>IF('GREEN SHEET'!CM33="","",'GREEN SHEET'!CM33)</f>
        <v/>
      </c>
      <c r="U33" s="150" t="str">
        <f>IF('GREEN SHEET'!CN33="","",'GREEN SHEET'!CN33)</f>
        <v/>
      </c>
      <c r="V33" s="152" t="str">
        <f>IF('GREEN SHEET'!DH33="","",'GREEN SHEET'!DH33)</f>
        <v/>
      </c>
      <c r="W33" s="152" t="str">
        <f>IF('GREEN SHEET'!DI33="","",'GREEN SHEET'!DI33)</f>
        <v/>
      </c>
      <c r="X33" s="150" t="str">
        <f>IF('GREEN SHEET'!DR33="","",'GREEN SHEET'!DR33)</f>
        <v/>
      </c>
      <c r="Y33" s="150" t="str">
        <f>IF('GREEN SHEET'!DS33="","",'GREEN SHEET'!DS33)</f>
        <v/>
      </c>
      <c r="Z33" s="153" t="str">
        <f>IF('GREEN SHEET'!FK33="PASS",'GREEN SHEET'!FP33,'GREEN SHEET'!FQ33)</f>
        <v/>
      </c>
      <c r="AA33" s="154" t="str">
        <f t="shared" si="1"/>
        <v/>
      </c>
      <c r="AB33" s="171" t="str">
        <f t="shared" si="4"/>
        <v/>
      </c>
      <c r="AC33" s="153" t="str">
        <f>IF('GREEN SHEET'!FU33="","",'GREEN SHEET'!FU33)</f>
        <v/>
      </c>
      <c r="AD33" s="158" t="str">
        <f>IF(Z33="","",RANK(Z33,Z$7:$Z$51,0)+COUNTIF($Z$7:Z33,Z33)-1)</f>
        <v/>
      </c>
      <c r="AE33" s="158" t="str">
        <f t="shared" si="2"/>
        <v/>
      </c>
      <c r="AF33" s="433" t="str">
        <f t="shared" si="5"/>
        <v/>
      </c>
      <c r="AG33" s="337" t="str">
        <f t="shared" si="6"/>
        <v/>
      </c>
    </row>
    <row r="34" spans="1:33" ht="16.8" hidden="1" x14ac:dyDescent="0.25">
      <c r="A34" s="177"/>
      <c r="B34" s="376">
        <v>28</v>
      </c>
      <c r="C34" s="156" t="str">
        <f t="shared" si="3"/>
        <v/>
      </c>
      <c r="D34" s="156" t="str">
        <f t="shared" si="0"/>
        <v/>
      </c>
      <c r="E34" s="96" t="str">
        <f>IF('GREEN SHEET'!C34="","",'GREEN SHEET'!C34)</f>
        <v/>
      </c>
      <c r="F34" s="96" t="str">
        <f>IF('GREEN SHEET'!D34="","",'GREEN SHEET'!D34)</f>
        <v/>
      </c>
      <c r="G34" s="96" t="str">
        <f>IF('GREEN SHEET'!E34="","",'GREEN SHEET'!E34)</f>
        <v/>
      </c>
      <c r="H34" s="96" t="str">
        <f>IF('GREEN SHEET'!F34="","",'GREEN SHEET'!F34)</f>
        <v/>
      </c>
      <c r="I34" s="96" t="str">
        <f>IF('GREEN SHEET'!G34="","",'GREEN SHEET'!G34)</f>
        <v/>
      </c>
      <c r="J34" s="96" t="str">
        <f>IF('GREEN SHEET'!H34="","",'GREEN SHEET'!H34)</f>
        <v/>
      </c>
      <c r="K34" s="96" t="str">
        <f>IF('GREEN SHEET'!I34="","",'GREEN SHEET'!I34)</f>
        <v/>
      </c>
      <c r="L34" s="96" t="str">
        <f>IF('GREEN SHEET'!J34="","",'GREEN SHEET'!J34)</f>
        <v/>
      </c>
      <c r="M34" s="96" t="str">
        <f>IF('GREEN SHEET'!K34="","",'GREEN SHEET'!K34)</f>
        <v/>
      </c>
      <c r="N34" s="149" t="str">
        <f>IF('GREEN SHEET'!AA34="","",'GREEN SHEET'!AA34)</f>
        <v/>
      </c>
      <c r="O34" s="149" t="str">
        <f>IF('GREEN SHEET'!AB34="","",'GREEN SHEET'!AB34)</f>
        <v/>
      </c>
      <c r="P34" s="150" t="str">
        <f>IF('GREEN SHEET'!AW34="","",'GREEN SHEET'!AW34)</f>
        <v/>
      </c>
      <c r="Q34" s="150" t="str">
        <f>IF('GREEN SHEET'!AX34="","",'GREEN SHEET'!AX34)</f>
        <v/>
      </c>
      <c r="R34" s="149" t="str">
        <f>IF('GREEN SHEET'!BR34="","",'GREEN SHEET'!BR34)</f>
        <v/>
      </c>
      <c r="S34" s="149" t="str">
        <f>IF('GREEN SHEET'!BS34="","",'GREEN SHEET'!BS34)</f>
        <v/>
      </c>
      <c r="T34" s="150" t="str">
        <f>IF('GREEN SHEET'!CM34="","",'GREEN SHEET'!CM34)</f>
        <v/>
      </c>
      <c r="U34" s="150" t="str">
        <f>IF('GREEN SHEET'!CN34="","",'GREEN SHEET'!CN34)</f>
        <v/>
      </c>
      <c r="V34" s="152" t="str">
        <f>IF('GREEN SHEET'!DH34="","",'GREEN SHEET'!DH34)</f>
        <v/>
      </c>
      <c r="W34" s="152" t="str">
        <f>IF('GREEN SHEET'!DI34="","",'GREEN SHEET'!DI34)</f>
        <v/>
      </c>
      <c r="X34" s="150" t="str">
        <f>IF('GREEN SHEET'!DR34="","",'GREEN SHEET'!DR34)</f>
        <v/>
      </c>
      <c r="Y34" s="150" t="str">
        <f>IF('GREEN SHEET'!DS34="","",'GREEN SHEET'!DS34)</f>
        <v/>
      </c>
      <c r="Z34" s="153" t="str">
        <f>IF('GREEN SHEET'!FK34="PASS",'GREEN SHEET'!FP34,'GREEN SHEET'!FQ34)</f>
        <v/>
      </c>
      <c r="AA34" s="154" t="str">
        <f t="shared" si="1"/>
        <v/>
      </c>
      <c r="AB34" s="171" t="str">
        <f t="shared" si="4"/>
        <v/>
      </c>
      <c r="AC34" s="153" t="str">
        <f>IF('GREEN SHEET'!FU34="","",'GREEN SHEET'!FU34)</f>
        <v/>
      </c>
      <c r="AD34" s="158" t="str">
        <f>IF(Z34="","",RANK(Z34,Z$7:$Z$51,0)+COUNTIF($Z$7:Z34,Z34)-1)</f>
        <v/>
      </c>
      <c r="AE34" s="158" t="str">
        <f t="shared" si="2"/>
        <v/>
      </c>
      <c r="AF34" s="433" t="str">
        <f t="shared" si="5"/>
        <v/>
      </c>
      <c r="AG34" s="337" t="str">
        <f t="shared" si="6"/>
        <v/>
      </c>
    </row>
    <row r="35" spans="1:33" ht="16.8" hidden="1" x14ac:dyDescent="0.25">
      <c r="A35" s="177"/>
      <c r="B35" s="376">
        <v>29</v>
      </c>
      <c r="C35" s="156" t="str">
        <f t="shared" si="3"/>
        <v/>
      </c>
      <c r="D35" s="156" t="str">
        <f t="shared" si="0"/>
        <v/>
      </c>
      <c r="E35" s="96" t="str">
        <f>IF('GREEN SHEET'!C35="","",'GREEN SHEET'!C35)</f>
        <v/>
      </c>
      <c r="F35" s="96" t="str">
        <f>IF('GREEN SHEET'!D35="","",'GREEN SHEET'!D35)</f>
        <v/>
      </c>
      <c r="G35" s="96" t="str">
        <f>IF('GREEN SHEET'!E35="","",'GREEN SHEET'!E35)</f>
        <v/>
      </c>
      <c r="H35" s="96" t="str">
        <f>IF('GREEN SHEET'!F35="","",'GREEN SHEET'!F35)</f>
        <v/>
      </c>
      <c r="I35" s="96" t="str">
        <f>IF('GREEN SHEET'!G35="","",'GREEN SHEET'!G35)</f>
        <v/>
      </c>
      <c r="J35" s="96" t="str">
        <f>IF('GREEN SHEET'!H35="","",'GREEN SHEET'!H35)</f>
        <v/>
      </c>
      <c r="K35" s="96" t="str">
        <f>IF('GREEN SHEET'!I35="","",'GREEN SHEET'!I35)</f>
        <v/>
      </c>
      <c r="L35" s="96" t="str">
        <f>IF('GREEN SHEET'!J35="","",'GREEN SHEET'!J35)</f>
        <v/>
      </c>
      <c r="M35" s="96" t="str">
        <f>IF('GREEN SHEET'!K35="","",'GREEN SHEET'!K35)</f>
        <v/>
      </c>
      <c r="N35" s="149" t="str">
        <f>IF('GREEN SHEET'!AA35="","",'GREEN SHEET'!AA35)</f>
        <v/>
      </c>
      <c r="O35" s="149" t="str">
        <f>IF('GREEN SHEET'!AB35="","",'GREEN SHEET'!AB35)</f>
        <v/>
      </c>
      <c r="P35" s="150" t="str">
        <f>IF('GREEN SHEET'!AW35="","",'GREEN SHEET'!AW35)</f>
        <v/>
      </c>
      <c r="Q35" s="150" t="str">
        <f>IF('GREEN SHEET'!AX35="","",'GREEN SHEET'!AX35)</f>
        <v/>
      </c>
      <c r="R35" s="149" t="str">
        <f>IF('GREEN SHEET'!BR35="","",'GREEN SHEET'!BR35)</f>
        <v/>
      </c>
      <c r="S35" s="149" t="str">
        <f>IF('GREEN SHEET'!BS35="","",'GREEN SHEET'!BS35)</f>
        <v/>
      </c>
      <c r="T35" s="150" t="str">
        <f>IF('GREEN SHEET'!CM35="","",'GREEN SHEET'!CM35)</f>
        <v/>
      </c>
      <c r="U35" s="150" t="str">
        <f>IF('GREEN SHEET'!CN35="","",'GREEN SHEET'!CN35)</f>
        <v/>
      </c>
      <c r="V35" s="152" t="str">
        <f>IF('GREEN SHEET'!DH35="","",'GREEN SHEET'!DH35)</f>
        <v/>
      </c>
      <c r="W35" s="152" t="str">
        <f>IF('GREEN SHEET'!DI35="","",'GREEN SHEET'!DI35)</f>
        <v/>
      </c>
      <c r="X35" s="150" t="str">
        <f>IF('GREEN SHEET'!DR35="","",'GREEN SHEET'!DR35)</f>
        <v/>
      </c>
      <c r="Y35" s="150" t="str">
        <f>IF('GREEN SHEET'!DS35="","",'GREEN SHEET'!DS35)</f>
        <v/>
      </c>
      <c r="Z35" s="153" t="str">
        <f>IF('GREEN SHEET'!FK35="PASS",'GREEN SHEET'!FP35,'GREEN SHEET'!FQ35)</f>
        <v/>
      </c>
      <c r="AA35" s="154" t="str">
        <f t="shared" si="1"/>
        <v/>
      </c>
      <c r="AB35" s="171" t="str">
        <f t="shared" si="4"/>
        <v/>
      </c>
      <c r="AC35" s="153" t="str">
        <f>IF('GREEN SHEET'!FU35="","",'GREEN SHEET'!FU35)</f>
        <v/>
      </c>
      <c r="AD35" s="158" t="str">
        <f>IF(Z35="","",RANK(Z35,Z$7:$Z$51,0)+COUNTIF($Z$7:Z35,Z35)-1)</f>
        <v/>
      </c>
      <c r="AE35" s="158" t="str">
        <f t="shared" si="2"/>
        <v/>
      </c>
      <c r="AF35" s="433" t="str">
        <f t="shared" si="5"/>
        <v/>
      </c>
      <c r="AG35" s="337" t="str">
        <f t="shared" si="6"/>
        <v/>
      </c>
    </row>
    <row r="36" spans="1:33" ht="16.8" hidden="1" x14ac:dyDescent="0.25">
      <c r="A36" s="177"/>
      <c r="B36" s="376">
        <v>30</v>
      </c>
      <c r="C36" s="156" t="str">
        <f t="shared" si="3"/>
        <v/>
      </c>
      <c r="D36" s="156" t="str">
        <f t="shared" si="0"/>
        <v/>
      </c>
      <c r="E36" s="96" t="str">
        <f>IF('GREEN SHEET'!C36="","",'GREEN SHEET'!C36)</f>
        <v/>
      </c>
      <c r="F36" s="96" t="str">
        <f>IF('GREEN SHEET'!D36="","",'GREEN SHEET'!D36)</f>
        <v/>
      </c>
      <c r="G36" s="96" t="str">
        <f>IF('GREEN SHEET'!E36="","",'GREEN SHEET'!E36)</f>
        <v/>
      </c>
      <c r="H36" s="96" t="str">
        <f>IF('GREEN SHEET'!F36="","",'GREEN SHEET'!F36)</f>
        <v/>
      </c>
      <c r="I36" s="96" t="str">
        <f>IF('GREEN SHEET'!G36="","",'GREEN SHEET'!G36)</f>
        <v/>
      </c>
      <c r="J36" s="96" t="str">
        <f>IF('GREEN SHEET'!H36="","",'GREEN SHEET'!H36)</f>
        <v/>
      </c>
      <c r="K36" s="96" t="str">
        <f>IF('GREEN SHEET'!I36="","",'GREEN SHEET'!I36)</f>
        <v/>
      </c>
      <c r="L36" s="96" t="str">
        <f>IF('GREEN SHEET'!J36="","",'GREEN SHEET'!J36)</f>
        <v/>
      </c>
      <c r="M36" s="96" t="str">
        <f>IF('GREEN SHEET'!K36="","",'GREEN SHEET'!K36)</f>
        <v/>
      </c>
      <c r="N36" s="149" t="str">
        <f>IF('GREEN SHEET'!AA36="","",'GREEN SHEET'!AA36)</f>
        <v/>
      </c>
      <c r="O36" s="149" t="str">
        <f>IF('GREEN SHEET'!AB36="","",'GREEN SHEET'!AB36)</f>
        <v/>
      </c>
      <c r="P36" s="150" t="str">
        <f>IF('GREEN SHEET'!AW36="","",'GREEN SHEET'!AW36)</f>
        <v/>
      </c>
      <c r="Q36" s="150" t="str">
        <f>IF('GREEN SHEET'!AX36="","",'GREEN SHEET'!AX36)</f>
        <v/>
      </c>
      <c r="R36" s="149" t="str">
        <f>IF('GREEN SHEET'!BR36="","",'GREEN SHEET'!BR36)</f>
        <v/>
      </c>
      <c r="S36" s="149" t="str">
        <f>IF('GREEN SHEET'!BS36="","",'GREEN SHEET'!BS36)</f>
        <v/>
      </c>
      <c r="T36" s="150" t="str">
        <f>IF('GREEN SHEET'!CM36="","",'GREEN SHEET'!CM36)</f>
        <v/>
      </c>
      <c r="U36" s="150" t="str">
        <f>IF('GREEN SHEET'!CN36="","",'GREEN SHEET'!CN36)</f>
        <v/>
      </c>
      <c r="V36" s="152" t="str">
        <f>IF('GREEN SHEET'!DH36="","",'GREEN SHEET'!DH36)</f>
        <v/>
      </c>
      <c r="W36" s="152" t="str">
        <f>IF('GREEN SHEET'!DI36="","",'GREEN SHEET'!DI36)</f>
        <v/>
      </c>
      <c r="X36" s="150" t="str">
        <f>IF('GREEN SHEET'!DR36="","",'GREEN SHEET'!DR36)</f>
        <v/>
      </c>
      <c r="Y36" s="150" t="str">
        <f>IF('GREEN SHEET'!DS36="","",'GREEN SHEET'!DS36)</f>
        <v/>
      </c>
      <c r="Z36" s="153" t="str">
        <f>IF('GREEN SHEET'!FK36="PASS",'GREEN SHEET'!FP36,'GREEN SHEET'!FQ36)</f>
        <v/>
      </c>
      <c r="AA36" s="154" t="str">
        <f t="shared" si="1"/>
        <v/>
      </c>
      <c r="AB36" s="171" t="str">
        <f t="shared" si="4"/>
        <v/>
      </c>
      <c r="AC36" s="153" t="str">
        <f>IF('GREEN SHEET'!FU36="","",'GREEN SHEET'!FU36)</f>
        <v/>
      </c>
      <c r="AD36" s="158" t="str">
        <f>IF(Z36="","",RANK(Z36,Z$7:$Z$51,0)+COUNTIF($Z$7:Z36,Z36)-1)</f>
        <v/>
      </c>
      <c r="AE36" s="158" t="str">
        <f t="shared" si="2"/>
        <v/>
      </c>
      <c r="AF36" s="433" t="str">
        <f t="shared" si="5"/>
        <v/>
      </c>
      <c r="AG36" s="337" t="str">
        <f t="shared" si="6"/>
        <v/>
      </c>
    </row>
    <row r="37" spans="1:33" ht="16.8" hidden="1" x14ac:dyDescent="0.25">
      <c r="A37" s="177"/>
      <c r="B37" s="376">
        <v>31</v>
      </c>
      <c r="C37" s="156" t="str">
        <f t="shared" si="3"/>
        <v/>
      </c>
      <c r="D37" s="156" t="str">
        <f t="shared" si="0"/>
        <v/>
      </c>
      <c r="E37" s="96" t="str">
        <f>IF('GREEN SHEET'!C37="","",'GREEN SHEET'!C37)</f>
        <v/>
      </c>
      <c r="F37" s="96" t="str">
        <f>IF('GREEN SHEET'!D37="","",'GREEN SHEET'!D37)</f>
        <v/>
      </c>
      <c r="G37" s="96" t="str">
        <f>IF('GREEN SHEET'!E37="","",'GREEN SHEET'!E37)</f>
        <v/>
      </c>
      <c r="H37" s="96" t="str">
        <f>IF('GREEN SHEET'!F37="","",'GREEN SHEET'!F37)</f>
        <v/>
      </c>
      <c r="I37" s="96" t="str">
        <f>IF('GREEN SHEET'!G37="","",'GREEN SHEET'!G37)</f>
        <v/>
      </c>
      <c r="J37" s="96" t="str">
        <f>IF('GREEN SHEET'!H37="","",'GREEN SHEET'!H37)</f>
        <v/>
      </c>
      <c r="K37" s="96" t="str">
        <f>IF('GREEN SHEET'!I37="","",'GREEN SHEET'!I37)</f>
        <v/>
      </c>
      <c r="L37" s="96" t="str">
        <f>IF('GREEN SHEET'!J37="","",'GREEN SHEET'!J37)</f>
        <v/>
      </c>
      <c r="M37" s="96" t="str">
        <f>IF('GREEN SHEET'!K37="","",'GREEN SHEET'!K37)</f>
        <v/>
      </c>
      <c r="N37" s="149" t="str">
        <f>IF('GREEN SHEET'!AA37="","",'GREEN SHEET'!AA37)</f>
        <v/>
      </c>
      <c r="O37" s="149" t="str">
        <f>IF('GREEN SHEET'!AB37="","",'GREEN SHEET'!AB37)</f>
        <v/>
      </c>
      <c r="P37" s="150" t="str">
        <f>IF('GREEN SHEET'!AW37="","",'GREEN SHEET'!AW37)</f>
        <v/>
      </c>
      <c r="Q37" s="150" t="str">
        <f>IF('GREEN SHEET'!AX37="","",'GREEN SHEET'!AX37)</f>
        <v/>
      </c>
      <c r="R37" s="149" t="str">
        <f>IF('GREEN SHEET'!BR37="","",'GREEN SHEET'!BR37)</f>
        <v/>
      </c>
      <c r="S37" s="149" t="str">
        <f>IF('GREEN SHEET'!BS37="","",'GREEN SHEET'!BS37)</f>
        <v/>
      </c>
      <c r="T37" s="150" t="str">
        <f>IF('GREEN SHEET'!CM37="","",'GREEN SHEET'!CM37)</f>
        <v/>
      </c>
      <c r="U37" s="150" t="str">
        <f>IF('GREEN SHEET'!CN37="","",'GREEN SHEET'!CN37)</f>
        <v/>
      </c>
      <c r="V37" s="152" t="str">
        <f>IF('GREEN SHEET'!DH37="","",'GREEN SHEET'!DH37)</f>
        <v/>
      </c>
      <c r="W37" s="152" t="str">
        <f>IF('GREEN SHEET'!DI37="","",'GREEN SHEET'!DI37)</f>
        <v/>
      </c>
      <c r="X37" s="150" t="str">
        <f>IF('GREEN SHEET'!DR37="","",'GREEN SHEET'!DR37)</f>
        <v/>
      </c>
      <c r="Y37" s="150" t="str">
        <f>IF('GREEN SHEET'!DS37="","",'GREEN SHEET'!DS37)</f>
        <v/>
      </c>
      <c r="Z37" s="153" t="str">
        <f>IF('GREEN SHEET'!FK37="PASS",'GREEN SHEET'!FP37,'GREEN SHEET'!FQ37)</f>
        <v/>
      </c>
      <c r="AA37" s="154" t="str">
        <f t="shared" si="1"/>
        <v/>
      </c>
      <c r="AB37" s="171" t="str">
        <f t="shared" si="4"/>
        <v/>
      </c>
      <c r="AC37" s="153" t="str">
        <f>IF('GREEN SHEET'!FU37="","",'GREEN SHEET'!FU37)</f>
        <v/>
      </c>
      <c r="AD37" s="158" t="str">
        <f>IF(Z37="","",RANK(Z37,Z$7:$Z$51,0)+COUNTIF($Z$7:Z37,Z37)-1)</f>
        <v/>
      </c>
      <c r="AE37" s="158" t="str">
        <f t="shared" si="2"/>
        <v/>
      </c>
      <c r="AF37" s="433" t="str">
        <f t="shared" si="5"/>
        <v/>
      </c>
      <c r="AG37" s="337" t="str">
        <f t="shared" si="6"/>
        <v/>
      </c>
    </row>
    <row r="38" spans="1:33" ht="16.8" hidden="1" x14ac:dyDescent="0.25">
      <c r="A38" s="177"/>
      <c r="B38" s="376">
        <v>32</v>
      </c>
      <c r="C38" s="156" t="str">
        <f t="shared" si="3"/>
        <v/>
      </c>
      <c r="D38" s="156" t="str">
        <f t="shared" si="0"/>
        <v/>
      </c>
      <c r="E38" s="96" t="str">
        <f>IF('GREEN SHEET'!C38="","",'GREEN SHEET'!C38)</f>
        <v/>
      </c>
      <c r="F38" s="96" t="str">
        <f>IF('GREEN SHEET'!D38="","",'GREEN SHEET'!D38)</f>
        <v/>
      </c>
      <c r="G38" s="96" t="str">
        <f>IF('GREEN SHEET'!E38="","",'GREEN SHEET'!E38)</f>
        <v/>
      </c>
      <c r="H38" s="96" t="str">
        <f>IF('GREEN SHEET'!F38="","",'GREEN SHEET'!F38)</f>
        <v/>
      </c>
      <c r="I38" s="96" t="str">
        <f>IF('GREEN SHEET'!G38="","",'GREEN SHEET'!G38)</f>
        <v/>
      </c>
      <c r="J38" s="96" t="str">
        <f>IF('GREEN SHEET'!H38="","",'GREEN SHEET'!H38)</f>
        <v/>
      </c>
      <c r="K38" s="96" t="str">
        <f>IF('GREEN SHEET'!I38="","",'GREEN SHEET'!I38)</f>
        <v/>
      </c>
      <c r="L38" s="96" t="str">
        <f>IF('GREEN SHEET'!J38="","",'GREEN SHEET'!J38)</f>
        <v/>
      </c>
      <c r="M38" s="96" t="str">
        <f>IF('GREEN SHEET'!K38="","",'GREEN SHEET'!K38)</f>
        <v/>
      </c>
      <c r="N38" s="149" t="str">
        <f>IF('GREEN SHEET'!AA38="","",'GREEN SHEET'!AA38)</f>
        <v/>
      </c>
      <c r="O38" s="149" t="str">
        <f>IF('GREEN SHEET'!AB38="","",'GREEN SHEET'!AB38)</f>
        <v/>
      </c>
      <c r="P38" s="150" t="str">
        <f>IF('GREEN SHEET'!AW38="","",'GREEN SHEET'!AW38)</f>
        <v/>
      </c>
      <c r="Q38" s="150" t="str">
        <f>IF('GREEN SHEET'!AX38="","",'GREEN SHEET'!AX38)</f>
        <v/>
      </c>
      <c r="R38" s="149" t="str">
        <f>IF('GREEN SHEET'!BR38="","",'GREEN SHEET'!BR38)</f>
        <v/>
      </c>
      <c r="S38" s="149" t="str">
        <f>IF('GREEN SHEET'!BS38="","",'GREEN SHEET'!BS38)</f>
        <v/>
      </c>
      <c r="T38" s="150" t="str">
        <f>IF('GREEN SHEET'!CM38="","",'GREEN SHEET'!CM38)</f>
        <v/>
      </c>
      <c r="U38" s="150" t="str">
        <f>IF('GREEN SHEET'!CN38="","",'GREEN SHEET'!CN38)</f>
        <v/>
      </c>
      <c r="V38" s="152" t="str">
        <f>IF('GREEN SHEET'!DH38="","",'GREEN SHEET'!DH38)</f>
        <v/>
      </c>
      <c r="W38" s="152" t="str">
        <f>IF('GREEN SHEET'!DI38="","",'GREEN SHEET'!DI38)</f>
        <v/>
      </c>
      <c r="X38" s="150" t="str">
        <f>IF('GREEN SHEET'!DR38="","",'GREEN SHEET'!DR38)</f>
        <v/>
      </c>
      <c r="Y38" s="150" t="str">
        <f>IF('GREEN SHEET'!DS38="","",'GREEN SHEET'!DS38)</f>
        <v/>
      </c>
      <c r="Z38" s="153" t="str">
        <f>IF('GREEN SHEET'!FK38="PASS",'GREEN SHEET'!FP38,'GREEN SHEET'!FQ38)</f>
        <v/>
      </c>
      <c r="AA38" s="154" t="str">
        <f t="shared" si="1"/>
        <v/>
      </c>
      <c r="AB38" s="171" t="str">
        <f t="shared" si="4"/>
        <v/>
      </c>
      <c r="AC38" s="153" t="str">
        <f>IF('GREEN SHEET'!FU38="","",'GREEN SHEET'!FU38)</f>
        <v/>
      </c>
      <c r="AD38" s="158" t="str">
        <f>IF(Z38="","",RANK(Z38,Z$7:$Z$51,0)+COUNTIF($Z$7:Z38,Z38)-1)</f>
        <v/>
      </c>
      <c r="AE38" s="158" t="str">
        <f t="shared" si="2"/>
        <v/>
      </c>
      <c r="AF38" s="433" t="str">
        <f t="shared" si="5"/>
        <v/>
      </c>
      <c r="AG38" s="337" t="str">
        <f t="shared" si="6"/>
        <v/>
      </c>
    </row>
    <row r="39" spans="1:33" ht="16.8" hidden="1" x14ac:dyDescent="0.25">
      <c r="A39" s="177"/>
      <c r="B39" s="376">
        <v>33</v>
      </c>
      <c r="C39" s="156" t="str">
        <f t="shared" si="3"/>
        <v/>
      </c>
      <c r="D39" s="156" t="str">
        <f t="shared" si="0"/>
        <v/>
      </c>
      <c r="E39" s="96" t="str">
        <f>IF('GREEN SHEET'!C39="","",'GREEN SHEET'!C39)</f>
        <v/>
      </c>
      <c r="F39" s="96" t="str">
        <f>IF('GREEN SHEET'!D39="","",'GREEN SHEET'!D39)</f>
        <v/>
      </c>
      <c r="G39" s="96" t="str">
        <f>IF('GREEN SHEET'!E39="","",'GREEN SHEET'!E39)</f>
        <v/>
      </c>
      <c r="H39" s="96" t="str">
        <f>IF('GREEN SHEET'!F39="","",'GREEN SHEET'!F39)</f>
        <v/>
      </c>
      <c r="I39" s="96" t="str">
        <f>IF('GREEN SHEET'!G39="","",'GREEN SHEET'!G39)</f>
        <v/>
      </c>
      <c r="J39" s="96" t="str">
        <f>IF('GREEN SHEET'!H39="","",'GREEN SHEET'!H39)</f>
        <v/>
      </c>
      <c r="K39" s="96" t="str">
        <f>IF('GREEN SHEET'!I39="","",'GREEN SHEET'!I39)</f>
        <v/>
      </c>
      <c r="L39" s="96" t="str">
        <f>IF('GREEN SHEET'!J39="","",'GREEN SHEET'!J39)</f>
        <v/>
      </c>
      <c r="M39" s="96" t="str">
        <f>IF('GREEN SHEET'!K39="","",'GREEN SHEET'!K39)</f>
        <v/>
      </c>
      <c r="N39" s="149" t="str">
        <f>IF('GREEN SHEET'!AA39="","",'GREEN SHEET'!AA39)</f>
        <v/>
      </c>
      <c r="O39" s="149" t="str">
        <f>IF('GREEN SHEET'!AB39="","",'GREEN SHEET'!AB39)</f>
        <v/>
      </c>
      <c r="P39" s="150" t="str">
        <f>IF('GREEN SHEET'!AW39="","",'GREEN SHEET'!AW39)</f>
        <v/>
      </c>
      <c r="Q39" s="150" t="str">
        <f>IF('GREEN SHEET'!AX39="","",'GREEN SHEET'!AX39)</f>
        <v/>
      </c>
      <c r="R39" s="149" t="str">
        <f>IF('GREEN SHEET'!BR39="","",'GREEN SHEET'!BR39)</f>
        <v/>
      </c>
      <c r="S39" s="149" t="str">
        <f>IF('GREEN SHEET'!BS39="","",'GREEN SHEET'!BS39)</f>
        <v/>
      </c>
      <c r="T39" s="150" t="str">
        <f>IF('GREEN SHEET'!CM39="","",'GREEN SHEET'!CM39)</f>
        <v/>
      </c>
      <c r="U39" s="150" t="str">
        <f>IF('GREEN SHEET'!CN39="","",'GREEN SHEET'!CN39)</f>
        <v/>
      </c>
      <c r="V39" s="152" t="str">
        <f>IF('GREEN SHEET'!DH39="","",'GREEN SHEET'!DH39)</f>
        <v/>
      </c>
      <c r="W39" s="152" t="str">
        <f>IF('GREEN SHEET'!DI39="","",'GREEN SHEET'!DI39)</f>
        <v/>
      </c>
      <c r="X39" s="150" t="str">
        <f>IF('GREEN SHEET'!DR39="","",'GREEN SHEET'!DR39)</f>
        <v/>
      </c>
      <c r="Y39" s="150" t="str">
        <f>IF('GREEN SHEET'!DS39="","",'GREEN SHEET'!DS39)</f>
        <v/>
      </c>
      <c r="Z39" s="153" t="str">
        <f>IF('GREEN SHEET'!FK39="PASS",'GREEN SHEET'!FP39,'GREEN SHEET'!FQ39)</f>
        <v/>
      </c>
      <c r="AA39" s="154" t="str">
        <f t="shared" si="1"/>
        <v/>
      </c>
      <c r="AB39" s="171" t="str">
        <f t="shared" si="4"/>
        <v/>
      </c>
      <c r="AC39" s="153" t="str">
        <f>IF('GREEN SHEET'!FU39="","",'GREEN SHEET'!FU39)</f>
        <v/>
      </c>
      <c r="AD39" s="158" t="str">
        <f>IF(Z39="","",RANK(Z39,Z$7:$Z$51,0)+COUNTIF($Z$7:Z39,Z39)-1)</f>
        <v/>
      </c>
      <c r="AE39" s="158" t="str">
        <f t="shared" si="2"/>
        <v/>
      </c>
      <c r="AF39" s="433" t="str">
        <f t="shared" si="5"/>
        <v/>
      </c>
      <c r="AG39" s="337" t="str">
        <f t="shared" si="6"/>
        <v/>
      </c>
    </row>
    <row r="40" spans="1:33" ht="16.8" hidden="1" x14ac:dyDescent="0.25">
      <c r="A40" s="177"/>
      <c r="B40" s="376">
        <v>34</v>
      </c>
      <c r="C40" s="156" t="str">
        <f t="shared" si="3"/>
        <v/>
      </c>
      <c r="D40" s="156" t="str">
        <f t="shared" si="0"/>
        <v/>
      </c>
      <c r="E40" s="96" t="str">
        <f>IF('GREEN SHEET'!C40="","",'GREEN SHEET'!C40)</f>
        <v/>
      </c>
      <c r="F40" s="96" t="str">
        <f>IF('GREEN SHEET'!D40="","",'GREEN SHEET'!D40)</f>
        <v/>
      </c>
      <c r="G40" s="96" t="str">
        <f>IF('GREEN SHEET'!E40="","",'GREEN SHEET'!E40)</f>
        <v/>
      </c>
      <c r="H40" s="96" t="str">
        <f>IF('GREEN SHEET'!F40="","",'GREEN SHEET'!F40)</f>
        <v/>
      </c>
      <c r="I40" s="96" t="str">
        <f>IF('GREEN SHEET'!G40="","",'GREEN SHEET'!G40)</f>
        <v/>
      </c>
      <c r="J40" s="96" t="str">
        <f>IF('GREEN SHEET'!H40="","",'GREEN SHEET'!H40)</f>
        <v/>
      </c>
      <c r="K40" s="96" t="str">
        <f>IF('GREEN SHEET'!I40="","",'GREEN SHEET'!I40)</f>
        <v/>
      </c>
      <c r="L40" s="96" t="str">
        <f>IF('GREEN SHEET'!J40="","",'GREEN SHEET'!J40)</f>
        <v/>
      </c>
      <c r="M40" s="96" t="str">
        <f>IF('GREEN SHEET'!K40="","",'GREEN SHEET'!K40)</f>
        <v/>
      </c>
      <c r="N40" s="149" t="str">
        <f>IF('GREEN SHEET'!AA40="","",'GREEN SHEET'!AA40)</f>
        <v/>
      </c>
      <c r="O40" s="149" t="str">
        <f>IF('GREEN SHEET'!AB40="","",'GREEN SHEET'!AB40)</f>
        <v/>
      </c>
      <c r="P40" s="150" t="str">
        <f>IF('GREEN SHEET'!AW40="","",'GREEN SHEET'!AW40)</f>
        <v/>
      </c>
      <c r="Q40" s="150" t="str">
        <f>IF('GREEN SHEET'!AX40="","",'GREEN SHEET'!AX40)</f>
        <v/>
      </c>
      <c r="R40" s="149" t="str">
        <f>IF('GREEN SHEET'!BR40="","",'GREEN SHEET'!BR40)</f>
        <v/>
      </c>
      <c r="S40" s="149" t="str">
        <f>IF('GREEN SHEET'!BS40="","",'GREEN SHEET'!BS40)</f>
        <v/>
      </c>
      <c r="T40" s="150" t="str">
        <f>IF('GREEN SHEET'!CM40="","",'GREEN SHEET'!CM40)</f>
        <v/>
      </c>
      <c r="U40" s="150" t="str">
        <f>IF('GREEN SHEET'!CN40="","",'GREEN SHEET'!CN40)</f>
        <v/>
      </c>
      <c r="V40" s="152" t="str">
        <f>IF('GREEN SHEET'!DH40="","",'GREEN SHEET'!DH40)</f>
        <v/>
      </c>
      <c r="W40" s="152" t="str">
        <f>IF('GREEN SHEET'!DI40="","",'GREEN SHEET'!DI40)</f>
        <v/>
      </c>
      <c r="X40" s="150" t="str">
        <f>IF('GREEN SHEET'!DR40="","",'GREEN SHEET'!DR40)</f>
        <v/>
      </c>
      <c r="Y40" s="150" t="str">
        <f>IF('GREEN SHEET'!DS40="","",'GREEN SHEET'!DS40)</f>
        <v/>
      </c>
      <c r="Z40" s="153" t="str">
        <f>IF('GREEN SHEET'!FK40="PASS",'GREEN SHEET'!FP40,'GREEN SHEET'!FQ40)</f>
        <v/>
      </c>
      <c r="AA40" s="154" t="str">
        <f t="shared" si="1"/>
        <v/>
      </c>
      <c r="AB40" s="171" t="str">
        <f t="shared" si="4"/>
        <v/>
      </c>
      <c r="AC40" s="153" t="str">
        <f>IF('GREEN SHEET'!FU40="","",'GREEN SHEET'!FU40)</f>
        <v/>
      </c>
      <c r="AD40" s="158" t="str">
        <f>IF(Z40="","",RANK(Z40,Z$7:$Z$51,0)+COUNTIF($Z$7:Z40,Z40)-1)</f>
        <v/>
      </c>
      <c r="AE40" s="158" t="str">
        <f t="shared" si="2"/>
        <v/>
      </c>
      <c r="AF40" s="433" t="str">
        <f t="shared" si="5"/>
        <v/>
      </c>
      <c r="AG40" s="337" t="str">
        <f t="shared" si="6"/>
        <v/>
      </c>
    </row>
    <row r="41" spans="1:33" ht="16.8" hidden="1" x14ac:dyDescent="0.25">
      <c r="A41" s="177"/>
      <c r="B41" s="376">
        <v>35</v>
      </c>
      <c r="C41" s="156" t="str">
        <f t="shared" si="3"/>
        <v/>
      </c>
      <c r="D41" s="156" t="str">
        <f t="shared" si="0"/>
        <v/>
      </c>
      <c r="E41" s="96" t="str">
        <f>IF('GREEN SHEET'!C41="","",'GREEN SHEET'!C41)</f>
        <v/>
      </c>
      <c r="F41" s="96" t="str">
        <f>IF('GREEN SHEET'!D41="","",'GREEN SHEET'!D41)</f>
        <v/>
      </c>
      <c r="G41" s="96" t="str">
        <f>IF('GREEN SHEET'!E41="","",'GREEN SHEET'!E41)</f>
        <v/>
      </c>
      <c r="H41" s="96" t="str">
        <f>IF('GREEN SHEET'!F41="","",'GREEN SHEET'!F41)</f>
        <v/>
      </c>
      <c r="I41" s="96" t="str">
        <f>IF('GREEN SHEET'!G41="","",'GREEN SHEET'!G41)</f>
        <v/>
      </c>
      <c r="J41" s="96" t="str">
        <f>IF('GREEN SHEET'!H41="","",'GREEN SHEET'!H41)</f>
        <v/>
      </c>
      <c r="K41" s="96" t="str">
        <f>IF('GREEN SHEET'!I41="","",'GREEN SHEET'!I41)</f>
        <v/>
      </c>
      <c r="L41" s="96" t="str">
        <f>IF('GREEN SHEET'!J41="","",'GREEN SHEET'!J41)</f>
        <v/>
      </c>
      <c r="M41" s="96" t="str">
        <f>IF('GREEN SHEET'!K41="","",'GREEN SHEET'!K41)</f>
        <v/>
      </c>
      <c r="N41" s="149" t="str">
        <f>IF('GREEN SHEET'!AA41="","",'GREEN SHEET'!AA41)</f>
        <v/>
      </c>
      <c r="O41" s="149" t="str">
        <f>IF('GREEN SHEET'!AB41="","",'GREEN SHEET'!AB41)</f>
        <v/>
      </c>
      <c r="P41" s="150" t="str">
        <f>IF('GREEN SHEET'!AW41="","",'GREEN SHEET'!AW41)</f>
        <v/>
      </c>
      <c r="Q41" s="150" t="str">
        <f>IF('GREEN SHEET'!AX41="","",'GREEN SHEET'!AX41)</f>
        <v/>
      </c>
      <c r="R41" s="149" t="str">
        <f>IF('GREEN SHEET'!BR41="","",'GREEN SHEET'!BR41)</f>
        <v/>
      </c>
      <c r="S41" s="149" t="str">
        <f>IF('GREEN SHEET'!BS41="","",'GREEN SHEET'!BS41)</f>
        <v/>
      </c>
      <c r="T41" s="150" t="str">
        <f>IF('GREEN SHEET'!CM41="","",'GREEN SHEET'!CM41)</f>
        <v/>
      </c>
      <c r="U41" s="150" t="str">
        <f>IF('GREEN SHEET'!CN41="","",'GREEN SHEET'!CN41)</f>
        <v/>
      </c>
      <c r="V41" s="152" t="str">
        <f>IF('GREEN SHEET'!DH41="","",'GREEN SHEET'!DH41)</f>
        <v/>
      </c>
      <c r="W41" s="152" t="str">
        <f>IF('GREEN SHEET'!DI41="","",'GREEN SHEET'!DI41)</f>
        <v/>
      </c>
      <c r="X41" s="150" t="str">
        <f>IF('GREEN SHEET'!DR41="","",'GREEN SHEET'!DR41)</f>
        <v/>
      </c>
      <c r="Y41" s="150" t="str">
        <f>IF('GREEN SHEET'!DS41="","",'GREEN SHEET'!DS41)</f>
        <v/>
      </c>
      <c r="Z41" s="153" t="str">
        <f>IF('GREEN SHEET'!FK41="PASS",'GREEN SHEET'!FP41,'GREEN SHEET'!FQ41)</f>
        <v/>
      </c>
      <c r="AA41" s="154" t="str">
        <f t="shared" si="1"/>
        <v/>
      </c>
      <c r="AB41" s="171" t="str">
        <f t="shared" si="4"/>
        <v/>
      </c>
      <c r="AC41" s="153" t="str">
        <f>IF('GREEN SHEET'!FU41="","",'GREEN SHEET'!FU41)</f>
        <v/>
      </c>
      <c r="AD41" s="158" t="str">
        <f>IF(Z41="","",RANK(Z41,Z$7:$Z$51,0)+COUNTIF($Z$7:Z41,Z41)-1)</f>
        <v/>
      </c>
      <c r="AE41" s="158" t="str">
        <f t="shared" si="2"/>
        <v/>
      </c>
      <c r="AF41" s="433" t="str">
        <f t="shared" si="5"/>
        <v/>
      </c>
      <c r="AG41" s="337" t="str">
        <f t="shared" si="6"/>
        <v/>
      </c>
    </row>
    <row r="42" spans="1:33" ht="16.8" hidden="1" x14ac:dyDescent="0.25">
      <c r="A42" s="177"/>
      <c r="B42" s="376">
        <v>36</v>
      </c>
      <c r="C42" s="156" t="str">
        <f t="shared" si="3"/>
        <v/>
      </c>
      <c r="D42" s="156" t="str">
        <f t="shared" si="0"/>
        <v/>
      </c>
      <c r="E42" s="96" t="str">
        <f>IF('GREEN SHEET'!C42="","",'GREEN SHEET'!C42)</f>
        <v/>
      </c>
      <c r="F42" s="96" t="str">
        <f>IF('GREEN SHEET'!D42="","",'GREEN SHEET'!D42)</f>
        <v/>
      </c>
      <c r="G42" s="96" t="str">
        <f>IF('GREEN SHEET'!E42="","",'GREEN SHEET'!E42)</f>
        <v/>
      </c>
      <c r="H42" s="96" t="str">
        <f>IF('GREEN SHEET'!F42="","",'GREEN SHEET'!F42)</f>
        <v/>
      </c>
      <c r="I42" s="96" t="str">
        <f>IF('GREEN SHEET'!G42="","",'GREEN SHEET'!G42)</f>
        <v/>
      </c>
      <c r="J42" s="96" t="str">
        <f>IF('GREEN SHEET'!H42="","",'GREEN SHEET'!H42)</f>
        <v/>
      </c>
      <c r="K42" s="96" t="str">
        <f>IF('GREEN SHEET'!I42="","",'GREEN SHEET'!I42)</f>
        <v/>
      </c>
      <c r="L42" s="96" t="str">
        <f>IF('GREEN SHEET'!J42="","",'GREEN SHEET'!J42)</f>
        <v/>
      </c>
      <c r="M42" s="96" t="str">
        <f>IF('GREEN SHEET'!K42="","",'GREEN SHEET'!K42)</f>
        <v/>
      </c>
      <c r="N42" s="149" t="str">
        <f>IF('GREEN SHEET'!AA42="","",'GREEN SHEET'!AA42)</f>
        <v/>
      </c>
      <c r="O42" s="149" t="str">
        <f>IF('GREEN SHEET'!AB42="","",'GREEN SHEET'!AB42)</f>
        <v/>
      </c>
      <c r="P42" s="150" t="str">
        <f>IF('GREEN SHEET'!AW42="","",'GREEN SHEET'!AW42)</f>
        <v/>
      </c>
      <c r="Q42" s="150" t="str">
        <f>IF('GREEN SHEET'!AX42="","",'GREEN SHEET'!AX42)</f>
        <v/>
      </c>
      <c r="R42" s="149" t="str">
        <f>IF('GREEN SHEET'!BR42="","",'GREEN SHEET'!BR42)</f>
        <v/>
      </c>
      <c r="S42" s="149" t="str">
        <f>IF('GREEN SHEET'!BS42="","",'GREEN SHEET'!BS42)</f>
        <v/>
      </c>
      <c r="T42" s="150" t="str">
        <f>IF('GREEN SHEET'!CM42="","",'GREEN SHEET'!CM42)</f>
        <v/>
      </c>
      <c r="U42" s="150" t="str">
        <f>IF('GREEN SHEET'!CN42="","",'GREEN SHEET'!CN42)</f>
        <v/>
      </c>
      <c r="V42" s="152" t="str">
        <f>IF('GREEN SHEET'!DH42="","",'GREEN SHEET'!DH42)</f>
        <v/>
      </c>
      <c r="W42" s="152" t="str">
        <f>IF('GREEN SHEET'!DI42="","",'GREEN SHEET'!DI42)</f>
        <v/>
      </c>
      <c r="X42" s="150" t="str">
        <f>IF('GREEN SHEET'!DR42="","",'GREEN SHEET'!DR42)</f>
        <v/>
      </c>
      <c r="Y42" s="150" t="str">
        <f>IF('GREEN SHEET'!DS42="","",'GREEN SHEET'!DS42)</f>
        <v/>
      </c>
      <c r="Z42" s="153" t="str">
        <f>IF('GREEN SHEET'!FK42="PASS",'GREEN SHEET'!FP42,'GREEN SHEET'!FQ42)</f>
        <v/>
      </c>
      <c r="AA42" s="154" t="str">
        <f t="shared" si="1"/>
        <v/>
      </c>
      <c r="AB42" s="171" t="str">
        <f t="shared" si="4"/>
        <v/>
      </c>
      <c r="AC42" s="153" t="str">
        <f>IF('GREEN SHEET'!FU42="","",'GREEN SHEET'!FU42)</f>
        <v/>
      </c>
      <c r="AD42" s="158" t="str">
        <f>IF(Z42="","",RANK(Z42,Z$7:$Z$51,0)+COUNTIF($Z$7:Z42,Z42)-1)</f>
        <v/>
      </c>
      <c r="AE42" s="158" t="str">
        <f t="shared" si="2"/>
        <v/>
      </c>
      <c r="AF42" s="433" t="str">
        <f t="shared" si="5"/>
        <v/>
      </c>
      <c r="AG42" s="337" t="str">
        <f t="shared" si="6"/>
        <v/>
      </c>
    </row>
    <row r="43" spans="1:33" ht="16.8" hidden="1" x14ac:dyDescent="0.25">
      <c r="A43" s="177"/>
      <c r="B43" s="376">
        <v>37</v>
      </c>
      <c r="C43" s="156" t="str">
        <f t="shared" si="3"/>
        <v/>
      </c>
      <c r="D43" s="156" t="str">
        <f t="shared" si="0"/>
        <v/>
      </c>
      <c r="E43" s="96" t="str">
        <f>IF('GREEN SHEET'!C43="","",'GREEN SHEET'!C43)</f>
        <v/>
      </c>
      <c r="F43" s="96" t="str">
        <f>IF('GREEN SHEET'!D43="","",'GREEN SHEET'!D43)</f>
        <v/>
      </c>
      <c r="G43" s="96" t="str">
        <f>IF('GREEN SHEET'!E43="","",'GREEN SHEET'!E43)</f>
        <v/>
      </c>
      <c r="H43" s="96" t="str">
        <f>IF('GREEN SHEET'!F43="","",'GREEN SHEET'!F43)</f>
        <v/>
      </c>
      <c r="I43" s="96" t="str">
        <f>IF('GREEN SHEET'!G43="","",'GREEN SHEET'!G43)</f>
        <v/>
      </c>
      <c r="J43" s="96" t="str">
        <f>IF('GREEN SHEET'!H43="","",'GREEN SHEET'!H43)</f>
        <v/>
      </c>
      <c r="K43" s="96" t="str">
        <f>IF('GREEN SHEET'!I43="","",'GREEN SHEET'!I43)</f>
        <v/>
      </c>
      <c r="L43" s="96" t="str">
        <f>IF('GREEN SHEET'!J43="","",'GREEN SHEET'!J43)</f>
        <v/>
      </c>
      <c r="M43" s="96" t="str">
        <f>IF('GREEN SHEET'!K43="","",'GREEN SHEET'!K43)</f>
        <v/>
      </c>
      <c r="N43" s="149" t="str">
        <f>IF('GREEN SHEET'!AA43="","",'GREEN SHEET'!AA43)</f>
        <v/>
      </c>
      <c r="O43" s="149" t="str">
        <f>IF('GREEN SHEET'!AB43="","",'GREEN SHEET'!AB43)</f>
        <v/>
      </c>
      <c r="P43" s="150" t="str">
        <f>IF('GREEN SHEET'!AW43="","",'GREEN SHEET'!AW43)</f>
        <v/>
      </c>
      <c r="Q43" s="150" t="str">
        <f>IF('GREEN SHEET'!AX43="","",'GREEN SHEET'!AX43)</f>
        <v/>
      </c>
      <c r="R43" s="149" t="str">
        <f>IF('GREEN SHEET'!BR43="","",'GREEN SHEET'!BR43)</f>
        <v/>
      </c>
      <c r="S43" s="149" t="str">
        <f>IF('GREEN SHEET'!BS43="","",'GREEN SHEET'!BS43)</f>
        <v/>
      </c>
      <c r="T43" s="150" t="str">
        <f>IF('GREEN SHEET'!CM43="","",'GREEN SHEET'!CM43)</f>
        <v/>
      </c>
      <c r="U43" s="150" t="str">
        <f>IF('GREEN SHEET'!CN43="","",'GREEN SHEET'!CN43)</f>
        <v/>
      </c>
      <c r="V43" s="152" t="str">
        <f>IF('GREEN SHEET'!DH43="","",'GREEN SHEET'!DH43)</f>
        <v/>
      </c>
      <c r="W43" s="152" t="str">
        <f>IF('GREEN SHEET'!DI43="","",'GREEN SHEET'!DI43)</f>
        <v/>
      </c>
      <c r="X43" s="150" t="str">
        <f>IF('GREEN SHEET'!DR43="","",'GREEN SHEET'!DR43)</f>
        <v/>
      </c>
      <c r="Y43" s="150" t="str">
        <f>IF('GREEN SHEET'!DS43="","",'GREEN SHEET'!DS43)</f>
        <v/>
      </c>
      <c r="Z43" s="153" t="str">
        <f>IF('GREEN SHEET'!FK43="PASS",'GREEN SHEET'!FP43,'GREEN SHEET'!FQ43)</f>
        <v/>
      </c>
      <c r="AA43" s="154" t="str">
        <f t="shared" si="1"/>
        <v/>
      </c>
      <c r="AB43" s="171" t="str">
        <f t="shared" si="4"/>
        <v/>
      </c>
      <c r="AC43" s="153" t="str">
        <f>IF('GREEN SHEET'!FU43="","",'GREEN SHEET'!FU43)</f>
        <v/>
      </c>
      <c r="AD43" s="158" t="str">
        <f>IF(Z43="","",RANK(Z43,Z$7:$Z$51,0)+COUNTIF($Z$7:Z43,Z43)-1)</f>
        <v/>
      </c>
      <c r="AE43" s="158" t="str">
        <f t="shared" si="2"/>
        <v/>
      </c>
      <c r="AF43" s="433" t="str">
        <f t="shared" si="5"/>
        <v/>
      </c>
      <c r="AG43" s="337" t="str">
        <f t="shared" si="6"/>
        <v/>
      </c>
    </row>
    <row r="44" spans="1:33" ht="16.8" hidden="1" x14ac:dyDescent="0.25">
      <c r="A44" s="177"/>
      <c r="B44" s="376">
        <v>38</v>
      </c>
      <c r="C44" s="156" t="str">
        <f t="shared" si="3"/>
        <v/>
      </c>
      <c r="D44" s="156" t="str">
        <f t="shared" si="0"/>
        <v/>
      </c>
      <c r="E44" s="96" t="str">
        <f>IF('GREEN SHEET'!C44="","",'GREEN SHEET'!C44)</f>
        <v/>
      </c>
      <c r="F44" s="96" t="str">
        <f>IF('GREEN SHEET'!D44="","",'GREEN SHEET'!D44)</f>
        <v/>
      </c>
      <c r="G44" s="96" t="str">
        <f>IF('GREEN SHEET'!E44="","",'GREEN SHEET'!E44)</f>
        <v/>
      </c>
      <c r="H44" s="96" t="str">
        <f>IF('GREEN SHEET'!F44="","",'GREEN SHEET'!F44)</f>
        <v/>
      </c>
      <c r="I44" s="96" t="str">
        <f>IF('GREEN SHEET'!G44="","",'GREEN SHEET'!G44)</f>
        <v/>
      </c>
      <c r="J44" s="96" t="str">
        <f>IF('GREEN SHEET'!H44="","",'GREEN SHEET'!H44)</f>
        <v/>
      </c>
      <c r="K44" s="96" t="str">
        <f>IF('GREEN SHEET'!I44="","",'GREEN SHEET'!I44)</f>
        <v/>
      </c>
      <c r="L44" s="96" t="str">
        <f>IF('GREEN SHEET'!J44="","",'GREEN SHEET'!J44)</f>
        <v/>
      </c>
      <c r="M44" s="96" t="str">
        <f>IF('GREEN SHEET'!K44="","",'GREEN SHEET'!K44)</f>
        <v/>
      </c>
      <c r="N44" s="149" t="str">
        <f>IF('GREEN SHEET'!AA44="","",'GREEN SHEET'!AA44)</f>
        <v/>
      </c>
      <c r="O44" s="149" t="str">
        <f>IF('GREEN SHEET'!AB44="","",'GREEN SHEET'!AB44)</f>
        <v/>
      </c>
      <c r="P44" s="150" t="str">
        <f>IF('GREEN SHEET'!AW44="","",'GREEN SHEET'!AW44)</f>
        <v/>
      </c>
      <c r="Q44" s="150" t="str">
        <f>IF('GREEN SHEET'!AX44="","",'GREEN SHEET'!AX44)</f>
        <v/>
      </c>
      <c r="R44" s="149" t="str">
        <f>IF('GREEN SHEET'!BR44="","",'GREEN SHEET'!BR44)</f>
        <v/>
      </c>
      <c r="S44" s="149" t="str">
        <f>IF('GREEN SHEET'!BS44="","",'GREEN SHEET'!BS44)</f>
        <v/>
      </c>
      <c r="T44" s="150" t="str">
        <f>IF('GREEN SHEET'!CM44="","",'GREEN SHEET'!CM44)</f>
        <v/>
      </c>
      <c r="U44" s="150" t="str">
        <f>IF('GREEN SHEET'!CN44="","",'GREEN SHEET'!CN44)</f>
        <v/>
      </c>
      <c r="V44" s="152" t="str">
        <f>IF('GREEN SHEET'!DH44="","",'GREEN SHEET'!DH44)</f>
        <v/>
      </c>
      <c r="W44" s="152" t="str">
        <f>IF('GREEN SHEET'!DI44="","",'GREEN SHEET'!DI44)</f>
        <v/>
      </c>
      <c r="X44" s="150" t="str">
        <f>IF('GREEN SHEET'!DR44="","",'GREEN SHEET'!DR44)</f>
        <v/>
      </c>
      <c r="Y44" s="150" t="str">
        <f>IF('GREEN SHEET'!DS44="","",'GREEN SHEET'!DS44)</f>
        <v/>
      </c>
      <c r="Z44" s="153" t="str">
        <f>IF('GREEN SHEET'!FK44="PASS",'GREEN SHEET'!FP44,'GREEN SHEET'!FQ44)</f>
        <v/>
      </c>
      <c r="AA44" s="154" t="str">
        <f t="shared" si="1"/>
        <v/>
      </c>
      <c r="AB44" s="171" t="str">
        <f t="shared" si="4"/>
        <v/>
      </c>
      <c r="AC44" s="153" t="str">
        <f>IF('GREEN SHEET'!FU44="","",'GREEN SHEET'!FU44)</f>
        <v/>
      </c>
      <c r="AD44" s="158" t="str">
        <f>IF(Z44="","",RANK(Z44,Z$7:$Z$51,0)+COUNTIF($Z$7:Z44,Z44)-1)</f>
        <v/>
      </c>
      <c r="AE44" s="158" t="str">
        <f t="shared" si="2"/>
        <v/>
      </c>
      <c r="AF44" s="433" t="str">
        <f t="shared" si="5"/>
        <v/>
      </c>
      <c r="AG44" s="337" t="str">
        <f t="shared" si="6"/>
        <v/>
      </c>
    </row>
    <row r="45" spans="1:33" ht="16.8" hidden="1" x14ac:dyDescent="0.25">
      <c r="A45" s="177"/>
      <c r="B45" s="376">
        <v>39</v>
      </c>
      <c r="C45" s="156" t="str">
        <f t="shared" si="3"/>
        <v/>
      </c>
      <c r="D45" s="156" t="str">
        <f t="shared" si="0"/>
        <v/>
      </c>
      <c r="E45" s="96" t="str">
        <f>IF('GREEN SHEET'!C45="","",'GREEN SHEET'!C45)</f>
        <v/>
      </c>
      <c r="F45" s="96" t="str">
        <f>IF('GREEN SHEET'!D45="","",'GREEN SHEET'!D45)</f>
        <v/>
      </c>
      <c r="G45" s="96" t="str">
        <f>IF('GREEN SHEET'!E45="","",'GREEN SHEET'!E45)</f>
        <v/>
      </c>
      <c r="H45" s="96" t="str">
        <f>IF('GREEN SHEET'!F45="","",'GREEN SHEET'!F45)</f>
        <v/>
      </c>
      <c r="I45" s="96" t="str">
        <f>IF('GREEN SHEET'!G45="","",'GREEN SHEET'!G45)</f>
        <v/>
      </c>
      <c r="J45" s="96" t="str">
        <f>IF('GREEN SHEET'!H45="","",'GREEN SHEET'!H45)</f>
        <v/>
      </c>
      <c r="K45" s="96" t="str">
        <f>IF('GREEN SHEET'!I45="","",'GREEN SHEET'!I45)</f>
        <v/>
      </c>
      <c r="L45" s="96" t="str">
        <f>IF('GREEN SHEET'!J45="","",'GREEN SHEET'!J45)</f>
        <v/>
      </c>
      <c r="M45" s="96" t="str">
        <f>IF('GREEN SHEET'!K45="","",'GREEN SHEET'!K45)</f>
        <v/>
      </c>
      <c r="N45" s="149" t="str">
        <f>IF('GREEN SHEET'!AA45="","",'GREEN SHEET'!AA45)</f>
        <v/>
      </c>
      <c r="O45" s="149" t="str">
        <f>IF('GREEN SHEET'!AB45="","",'GREEN SHEET'!AB45)</f>
        <v/>
      </c>
      <c r="P45" s="150" t="str">
        <f>IF('GREEN SHEET'!AW45="","",'GREEN SHEET'!AW45)</f>
        <v/>
      </c>
      <c r="Q45" s="150" t="str">
        <f>IF('GREEN SHEET'!AX45="","",'GREEN SHEET'!AX45)</f>
        <v/>
      </c>
      <c r="R45" s="149" t="str">
        <f>IF('GREEN SHEET'!BR45="","",'GREEN SHEET'!BR45)</f>
        <v/>
      </c>
      <c r="S45" s="149" t="str">
        <f>IF('GREEN SHEET'!BS45="","",'GREEN SHEET'!BS45)</f>
        <v/>
      </c>
      <c r="T45" s="150" t="str">
        <f>IF('GREEN SHEET'!CM45="","",'GREEN SHEET'!CM45)</f>
        <v/>
      </c>
      <c r="U45" s="150" t="str">
        <f>IF('GREEN SHEET'!CN45="","",'GREEN SHEET'!CN45)</f>
        <v/>
      </c>
      <c r="V45" s="152" t="str">
        <f>IF('GREEN SHEET'!DH45="","",'GREEN SHEET'!DH45)</f>
        <v/>
      </c>
      <c r="W45" s="152" t="str">
        <f>IF('GREEN SHEET'!DI45="","",'GREEN SHEET'!DI45)</f>
        <v/>
      </c>
      <c r="X45" s="150" t="str">
        <f>IF('GREEN SHEET'!DR45="","",'GREEN SHEET'!DR45)</f>
        <v/>
      </c>
      <c r="Y45" s="150" t="str">
        <f>IF('GREEN SHEET'!DS45="","",'GREEN SHEET'!DS45)</f>
        <v/>
      </c>
      <c r="Z45" s="153" t="str">
        <f>IF('GREEN SHEET'!FK45="PASS",'GREEN SHEET'!FP45,'GREEN SHEET'!FQ45)</f>
        <v/>
      </c>
      <c r="AA45" s="154" t="str">
        <f t="shared" si="1"/>
        <v/>
      </c>
      <c r="AB45" s="171" t="str">
        <f t="shared" si="4"/>
        <v/>
      </c>
      <c r="AC45" s="153" t="str">
        <f>IF('GREEN SHEET'!FU45="","",'GREEN SHEET'!FU45)</f>
        <v/>
      </c>
      <c r="AD45" s="158" t="str">
        <f>IF(Z45="","",RANK(Z45,Z$7:$Z$51,0)+COUNTIF($Z$7:Z45,Z45)-1)</f>
        <v/>
      </c>
      <c r="AE45" s="158" t="str">
        <f t="shared" si="2"/>
        <v/>
      </c>
      <c r="AF45" s="433" t="str">
        <f t="shared" si="5"/>
        <v/>
      </c>
      <c r="AG45" s="337" t="str">
        <f t="shared" si="6"/>
        <v/>
      </c>
    </row>
    <row r="46" spans="1:33" ht="16.8" hidden="1" x14ac:dyDescent="0.25">
      <c r="A46" s="177"/>
      <c r="B46" s="376">
        <v>40</v>
      </c>
      <c r="C46" s="156" t="str">
        <f t="shared" si="3"/>
        <v/>
      </c>
      <c r="D46" s="156" t="str">
        <f t="shared" si="0"/>
        <v/>
      </c>
      <c r="E46" s="96" t="str">
        <f>IF('GREEN SHEET'!C46="","",'GREEN SHEET'!C46)</f>
        <v/>
      </c>
      <c r="F46" s="96" t="str">
        <f>IF('GREEN SHEET'!D46="","",'GREEN SHEET'!D46)</f>
        <v/>
      </c>
      <c r="G46" s="96" t="str">
        <f>IF('GREEN SHEET'!E46="","",'GREEN SHEET'!E46)</f>
        <v/>
      </c>
      <c r="H46" s="96" t="str">
        <f>IF('GREEN SHEET'!F46="","",'GREEN SHEET'!F46)</f>
        <v/>
      </c>
      <c r="I46" s="96" t="str">
        <f>IF('GREEN SHEET'!G46="","",'GREEN SHEET'!G46)</f>
        <v/>
      </c>
      <c r="J46" s="96" t="str">
        <f>IF('GREEN SHEET'!H46="","",'GREEN SHEET'!H46)</f>
        <v/>
      </c>
      <c r="K46" s="96" t="str">
        <f>IF('GREEN SHEET'!I46="","",'GREEN SHEET'!I46)</f>
        <v/>
      </c>
      <c r="L46" s="96" t="str">
        <f>IF('GREEN SHEET'!J46="","",'GREEN SHEET'!J46)</f>
        <v/>
      </c>
      <c r="M46" s="96" t="str">
        <f>IF('GREEN SHEET'!K46="","",'GREEN SHEET'!K46)</f>
        <v/>
      </c>
      <c r="N46" s="149" t="str">
        <f>IF('GREEN SHEET'!AA46="","",'GREEN SHEET'!AA46)</f>
        <v/>
      </c>
      <c r="O46" s="149" t="str">
        <f>IF('GREEN SHEET'!AB46="","",'GREEN SHEET'!AB46)</f>
        <v/>
      </c>
      <c r="P46" s="150" t="str">
        <f>IF('GREEN SHEET'!AW46="","",'GREEN SHEET'!AW46)</f>
        <v/>
      </c>
      <c r="Q46" s="150" t="str">
        <f>IF('GREEN SHEET'!AX46="","",'GREEN SHEET'!AX46)</f>
        <v/>
      </c>
      <c r="R46" s="149" t="str">
        <f>IF('GREEN SHEET'!BR46="","",'GREEN SHEET'!BR46)</f>
        <v/>
      </c>
      <c r="S46" s="149" t="str">
        <f>IF('GREEN SHEET'!BS46="","",'GREEN SHEET'!BS46)</f>
        <v/>
      </c>
      <c r="T46" s="150" t="str">
        <f>IF('GREEN SHEET'!CM46="","",'GREEN SHEET'!CM46)</f>
        <v/>
      </c>
      <c r="U46" s="150" t="str">
        <f>IF('GREEN SHEET'!CN46="","",'GREEN SHEET'!CN46)</f>
        <v/>
      </c>
      <c r="V46" s="152" t="str">
        <f>IF('GREEN SHEET'!DH46="","",'GREEN SHEET'!DH46)</f>
        <v/>
      </c>
      <c r="W46" s="152" t="str">
        <f>IF('GREEN SHEET'!DI46="","",'GREEN SHEET'!DI46)</f>
        <v/>
      </c>
      <c r="X46" s="150" t="str">
        <f>IF('GREEN SHEET'!DR46="","",'GREEN SHEET'!DR46)</f>
        <v/>
      </c>
      <c r="Y46" s="150" t="str">
        <f>IF('GREEN SHEET'!DS46="","",'GREEN SHEET'!DS46)</f>
        <v/>
      </c>
      <c r="Z46" s="153" t="str">
        <f>IF('GREEN SHEET'!FK46="PASS",'GREEN SHEET'!FP46,'GREEN SHEET'!FQ46)</f>
        <v/>
      </c>
      <c r="AA46" s="154" t="str">
        <f t="shared" si="1"/>
        <v/>
      </c>
      <c r="AB46" s="171" t="str">
        <f t="shared" si="4"/>
        <v/>
      </c>
      <c r="AC46" s="153" t="str">
        <f>IF('GREEN SHEET'!FU46="","",'GREEN SHEET'!FU46)</f>
        <v/>
      </c>
      <c r="AD46" s="158" t="str">
        <f>IF(Z46="","",RANK(Z46,Z$7:$Z$51,0)+COUNTIF($Z$7:Z46,Z46)-1)</f>
        <v/>
      </c>
      <c r="AE46" s="158" t="str">
        <f t="shared" si="2"/>
        <v/>
      </c>
      <c r="AF46" s="433" t="str">
        <f t="shared" si="5"/>
        <v/>
      </c>
      <c r="AG46" s="337" t="str">
        <f t="shared" si="6"/>
        <v/>
      </c>
    </row>
    <row r="47" spans="1:33" ht="16.8" hidden="1" x14ac:dyDescent="0.25">
      <c r="A47" s="177"/>
      <c r="B47" s="376">
        <v>41</v>
      </c>
      <c r="C47" s="156" t="str">
        <f t="shared" si="3"/>
        <v/>
      </c>
      <c r="D47" s="156" t="str">
        <f t="shared" si="0"/>
        <v/>
      </c>
      <c r="E47" s="96" t="str">
        <f>IF('GREEN SHEET'!C47="","",'GREEN SHEET'!C47)</f>
        <v/>
      </c>
      <c r="F47" s="96" t="str">
        <f>IF('GREEN SHEET'!D47="","",'GREEN SHEET'!D47)</f>
        <v/>
      </c>
      <c r="G47" s="96" t="str">
        <f>IF('GREEN SHEET'!E47="","",'GREEN SHEET'!E47)</f>
        <v/>
      </c>
      <c r="H47" s="96" t="str">
        <f>IF('GREEN SHEET'!F47="","",'GREEN SHEET'!F47)</f>
        <v/>
      </c>
      <c r="I47" s="96" t="str">
        <f>IF('GREEN SHEET'!G47="","",'GREEN SHEET'!G47)</f>
        <v/>
      </c>
      <c r="J47" s="96" t="str">
        <f>IF('GREEN SHEET'!H47="","",'GREEN SHEET'!H47)</f>
        <v/>
      </c>
      <c r="K47" s="96" t="str">
        <f>IF('GREEN SHEET'!I47="","",'GREEN SHEET'!I47)</f>
        <v/>
      </c>
      <c r="L47" s="96" t="str">
        <f>IF('GREEN SHEET'!J47="","",'GREEN SHEET'!J47)</f>
        <v/>
      </c>
      <c r="M47" s="96" t="str">
        <f>IF('GREEN SHEET'!K47="","",'GREEN SHEET'!K47)</f>
        <v/>
      </c>
      <c r="N47" s="149" t="str">
        <f>IF('GREEN SHEET'!AA47="","",'GREEN SHEET'!AA47)</f>
        <v/>
      </c>
      <c r="O47" s="149" t="str">
        <f>IF('GREEN SHEET'!AB47="","",'GREEN SHEET'!AB47)</f>
        <v/>
      </c>
      <c r="P47" s="150" t="str">
        <f>IF('GREEN SHEET'!AW47="","",'GREEN SHEET'!AW47)</f>
        <v/>
      </c>
      <c r="Q47" s="150" t="str">
        <f>IF('GREEN SHEET'!AX47="","",'GREEN SHEET'!AX47)</f>
        <v/>
      </c>
      <c r="R47" s="149" t="str">
        <f>IF('GREEN SHEET'!BR47="","",'GREEN SHEET'!BR47)</f>
        <v/>
      </c>
      <c r="S47" s="149" t="str">
        <f>IF('GREEN SHEET'!BS47="","",'GREEN SHEET'!BS47)</f>
        <v/>
      </c>
      <c r="T47" s="150" t="str">
        <f>IF('GREEN SHEET'!CM47="","",'GREEN SHEET'!CM47)</f>
        <v/>
      </c>
      <c r="U47" s="150" t="str">
        <f>IF('GREEN SHEET'!CN47="","",'GREEN SHEET'!CN47)</f>
        <v/>
      </c>
      <c r="V47" s="152" t="str">
        <f>IF('GREEN SHEET'!DH47="","",'GREEN SHEET'!DH47)</f>
        <v/>
      </c>
      <c r="W47" s="152" t="str">
        <f>IF('GREEN SHEET'!DI47="","",'GREEN SHEET'!DI47)</f>
        <v/>
      </c>
      <c r="X47" s="150" t="str">
        <f>IF('GREEN SHEET'!DR47="","",'GREEN SHEET'!DR47)</f>
        <v/>
      </c>
      <c r="Y47" s="150" t="str">
        <f>IF('GREEN SHEET'!DS47="","",'GREEN SHEET'!DS47)</f>
        <v/>
      </c>
      <c r="Z47" s="153" t="str">
        <f>IF('GREEN SHEET'!FK47="PASS",'GREEN SHEET'!FP47,'GREEN SHEET'!FQ47)</f>
        <v/>
      </c>
      <c r="AA47" s="154" t="str">
        <f t="shared" si="1"/>
        <v/>
      </c>
      <c r="AB47" s="171" t="str">
        <f t="shared" si="4"/>
        <v/>
      </c>
      <c r="AC47" s="153" t="str">
        <f>IF('GREEN SHEET'!FU47="","",'GREEN SHEET'!FU47)</f>
        <v/>
      </c>
      <c r="AD47" s="158" t="str">
        <f>IF(Z47="","",RANK(Z47,Z$7:$Z$51,0)+COUNTIF($Z$7:Z47,Z47)-1)</f>
        <v/>
      </c>
      <c r="AE47" s="158" t="str">
        <f t="shared" si="2"/>
        <v/>
      </c>
      <c r="AF47" s="433" t="str">
        <f t="shared" si="5"/>
        <v/>
      </c>
      <c r="AG47" s="337" t="str">
        <f t="shared" si="6"/>
        <v/>
      </c>
    </row>
    <row r="48" spans="1:33" ht="16.8" hidden="1" x14ac:dyDescent="0.25">
      <c r="A48" s="177"/>
      <c r="B48" s="376">
        <v>42</v>
      </c>
      <c r="C48" s="156" t="str">
        <f t="shared" si="3"/>
        <v/>
      </c>
      <c r="D48" s="156" t="str">
        <f t="shared" si="0"/>
        <v/>
      </c>
      <c r="E48" s="96" t="str">
        <f>IF('GREEN SHEET'!C48="","",'GREEN SHEET'!C48)</f>
        <v/>
      </c>
      <c r="F48" s="96" t="str">
        <f>IF('GREEN SHEET'!D48="","",'GREEN SHEET'!D48)</f>
        <v/>
      </c>
      <c r="G48" s="96" t="str">
        <f>IF('GREEN SHEET'!E48="","",'GREEN SHEET'!E48)</f>
        <v/>
      </c>
      <c r="H48" s="96" t="str">
        <f>IF('GREEN SHEET'!F48="","",'GREEN SHEET'!F48)</f>
        <v/>
      </c>
      <c r="I48" s="96" t="str">
        <f>IF('GREEN SHEET'!G48="","",'GREEN SHEET'!G48)</f>
        <v/>
      </c>
      <c r="J48" s="96" t="str">
        <f>IF('GREEN SHEET'!H48="","",'GREEN SHEET'!H48)</f>
        <v/>
      </c>
      <c r="K48" s="96" t="str">
        <f>IF('GREEN SHEET'!I48="","",'GREEN SHEET'!I48)</f>
        <v/>
      </c>
      <c r="L48" s="96" t="str">
        <f>IF('GREEN SHEET'!J48="","",'GREEN SHEET'!J48)</f>
        <v/>
      </c>
      <c r="M48" s="96" t="str">
        <f>IF('GREEN SHEET'!K48="","",'GREEN SHEET'!K48)</f>
        <v/>
      </c>
      <c r="N48" s="149" t="str">
        <f>IF('GREEN SHEET'!AA48="","",'GREEN SHEET'!AA48)</f>
        <v/>
      </c>
      <c r="O48" s="149" t="str">
        <f>IF('GREEN SHEET'!AB48="","",'GREEN SHEET'!AB48)</f>
        <v/>
      </c>
      <c r="P48" s="150" t="str">
        <f>IF('GREEN SHEET'!AW48="","",'GREEN SHEET'!AW48)</f>
        <v/>
      </c>
      <c r="Q48" s="150" t="str">
        <f>IF('GREEN SHEET'!AX48="","",'GREEN SHEET'!AX48)</f>
        <v/>
      </c>
      <c r="R48" s="149" t="str">
        <f>IF('GREEN SHEET'!BR48="","",'GREEN SHEET'!BR48)</f>
        <v/>
      </c>
      <c r="S48" s="149" t="str">
        <f>IF('GREEN SHEET'!BS48="","",'GREEN SHEET'!BS48)</f>
        <v/>
      </c>
      <c r="T48" s="150" t="str">
        <f>IF('GREEN SHEET'!CM48="","",'GREEN SHEET'!CM48)</f>
        <v/>
      </c>
      <c r="U48" s="150" t="str">
        <f>IF('GREEN SHEET'!CN48="","",'GREEN SHEET'!CN48)</f>
        <v/>
      </c>
      <c r="V48" s="152" t="str">
        <f>IF('GREEN SHEET'!DH48="","",'GREEN SHEET'!DH48)</f>
        <v/>
      </c>
      <c r="W48" s="152" t="str">
        <f>IF('GREEN SHEET'!DI48="","",'GREEN SHEET'!DI48)</f>
        <v/>
      </c>
      <c r="X48" s="150" t="str">
        <f>IF('GREEN SHEET'!DR48="","",'GREEN SHEET'!DR48)</f>
        <v/>
      </c>
      <c r="Y48" s="150" t="str">
        <f>IF('GREEN SHEET'!DS48="","",'GREEN SHEET'!DS48)</f>
        <v/>
      </c>
      <c r="Z48" s="153" t="str">
        <f>IF('GREEN SHEET'!FK48="PASS",'GREEN SHEET'!FP48,'GREEN SHEET'!FQ48)</f>
        <v/>
      </c>
      <c r="AA48" s="154" t="str">
        <f t="shared" si="1"/>
        <v/>
      </c>
      <c r="AB48" s="171" t="str">
        <f t="shared" si="4"/>
        <v/>
      </c>
      <c r="AC48" s="153" t="str">
        <f>IF('GREEN SHEET'!FU48="","",'GREEN SHEET'!FU48)</f>
        <v/>
      </c>
      <c r="AD48" s="158" t="str">
        <f>IF(Z48="","",RANK(Z48,Z$7:$Z$51,0)+COUNTIF($Z$7:Z48,Z48)-1)</f>
        <v/>
      </c>
      <c r="AE48" s="158" t="str">
        <f t="shared" si="2"/>
        <v/>
      </c>
      <c r="AF48" s="433" t="str">
        <f t="shared" si="5"/>
        <v/>
      </c>
      <c r="AG48" s="337" t="str">
        <f t="shared" si="6"/>
        <v/>
      </c>
    </row>
    <row r="49" spans="1:34" ht="16.8" hidden="1" x14ac:dyDescent="0.25">
      <c r="A49" s="177"/>
      <c r="B49" s="376">
        <v>43</v>
      </c>
      <c r="C49" s="156" t="str">
        <f t="shared" si="3"/>
        <v/>
      </c>
      <c r="D49" s="156" t="str">
        <f t="shared" si="0"/>
        <v/>
      </c>
      <c r="E49" s="96" t="str">
        <f>IF('GREEN SHEET'!C49="","",'GREEN SHEET'!C49)</f>
        <v/>
      </c>
      <c r="F49" s="96" t="str">
        <f>IF('GREEN SHEET'!D49="","",'GREEN SHEET'!D49)</f>
        <v/>
      </c>
      <c r="G49" s="96" t="str">
        <f>IF('GREEN SHEET'!E49="","",'GREEN SHEET'!E49)</f>
        <v/>
      </c>
      <c r="H49" s="96" t="str">
        <f>IF('GREEN SHEET'!F49="","",'GREEN SHEET'!F49)</f>
        <v/>
      </c>
      <c r="I49" s="96" t="str">
        <f>IF('GREEN SHEET'!G49="","",'GREEN SHEET'!G49)</f>
        <v/>
      </c>
      <c r="J49" s="96" t="str">
        <f>IF('GREEN SHEET'!H49="","",'GREEN SHEET'!H49)</f>
        <v/>
      </c>
      <c r="K49" s="96" t="str">
        <f>IF('GREEN SHEET'!I49="","",'GREEN SHEET'!I49)</f>
        <v/>
      </c>
      <c r="L49" s="96" t="str">
        <f>IF('GREEN SHEET'!J49="","",'GREEN SHEET'!J49)</f>
        <v/>
      </c>
      <c r="M49" s="96" t="str">
        <f>IF('GREEN SHEET'!K49="","",'GREEN SHEET'!K49)</f>
        <v/>
      </c>
      <c r="N49" s="149" t="str">
        <f>IF('GREEN SHEET'!AA49="","",'GREEN SHEET'!AA49)</f>
        <v/>
      </c>
      <c r="O49" s="149" t="str">
        <f>IF('GREEN SHEET'!AB49="","",'GREEN SHEET'!AB49)</f>
        <v/>
      </c>
      <c r="P49" s="150" t="str">
        <f>IF('GREEN SHEET'!AW49="","",'GREEN SHEET'!AW49)</f>
        <v/>
      </c>
      <c r="Q49" s="150" t="str">
        <f>IF('GREEN SHEET'!AX49="","",'GREEN SHEET'!AX49)</f>
        <v/>
      </c>
      <c r="R49" s="149" t="str">
        <f>IF('GREEN SHEET'!BR49="","",'GREEN SHEET'!BR49)</f>
        <v/>
      </c>
      <c r="S49" s="149" t="str">
        <f>IF('GREEN SHEET'!BS49="","",'GREEN SHEET'!BS49)</f>
        <v/>
      </c>
      <c r="T49" s="150" t="str">
        <f>IF('GREEN SHEET'!CM49="","",'GREEN SHEET'!CM49)</f>
        <v/>
      </c>
      <c r="U49" s="150" t="str">
        <f>IF('GREEN SHEET'!CN49="","",'GREEN SHEET'!CN49)</f>
        <v/>
      </c>
      <c r="V49" s="152" t="str">
        <f>IF('GREEN SHEET'!DH49="","",'GREEN SHEET'!DH49)</f>
        <v/>
      </c>
      <c r="W49" s="152" t="str">
        <f>IF('GREEN SHEET'!DI49="","",'GREEN SHEET'!DI49)</f>
        <v/>
      </c>
      <c r="X49" s="150" t="str">
        <f>IF('GREEN SHEET'!DR49="","",'GREEN SHEET'!DR49)</f>
        <v/>
      </c>
      <c r="Y49" s="150" t="str">
        <f>IF('GREEN SHEET'!DS49="","",'GREEN SHEET'!DS49)</f>
        <v/>
      </c>
      <c r="Z49" s="153" t="str">
        <f>IF('GREEN SHEET'!FK49="PASS",'GREEN SHEET'!FP49,'GREEN SHEET'!FQ49)</f>
        <v/>
      </c>
      <c r="AA49" s="154" t="str">
        <f t="shared" si="1"/>
        <v/>
      </c>
      <c r="AB49" s="171" t="str">
        <f t="shared" si="4"/>
        <v/>
      </c>
      <c r="AC49" s="153" t="str">
        <f>IF('GREEN SHEET'!FU49="","",'GREEN SHEET'!FU49)</f>
        <v/>
      </c>
      <c r="AD49" s="158" t="str">
        <f>IF(Z49="","",RANK(Z49,Z$7:$Z$51,0)+COUNTIF($Z$7:Z49,Z49)-1)</f>
        <v/>
      </c>
      <c r="AE49" s="158" t="str">
        <f t="shared" si="2"/>
        <v/>
      </c>
      <c r="AF49" s="433" t="str">
        <f t="shared" si="5"/>
        <v/>
      </c>
      <c r="AG49" s="337" t="str">
        <f t="shared" si="6"/>
        <v/>
      </c>
    </row>
    <row r="50" spans="1:34" ht="16.8" hidden="1" x14ac:dyDescent="0.25">
      <c r="A50" s="177"/>
      <c r="B50" s="376">
        <v>44</v>
      </c>
      <c r="C50" s="156" t="str">
        <f t="shared" si="3"/>
        <v/>
      </c>
      <c r="D50" s="156" t="str">
        <f t="shared" si="0"/>
        <v/>
      </c>
      <c r="E50" s="96" t="str">
        <f>IF('GREEN SHEET'!C50="","",'GREEN SHEET'!C50)</f>
        <v/>
      </c>
      <c r="F50" s="96" t="str">
        <f>IF('GREEN SHEET'!D50="","",'GREEN SHEET'!D50)</f>
        <v/>
      </c>
      <c r="G50" s="96" t="str">
        <f>IF('GREEN SHEET'!E50="","",'GREEN SHEET'!E50)</f>
        <v/>
      </c>
      <c r="H50" s="96" t="str">
        <f>IF('GREEN SHEET'!F50="","",'GREEN SHEET'!F50)</f>
        <v/>
      </c>
      <c r="I50" s="96" t="str">
        <f>IF('GREEN SHEET'!G50="","",'GREEN SHEET'!G50)</f>
        <v/>
      </c>
      <c r="J50" s="96" t="str">
        <f>IF('GREEN SHEET'!H50="","",'GREEN SHEET'!H50)</f>
        <v/>
      </c>
      <c r="K50" s="96" t="str">
        <f>IF('GREEN SHEET'!I50="","",'GREEN SHEET'!I50)</f>
        <v/>
      </c>
      <c r="L50" s="96" t="str">
        <f>IF('GREEN SHEET'!J50="","",'GREEN SHEET'!J50)</f>
        <v/>
      </c>
      <c r="M50" s="96" t="str">
        <f>IF('GREEN SHEET'!K50="","",'GREEN SHEET'!K50)</f>
        <v/>
      </c>
      <c r="N50" s="149" t="str">
        <f>IF('GREEN SHEET'!AA50="","",'GREEN SHEET'!AA50)</f>
        <v/>
      </c>
      <c r="O50" s="149" t="str">
        <f>IF('GREEN SHEET'!AB50="","",'GREEN SHEET'!AB50)</f>
        <v/>
      </c>
      <c r="P50" s="150" t="str">
        <f>IF('GREEN SHEET'!AW50="","",'GREEN SHEET'!AW50)</f>
        <v/>
      </c>
      <c r="Q50" s="150" t="str">
        <f>IF('GREEN SHEET'!AX50="","",'GREEN SHEET'!AX50)</f>
        <v/>
      </c>
      <c r="R50" s="149" t="str">
        <f>IF('GREEN SHEET'!BR50="","",'GREEN SHEET'!BR50)</f>
        <v/>
      </c>
      <c r="S50" s="149" t="str">
        <f>IF('GREEN SHEET'!BS50="","",'GREEN SHEET'!BS50)</f>
        <v/>
      </c>
      <c r="T50" s="150" t="str">
        <f>IF('GREEN SHEET'!CM50="","",'GREEN SHEET'!CM50)</f>
        <v/>
      </c>
      <c r="U50" s="150" t="str">
        <f>IF('GREEN SHEET'!CN50="","",'GREEN SHEET'!CN50)</f>
        <v/>
      </c>
      <c r="V50" s="152" t="str">
        <f>IF('GREEN SHEET'!DH50="","",'GREEN SHEET'!DH50)</f>
        <v/>
      </c>
      <c r="W50" s="152" t="str">
        <f>IF('GREEN SHEET'!DI50="","",'GREEN SHEET'!DI50)</f>
        <v/>
      </c>
      <c r="X50" s="150" t="str">
        <f>IF('GREEN SHEET'!DR50="","",'GREEN SHEET'!DR50)</f>
        <v/>
      </c>
      <c r="Y50" s="150" t="str">
        <f>IF('GREEN SHEET'!DS50="","",'GREEN SHEET'!DS50)</f>
        <v/>
      </c>
      <c r="Z50" s="153" t="str">
        <f>IF('GREEN SHEET'!FK50="PASS",'GREEN SHEET'!FP50,'GREEN SHEET'!FQ50)</f>
        <v/>
      </c>
      <c r="AA50" s="154" t="str">
        <f t="shared" si="1"/>
        <v/>
      </c>
      <c r="AB50" s="171" t="str">
        <f t="shared" si="4"/>
        <v/>
      </c>
      <c r="AC50" s="153" t="str">
        <f>IF('GREEN SHEET'!FU50="","",'GREEN SHEET'!FU50)</f>
        <v/>
      </c>
      <c r="AD50" s="158" t="str">
        <f>IF(Z50="","",RANK(Z50,Z$7:$Z$51,0)+COUNTIF($Z$7:Z50,Z50)-1)</f>
        <v/>
      </c>
      <c r="AE50" s="158" t="str">
        <f t="shared" si="2"/>
        <v/>
      </c>
      <c r="AF50" s="433" t="str">
        <f t="shared" si="5"/>
        <v/>
      </c>
      <c r="AG50" s="337" t="str">
        <f t="shared" si="6"/>
        <v/>
      </c>
    </row>
    <row r="51" spans="1:34" ht="16.8" hidden="1" x14ac:dyDescent="0.25">
      <c r="A51" s="177"/>
      <c r="B51" s="376">
        <v>45</v>
      </c>
      <c r="C51" s="156" t="str">
        <f t="shared" si="3"/>
        <v/>
      </c>
      <c r="D51" s="156" t="str">
        <f t="shared" si="0"/>
        <v/>
      </c>
      <c r="E51" s="96" t="str">
        <f>IF('GREEN SHEET'!C51="","",'GREEN SHEET'!C51)</f>
        <v/>
      </c>
      <c r="F51" s="96" t="str">
        <f>IF('GREEN SHEET'!D51="","",'GREEN SHEET'!D51)</f>
        <v/>
      </c>
      <c r="G51" s="96" t="str">
        <f>IF('GREEN SHEET'!E51="","",'GREEN SHEET'!E51)</f>
        <v/>
      </c>
      <c r="H51" s="96" t="str">
        <f>IF('GREEN SHEET'!F51="","",'GREEN SHEET'!F51)</f>
        <v/>
      </c>
      <c r="I51" s="96" t="str">
        <f>IF('GREEN SHEET'!G51="","",'GREEN SHEET'!G51)</f>
        <v/>
      </c>
      <c r="J51" s="96" t="str">
        <f>IF('GREEN SHEET'!H51="","",'GREEN SHEET'!H51)</f>
        <v/>
      </c>
      <c r="K51" s="96" t="str">
        <f>IF('GREEN SHEET'!I51="","",'GREEN SHEET'!I51)</f>
        <v/>
      </c>
      <c r="L51" s="96" t="str">
        <f>IF('GREEN SHEET'!J51="","",'GREEN SHEET'!J51)</f>
        <v/>
      </c>
      <c r="M51" s="96" t="str">
        <f>IF('GREEN SHEET'!K51="","",'GREEN SHEET'!K51)</f>
        <v/>
      </c>
      <c r="N51" s="149" t="str">
        <f>IF('GREEN SHEET'!AA51="","",'GREEN SHEET'!AA51)</f>
        <v/>
      </c>
      <c r="O51" s="149" t="str">
        <f>IF('GREEN SHEET'!AB51="","",'GREEN SHEET'!AB51)</f>
        <v/>
      </c>
      <c r="P51" s="150" t="str">
        <f>IF('GREEN SHEET'!AW51="","",'GREEN SHEET'!AW51)</f>
        <v/>
      </c>
      <c r="Q51" s="150" t="str">
        <f>IF('GREEN SHEET'!AX51="","",'GREEN SHEET'!AX51)</f>
        <v/>
      </c>
      <c r="R51" s="149" t="str">
        <f>IF('GREEN SHEET'!BR51="","",'GREEN SHEET'!BR51)</f>
        <v/>
      </c>
      <c r="S51" s="149" t="str">
        <f>IF('GREEN SHEET'!BS51="","",'GREEN SHEET'!BS51)</f>
        <v/>
      </c>
      <c r="T51" s="150" t="str">
        <f>IF('GREEN SHEET'!CM51="","",'GREEN SHEET'!CM51)</f>
        <v/>
      </c>
      <c r="U51" s="150" t="str">
        <f>IF('GREEN SHEET'!CN51="","",'GREEN SHEET'!CN51)</f>
        <v/>
      </c>
      <c r="V51" s="152" t="str">
        <f>IF('GREEN SHEET'!DH51="","",'GREEN SHEET'!DH51)</f>
        <v/>
      </c>
      <c r="W51" s="152" t="str">
        <f>IF('GREEN SHEET'!DI51="","",'GREEN SHEET'!DI51)</f>
        <v/>
      </c>
      <c r="X51" s="150" t="str">
        <f>IF('GREEN SHEET'!DR51="","",'GREEN SHEET'!DR51)</f>
        <v/>
      </c>
      <c r="Y51" s="150" t="str">
        <f>IF('GREEN SHEET'!DS51="","",'GREEN SHEET'!DS51)</f>
        <v/>
      </c>
      <c r="Z51" s="153" t="str">
        <f>IF('GREEN SHEET'!FK51="PASS",'GREEN SHEET'!FP51,'GREEN SHEET'!FQ51)</f>
        <v/>
      </c>
      <c r="AA51" s="154" t="str">
        <f t="shared" si="1"/>
        <v/>
      </c>
      <c r="AB51" s="171" t="str">
        <f t="shared" si="4"/>
        <v/>
      </c>
      <c r="AC51" s="153" t="str">
        <f>IF('GREEN SHEET'!FU51="","",'GREEN SHEET'!FU51)</f>
        <v/>
      </c>
      <c r="AD51" s="158" t="str">
        <f>IF(Z51="","",RANK(Z51,Z$7:$Z$51,0)+COUNTIF($Z$7:Z51,Z51)-1)</f>
        <v/>
      </c>
      <c r="AE51" s="158" t="str">
        <f t="shared" si="2"/>
        <v/>
      </c>
      <c r="AF51" s="433" t="str">
        <f t="shared" si="5"/>
        <v/>
      </c>
      <c r="AG51" s="337" t="str">
        <f t="shared" si="6"/>
        <v/>
      </c>
    </row>
    <row r="52" spans="1:34" ht="16.8" hidden="1" x14ac:dyDescent="0.25">
      <c r="A52" s="177"/>
      <c r="B52" s="376"/>
      <c r="C52" s="156"/>
      <c r="D52" s="156"/>
      <c r="E52" s="96"/>
      <c r="F52" s="96"/>
      <c r="G52" s="96"/>
      <c r="H52" s="96"/>
      <c r="I52" s="96"/>
      <c r="J52" s="96"/>
      <c r="K52" s="96"/>
      <c r="L52" s="96"/>
      <c r="M52" s="96"/>
      <c r="N52" s="149"/>
      <c r="O52" s="149"/>
      <c r="P52" s="150"/>
      <c r="Q52" s="150"/>
      <c r="R52" s="149"/>
      <c r="S52" s="149"/>
      <c r="T52" s="150"/>
      <c r="U52" s="150"/>
      <c r="V52" s="152"/>
      <c r="W52" s="152"/>
      <c r="X52" s="150"/>
      <c r="Y52" s="150"/>
      <c r="Z52" s="153"/>
      <c r="AA52" s="154"/>
      <c r="AB52" s="171"/>
      <c r="AC52" s="153"/>
      <c r="AD52" s="158"/>
      <c r="AE52" s="158"/>
      <c r="AF52" s="433"/>
      <c r="AG52" s="337"/>
    </row>
    <row r="53" spans="1:34" ht="16.8" hidden="1" x14ac:dyDescent="0.25">
      <c r="A53" s="177"/>
      <c r="B53" s="376"/>
      <c r="C53" s="156"/>
      <c r="D53" s="156"/>
      <c r="E53" s="96"/>
      <c r="F53" s="96"/>
      <c r="G53" s="96"/>
      <c r="H53" s="96"/>
      <c r="I53" s="96"/>
      <c r="J53" s="96"/>
      <c r="K53" s="96"/>
      <c r="L53" s="96"/>
      <c r="M53" s="96"/>
      <c r="N53" s="149"/>
      <c r="O53" s="149"/>
      <c r="P53" s="150"/>
      <c r="Q53" s="150"/>
      <c r="R53" s="149"/>
      <c r="S53" s="149"/>
      <c r="T53" s="150"/>
      <c r="U53" s="150"/>
      <c r="V53" s="152"/>
      <c r="W53" s="152"/>
      <c r="X53" s="150"/>
      <c r="Y53" s="150"/>
      <c r="Z53" s="153"/>
      <c r="AA53" s="154"/>
      <c r="AB53" s="171"/>
      <c r="AC53" s="153"/>
      <c r="AD53" s="158"/>
      <c r="AE53" s="158"/>
      <c r="AF53" s="433"/>
      <c r="AG53" s="337"/>
    </row>
    <row r="54" spans="1:34" ht="17.399999999999999" customHeight="1" thickBot="1" x14ac:dyDescent="0.3">
      <c r="A54" s="177"/>
      <c r="B54" s="1135"/>
      <c r="C54" s="1136"/>
      <c r="D54" s="1136"/>
      <c r="E54" s="1136"/>
      <c r="F54" s="1136"/>
      <c r="G54" s="1136"/>
      <c r="H54" s="1136"/>
      <c r="I54" s="1136"/>
      <c r="J54" s="1136"/>
      <c r="K54" s="1136"/>
      <c r="L54" s="1136"/>
      <c r="M54" s="1136"/>
      <c r="N54" s="1136"/>
      <c r="O54" s="1136"/>
      <c r="P54" s="1136"/>
      <c r="Q54" s="1136"/>
      <c r="R54" s="1136"/>
      <c r="S54" s="1136"/>
      <c r="T54" s="1136"/>
      <c r="U54" s="1136"/>
      <c r="V54" s="1136"/>
      <c r="W54" s="1136"/>
      <c r="X54" s="1136"/>
      <c r="Y54" s="1136"/>
      <c r="Z54" s="1136"/>
      <c r="AA54" s="1136"/>
      <c r="AB54" s="1136"/>
      <c r="AC54" s="1184"/>
      <c r="AD54" s="160"/>
      <c r="AE54" s="160"/>
      <c r="AF54" s="434"/>
      <c r="AG54" s="427"/>
    </row>
    <row r="55" spans="1:34" s="456" customFormat="1" ht="23.4" thickBot="1" x14ac:dyDescent="0.45">
      <c r="A55" s="451"/>
      <c r="B55" s="1176" t="s">
        <v>219</v>
      </c>
      <c r="C55" s="1177"/>
      <c r="D55" s="1177"/>
      <c r="E55" s="1177"/>
      <c r="F55" s="1177"/>
      <c r="G55" s="452" t="s">
        <v>239</v>
      </c>
      <c r="H55" s="1181" t="s">
        <v>220</v>
      </c>
      <c r="I55" s="1182"/>
      <c r="J55" s="1182"/>
      <c r="K55" s="1182"/>
      <c r="L55" s="1182"/>
      <c r="M55" s="461"/>
      <c r="N55" s="1181" t="str">
        <f>"RANK WISE RESULT  "&amp;DASHBOARD!B4</f>
        <v>RANK WISE RESULT  SESSION  -  2025-26</v>
      </c>
      <c r="O55" s="1182"/>
      <c r="P55" s="1182"/>
      <c r="Q55" s="1182"/>
      <c r="R55" s="1182"/>
      <c r="S55" s="1182"/>
      <c r="T55" s="1182"/>
      <c r="U55" s="1182"/>
      <c r="V55" s="1182"/>
      <c r="W55" s="1182"/>
      <c r="X55" s="1182"/>
      <c r="Y55" s="1182"/>
      <c r="Z55" s="1182"/>
      <c r="AA55" s="1182"/>
      <c r="AB55" s="1182"/>
      <c r="AC55" s="1183"/>
      <c r="AD55" s="453"/>
      <c r="AE55" s="453"/>
      <c r="AF55" s="454"/>
      <c r="AG55" s="453"/>
      <c r="AH55" s="455"/>
    </row>
    <row r="56" spans="1:34" ht="63.6" hidden="1" x14ac:dyDescent="0.25">
      <c r="A56" s="177"/>
      <c r="B56" s="374" t="str">
        <f>B6</f>
        <v>S.NO.</v>
      </c>
      <c r="C56" s="168" t="str">
        <f t="shared" ref="C56:X56" si="7">C6</f>
        <v>RANK</v>
      </c>
      <c r="D56" s="168" t="str">
        <f t="shared" si="7"/>
        <v>RANK</v>
      </c>
      <c r="E56" s="168" t="str">
        <f t="shared" si="7"/>
        <v>ROLL NO.</v>
      </c>
      <c r="F56" s="168" t="str">
        <f t="shared" si="7"/>
        <v>S.R.NO.</v>
      </c>
      <c r="G56" s="169" t="str">
        <f t="shared" si="7"/>
        <v xml:space="preserve">NAME </v>
      </c>
      <c r="H56" s="169" t="str">
        <f t="shared" si="7"/>
        <v>F'NAME</v>
      </c>
      <c r="I56" s="169" t="str">
        <f t="shared" si="7"/>
        <v>M'NAME</v>
      </c>
      <c r="J56" s="170" t="str">
        <f t="shared" si="7"/>
        <v>DOB</v>
      </c>
      <c r="K56" s="168" t="str">
        <f t="shared" si="7"/>
        <v>BOY/GIRL</v>
      </c>
      <c r="L56" s="168" t="str">
        <f t="shared" si="7"/>
        <v>CATEGORY</v>
      </c>
      <c r="M56" s="169" t="str">
        <f t="shared" si="7"/>
        <v>ADDRESS</v>
      </c>
      <c r="N56" s="457">
        <f t="shared" si="7"/>
        <v>100</v>
      </c>
      <c r="O56" s="457" t="str">
        <f>IF(N56="","",IF(N56&lt;33,"E",IF(AND(N56&gt;=33,N56&lt;41),"D",IF(AND(N56&gt;=41,N56&lt;51),"C2",IF(AND(N56&gt;=51,N56&lt;61),"C1",IF(AND(N56&gt;=61,N56&lt;71),"B2",IF(AND(N56&gt;=71,N56&lt;81),"B1",IF(AND(N56&gt;=81,N56&lt;91),"A2",IF(AND(N56&gt;=91,N56&lt;=100),"A1")))))))))</f>
        <v>A1</v>
      </c>
      <c r="P56" s="458">
        <f t="shared" si="7"/>
        <v>100</v>
      </c>
      <c r="Q56" s="459" t="str">
        <f>IF(P56="","",IF(P56&lt;33,"E",IF(AND(P56&gt;=33,P56&lt;41),"D",IF(AND(P56&gt;=41,P56&lt;51),"C2",IF(AND(P56&gt;=51,P56&lt;61),"C1",IF(AND(P56&gt;=61,P56&lt;71),"B2",IF(AND(P56&gt;=71,P56&lt;81),"B1",IF(AND(P56&gt;=81,P56&lt;91),"A2",IF(AND(P56&gt;=91,P56&lt;=100),"A1")))))))))</f>
        <v>A1</v>
      </c>
      <c r="R56" s="457">
        <f t="shared" si="7"/>
        <v>100</v>
      </c>
      <c r="S56" s="457" t="str">
        <f>IF(R56="","",IF(R56&lt;33,"E",IF(AND(R56&gt;=33,R56&lt;41),"D",IF(AND(R56&gt;=41,R56&lt;51),"C2",IF(AND(R56&gt;=51,R56&lt;61),"C1",IF(AND(R56&gt;=61,R56&lt;71),"B2",IF(AND(R56&gt;=71,R56&lt;81),"B1",IF(AND(R56&gt;=81,R56&lt;91),"A2",IF(AND(R56&gt;=91,R56&lt;=100),"A1")))))))))</f>
        <v>A1</v>
      </c>
      <c r="T56" s="458">
        <f t="shared" si="7"/>
        <v>100</v>
      </c>
      <c r="U56" s="458" t="str">
        <f>IF(T56="","",IF(T56&lt;33,"E",IF(AND(T56&gt;=33,T56&lt;41),"D",IF(AND(T56&gt;=41,T56&lt;51),"C2",IF(AND(T56&gt;=51,T56&lt;61),"C1",IF(AND(T56&gt;=61,T56&lt;71),"B2",IF(AND(T56&gt;=71,T56&lt;81),"B1",IF(AND(T56&gt;=81,T56&lt;91),"A2",IF(AND(T56&gt;=91,T56&lt;=100),"A1")))))))))</f>
        <v>A1</v>
      </c>
      <c r="V56" s="460">
        <f t="shared" si="7"/>
        <v>100</v>
      </c>
      <c r="W56" s="460" t="str">
        <f>IF(V56="","",IF(V56&lt;33,"E",IF(AND(V56&gt;=33,V56&lt;41),"D",IF(AND(V56&gt;=41,V56&lt;51),"C2",IF(AND(V56&gt;=51,V56&lt;61),"C1",IF(AND(V56&gt;=61,V56&lt;71),"B2",IF(AND(V56&gt;=71,V56&lt;81),"B1",IF(AND(V56&gt;=81,V56&lt;91),"A2",IF(AND(V56&gt;=91,V56&lt;=100),"A1")))))))))</f>
        <v>A1</v>
      </c>
      <c r="X56" s="458">
        <f t="shared" si="7"/>
        <v>100</v>
      </c>
      <c r="Y56" s="458" t="str">
        <f>IF(X56="","",IF(X56&lt;33,"E",IF(AND(X56&gt;=33,X56&lt;41),"D",IF(AND(X56&gt;=41,X56&lt;51),"C2",IF(AND(X56&gt;=51,X56&lt;61),"C1",IF(AND(X56&gt;=61,X56&lt;71),"B2",IF(AND(X56&gt;=71,X56&lt;81),"B1",IF(AND(X56&gt;=81,X56&lt;91),"A2",IF(AND(X56&gt;=91,X56&lt;=100),"A1")))))))))</f>
        <v>A1</v>
      </c>
      <c r="Z56" s="161" t="str">
        <f>Z2</f>
        <v xml:space="preserve">GRAND TOTAL MARKS </v>
      </c>
      <c r="AA56" s="161" t="str">
        <f>AA2</f>
        <v>PERCENT</v>
      </c>
      <c r="AB56" s="161" t="str">
        <f>AB2</f>
        <v xml:space="preserve">OVERALL GRADE </v>
      </c>
      <c r="AC56" s="161" t="str">
        <f>AC2</f>
        <v xml:space="preserve">POSITION IN CLASS </v>
      </c>
      <c r="AD56" s="155" t="str">
        <f>AD4</f>
        <v>RANK</v>
      </c>
      <c r="AE56" s="155" t="str">
        <f t="shared" ref="AE56" si="8">AE4</f>
        <v>H1</v>
      </c>
      <c r="AF56" s="432"/>
      <c r="AG56" s="426"/>
    </row>
    <row r="57" spans="1:34" ht="16.8" hidden="1" x14ac:dyDescent="0.25">
      <c r="A57" s="177"/>
      <c r="B57" s="376">
        <v>1</v>
      </c>
      <c r="C57" s="96">
        <f>IF(AG7="","",AG7)</f>
        <v>1</v>
      </c>
      <c r="D57" s="96">
        <f>IF(AD57="","",AD57)</f>
        <v>2</v>
      </c>
      <c r="E57" s="96">
        <f t="shared" ref="E57:E95" si="9">IF(C57="","",VLOOKUP(C57,$C$7:$AC$53,3,FALSE))</f>
        <v>901</v>
      </c>
      <c r="F57" s="96">
        <f t="shared" ref="F57:F95" si="10">IF(C57="","",VLOOKUP(C57,$C$7:$AC$53,4,FALSE))</f>
        <v>974</v>
      </c>
      <c r="G57" s="97" t="str">
        <f t="shared" ref="G57:G95" si="11">IF(C57="","",VLOOKUP(C57,$C$7:$AC$53,5,FALSE))</f>
        <v>ARTI PRAJAPAT</v>
      </c>
      <c r="H57" s="97" t="str">
        <f t="shared" ref="H57:H95" si="12">IF(C57="","",VLOOKUP(C57,$C$7:$AC$53,6,FALSE))</f>
        <v>MR PRABHU LAL</v>
      </c>
      <c r="I57" s="97" t="str">
        <f t="shared" ref="I57:I95" si="13">IF(C57="","",VLOOKUP(C57,$C$7:$AC$53,7,FALSE))</f>
        <v>MRS PREM DEVI</v>
      </c>
      <c r="J57" s="157">
        <f t="shared" ref="J57:J95" si="14">IF(C57="","",VLOOKUP(C57,$C$7:$AC$53,8,FALSE))</f>
        <v>40203</v>
      </c>
      <c r="K57" s="96" t="str">
        <f t="shared" ref="K57:K95" si="15">IF(C57="","",VLOOKUP(C57,$C$7:$AC$53,9,FALSE))</f>
        <v>GIRL</v>
      </c>
      <c r="L57" s="96" t="str">
        <f t="shared" ref="L57:L95" si="16">IF(C57="","",VLOOKUP(C57,$C$7:$AC$53,10,FALSE))</f>
        <v>OBC</v>
      </c>
      <c r="M57" s="97" t="str">
        <f t="shared" ref="M57:M95" si="17">IF(C57="","",VLOOKUP(C57,$C$7:$AC$53,11,FALSE))</f>
        <v/>
      </c>
      <c r="N57" s="149">
        <f t="shared" ref="N57:N96" si="18">IF(C57="","",VLOOKUP(C57,$C$7:$AC$53,12,FALSE))</f>
        <v>68</v>
      </c>
      <c r="O57" s="149" t="str">
        <f t="shared" ref="O57:O96" si="19">IF(N57="","",IF(N57&lt;33,"E",IF(AND(N57&gt;=33,N57&lt;41),"D",IF(AND(N57&gt;=41,N57&lt;51),"C2",IF(AND(N57&gt;=51,N57&lt;61),"C1",IF(AND(N57&gt;=61,N57&lt;71),"B2",IF(AND(N57&gt;=71,N57&lt;81),"B1",IF(AND(N57&gt;=81,N57&lt;91),"A2",IF(AND(N57&gt;=91,N57&lt;=100),"A1")))))))))</f>
        <v>B2</v>
      </c>
      <c r="P57" s="150">
        <f t="shared" ref="P57:P96" si="20">IF(C57="","",VLOOKUP(C57,$C$7:$AC$53,14,FALSE))</f>
        <v>44</v>
      </c>
      <c r="Q57" s="151" t="str">
        <f t="shared" ref="Q57:Q96" si="21">IF(P57="","",IF(P57&lt;33,"E",IF(AND(P57&gt;=33,P57&lt;41),"D",IF(AND(P57&gt;=41,P57&lt;51),"C2",IF(AND(P57&gt;=51,P57&lt;61),"C1",IF(AND(P57&gt;=61,P57&lt;71),"B2",IF(AND(P57&gt;=71,P57&lt;81),"B1",IF(AND(P57&gt;=81,P57&lt;91),"A2",IF(AND(P57&gt;=91,P57&lt;=100),"A1")))))))))</f>
        <v>C2</v>
      </c>
      <c r="R57" s="149">
        <f t="shared" ref="R57:R96" si="22">IF(C57="","",VLOOKUP(C57,$C$7:$AC$53,16,FALSE))</f>
        <v>62</v>
      </c>
      <c r="S57" s="149" t="str">
        <f t="shared" ref="S57:S96" si="23">IF(R57="","",IF(R57&lt;33,"E",IF(AND(R57&gt;=33,R57&lt;41),"D",IF(AND(R57&gt;=41,R57&lt;51),"C2",IF(AND(R57&gt;=51,R57&lt;61),"C1",IF(AND(R57&gt;=61,R57&lt;71),"B2",IF(AND(R57&gt;=71,R57&lt;81),"B1",IF(AND(R57&gt;=81,R57&lt;91),"A2",IF(AND(R57&gt;=91,R57&lt;=100),"A1")))))))))</f>
        <v>B2</v>
      </c>
      <c r="T57" s="150">
        <f t="shared" ref="T57:T96" si="24">IF(C57="","",VLOOKUP(C57,$C$7:$AC$53,18,FALSE))</f>
        <v>22</v>
      </c>
      <c r="U57" s="150" t="str">
        <f t="shared" ref="U57:U96" si="25">IF(T57="","",IF(T57&lt;33,"E",IF(AND(T57&gt;=33,T57&lt;41),"D",IF(AND(T57&gt;=41,T57&lt;51),"C2",IF(AND(T57&gt;=51,T57&lt;61),"C1",IF(AND(T57&gt;=61,T57&lt;71),"B2",IF(AND(T57&gt;=71,T57&lt;81),"B1",IF(AND(T57&gt;=81,T57&lt;91),"A2",IF(AND(T57&gt;=91,T57&lt;=100),"A1")))))))))</f>
        <v>E</v>
      </c>
      <c r="V57" s="152">
        <f t="shared" ref="V57:V96" si="26">IF(C57="","",VLOOKUP(C57,$C$7:$AC$53,20,FALSE))</f>
        <v>65</v>
      </c>
      <c r="W57" s="152" t="str">
        <f t="shared" ref="W57:W96" si="27">IF(V57="","",IF(V57&lt;33,"E",IF(AND(V57&gt;=33,V57&lt;41),"D",IF(AND(V57&gt;=41,V57&lt;51),"C2",IF(AND(V57&gt;=51,V57&lt;61),"C1",IF(AND(V57&gt;=61,V57&lt;71),"B2",IF(AND(V57&gt;=71,V57&lt;81),"B1",IF(AND(V57&gt;=81,V57&lt;91),"A2",IF(AND(V57&gt;=91,V57&lt;=100),"A1")))))))))</f>
        <v>B2</v>
      </c>
      <c r="X57" s="150">
        <f t="shared" ref="X57:X96" si="28">IF(C57="","",VLOOKUP(C57,$C$7:$AC$53,22,FALSE))</f>
        <v>55</v>
      </c>
      <c r="Y57" s="150" t="str">
        <f t="shared" ref="Y57:Y96" si="29">IF(X57="","",IF(X57&lt;33,"E",IF(AND(X57&gt;=33,X57&lt;41),"D",IF(AND(X57&gt;=41,X57&lt;51),"C2",IF(AND(X57&gt;=51,X57&lt;61),"C1",IF(AND(X57&gt;=61,X57&lt;71),"B2",IF(AND(X57&gt;=71,X57&lt;81),"B1",IF(AND(X57&gt;=81,X57&lt;91),"A2",IF(AND(X57&gt;=91,X57&lt;=100),"A1")))))))))</f>
        <v>C1</v>
      </c>
      <c r="Z57" s="153">
        <f t="shared" ref="Z57:Z96" si="30">IF(C57="","",VLOOKUP(C57,$C$7:$AC$53,24,FALSE))</f>
        <v>294</v>
      </c>
      <c r="AA57" s="154">
        <f t="shared" ref="AA57:AA96" si="31">IF(C57="","",VLOOKUP(C57,$C$7:$AC$53,25,FALSE))</f>
        <v>58.8</v>
      </c>
      <c r="AB57" s="153" t="str">
        <f t="shared" ref="AB57:AB96" si="32">IF(C57="","",VLOOKUP(C57,$C$7:$AC$53,26,FALSE))</f>
        <v>C1</v>
      </c>
      <c r="AC57" s="153">
        <f t="shared" ref="AC57:AC96" si="33">IF(C57="","",VLOOKUP(C57,$C$7:$AC$53,27,FALSE))</f>
        <v>1.0000000000000007</v>
      </c>
      <c r="AD57" s="158">
        <f>IF(C57="","",VLOOKUP(C57,$C$7:$AD$53,28,FALSE))</f>
        <v>2</v>
      </c>
      <c r="AE57" s="158">
        <f t="shared" ref="AE57:AE96" si="34">IF(AD57="","",SMALL($AD$57:$AD$96,B7))</f>
        <v>1</v>
      </c>
      <c r="AF57" s="433"/>
      <c r="AG57" s="337"/>
    </row>
    <row r="58" spans="1:34" ht="16.8" hidden="1" x14ac:dyDescent="0.25">
      <c r="A58" s="177"/>
      <c r="B58" s="376">
        <v>2</v>
      </c>
      <c r="C58" s="96">
        <f t="shared" ref="C58:C96" si="35">IF(AG8="","",AG8)</f>
        <v>2</v>
      </c>
      <c r="D58" s="96">
        <f t="shared" ref="D58:D95" si="36">IF(AD58="","",AD58)</f>
        <v>1</v>
      </c>
      <c r="E58" s="96">
        <f t="shared" si="9"/>
        <v>902</v>
      </c>
      <c r="F58" s="96">
        <f t="shared" si="10"/>
        <v>971</v>
      </c>
      <c r="G58" s="97" t="str">
        <f t="shared" si="11"/>
        <v>ARVIND SINGH BALLA</v>
      </c>
      <c r="H58" s="97" t="str">
        <f t="shared" si="12"/>
        <v>INDRA SINGH BALLA</v>
      </c>
      <c r="I58" s="97" t="str">
        <f t="shared" si="13"/>
        <v>MEENA KANWAR BALLA</v>
      </c>
      <c r="J58" s="157">
        <f t="shared" si="14"/>
        <v>40292</v>
      </c>
      <c r="K58" s="96" t="str">
        <f t="shared" si="15"/>
        <v>BOY</v>
      </c>
      <c r="L58" s="96" t="str">
        <f t="shared" si="16"/>
        <v>GEN</v>
      </c>
      <c r="M58" s="97" t="str">
        <f t="shared" si="17"/>
        <v/>
      </c>
      <c r="N58" s="149">
        <f t="shared" si="18"/>
        <v>63</v>
      </c>
      <c r="O58" s="149" t="str">
        <f t="shared" si="19"/>
        <v>B2</v>
      </c>
      <c r="P58" s="150">
        <f t="shared" si="20"/>
        <v>70</v>
      </c>
      <c r="Q58" s="151" t="str">
        <f t="shared" si="21"/>
        <v>B2</v>
      </c>
      <c r="R58" s="149">
        <f t="shared" si="22"/>
        <v>64</v>
      </c>
      <c r="S58" s="149" t="str">
        <f t="shared" si="23"/>
        <v>B2</v>
      </c>
      <c r="T58" s="150">
        <f t="shared" si="24"/>
        <v>36</v>
      </c>
      <c r="U58" s="150" t="str">
        <f t="shared" si="25"/>
        <v>D</v>
      </c>
      <c r="V58" s="152">
        <f t="shared" si="26"/>
        <v>16</v>
      </c>
      <c r="W58" s="152" t="str">
        <f t="shared" si="27"/>
        <v>E</v>
      </c>
      <c r="X58" s="150">
        <f t="shared" si="28"/>
        <v>25</v>
      </c>
      <c r="Y58" s="150" t="str">
        <f t="shared" si="29"/>
        <v>E</v>
      </c>
      <c r="Z58" s="153">
        <f t="shared" si="30"/>
        <v>299</v>
      </c>
      <c r="AA58" s="154">
        <f t="shared" si="31"/>
        <v>59.8</v>
      </c>
      <c r="AB58" s="153" t="str">
        <f t="shared" si="32"/>
        <v>C1</v>
      </c>
      <c r="AC58" s="153" t="str">
        <f t="shared" si="33"/>
        <v/>
      </c>
      <c r="AD58" s="158">
        <f>IF(C58="","",VLOOKUP(C58,$C$7:$AD$53,28,FALSE))</f>
        <v>1</v>
      </c>
      <c r="AE58" s="158">
        <f t="shared" si="34"/>
        <v>2</v>
      </c>
      <c r="AF58" s="433"/>
      <c r="AG58" s="337"/>
    </row>
    <row r="59" spans="1:34" ht="16.8" hidden="1" x14ac:dyDescent="0.25">
      <c r="A59" s="177"/>
      <c r="B59" s="376">
        <v>3</v>
      </c>
      <c r="C59" s="96" t="str">
        <f t="shared" si="35"/>
        <v/>
      </c>
      <c r="D59" s="96" t="str">
        <f t="shared" si="36"/>
        <v/>
      </c>
      <c r="E59" s="96" t="str">
        <f t="shared" si="9"/>
        <v/>
      </c>
      <c r="F59" s="96" t="str">
        <f t="shared" si="10"/>
        <v/>
      </c>
      <c r="G59" s="97" t="str">
        <f t="shared" si="11"/>
        <v/>
      </c>
      <c r="H59" s="97" t="str">
        <f t="shared" si="12"/>
        <v/>
      </c>
      <c r="I59" s="97" t="str">
        <f t="shared" si="13"/>
        <v/>
      </c>
      <c r="J59" s="157" t="str">
        <f t="shared" si="14"/>
        <v/>
      </c>
      <c r="K59" s="96" t="str">
        <f t="shared" si="15"/>
        <v/>
      </c>
      <c r="L59" s="96" t="str">
        <f t="shared" si="16"/>
        <v/>
      </c>
      <c r="M59" s="97" t="str">
        <f t="shared" si="17"/>
        <v/>
      </c>
      <c r="N59" s="149" t="str">
        <f t="shared" si="18"/>
        <v/>
      </c>
      <c r="O59" s="149" t="str">
        <f t="shared" si="19"/>
        <v/>
      </c>
      <c r="P59" s="150" t="str">
        <f t="shared" si="20"/>
        <v/>
      </c>
      <c r="Q59" s="151" t="str">
        <f t="shared" si="21"/>
        <v/>
      </c>
      <c r="R59" s="149" t="str">
        <f t="shared" si="22"/>
        <v/>
      </c>
      <c r="S59" s="149" t="str">
        <f t="shared" si="23"/>
        <v/>
      </c>
      <c r="T59" s="150" t="str">
        <f t="shared" si="24"/>
        <v/>
      </c>
      <c r="U59" s="150" t="str">
        <f t="shared" si="25"/>
        <v/>
      </c>
      <c r="V59" s="152" t="str">
        <f t="shared" si="26"/>
        <v/>
      </c>
      <c r="W59" s="152" t="str">
        <f t="shared" si="27"/>
        <v/>
      </c>
      <c r="X59" s="150" t="str">
        <f t="shared" si="28"/>
        <v/>
      </c>
      <c r="Y59" s="150" t="str">
        <f t="shared" si="29"/>
        <v/>
      </c>
      <c r="Z59" s="153" t="str">
        <f t="shared" si="30"/>
        <v/>
      </c>
      <c r="AA59" s="154" t="str">
        <f t="shared" si="31"/>
        <v/>
      </c>
      <c r="AB59" s="153" t="str">
        <f t="shared" si="32"/>
        <v/>
      </c>
      <c r="AC59" s="153" t="str">
        <f t="shared" si="33"/>
        <v/>
      </c>
      <c r="AD59" s="158" t="str">
        <f>IF(C59="","",VLOOKUP(C59,$C$7:$AD$53,28,FALSE))</f>
        <v/>
      </c>
      <c r="AE59" s="158" t="str">
        <f t="shared" si="34"/>
        <v/>
      </c>
      <c r="AF59" s="433"/>
      <c r="AG59" s="337"/>
    </row>
    <row r="60" spans="1:34" ht="16.8" hidden="1" x14ac:dyDescent="0.25">
      <c r="A60" s="177"/>
      <c r="B60" s="376">
        <v>4</v>
      </c>
      <c r="C60" s="96" t="str">
        <f t="shared" si="35"/>
        <v/>
      </c>
      <c r="D60" s="96" t="str">
        <f t="shared" si="36"/>
        <v/>
      </c>
      <c r="E60" s="96" t="str">
        <f t="shared" si="9"/>
        <v/>
      </c>
      <c r="F60" s="96" t="str">
        <f t="shared" si="10"/>
        <v/>
      </c>
      <c r="G60" s="97" t="str">
        <f t="shared" si="11"/>
        <v/>
      </c>
      <c r="H60" s="97" t="str">
        <f t="shared" si="12"/>
        <v/>
      </c>
      <c r="I60" s="97" t="str">
        <f t="shared" si="13"/>
        <v/>
      </c>
      <c r="J60" s="157" t="str">
        <f t="shared" si="14"/>
        <v/>
      </c>
      <c r="K60" s="96" t="str">
        <f t="shared" si="15"/>
        <v/>
      </c>
      <c r="L60" s="96" t="str">
        <f t="shared" si="16"/>
        <v/>
      </c>
      <c r="M60" s="97" t="str">
        <f t="shared" si="17"/>
        <v/>
      </c>
      <c r="N60" s="149" t="str">
        <f t="shared" si="18"/>
        <v/>
      </c>
      <c r="O60" s="149" t="str">
        <f t="shared" si="19"/>
        <v/>
      </c>
      <c r="P60" s="150" t="str">
        <f t="shared" si="20"/>
        <v/>
      </c>
      <c r="Q60" s="151" t="str">
        <f t="shared" si="21"/>
        <v/>
      </c>
      <c r="R60" s="149" t="str">
        <f t="shared" si="22"/>
        <v/>
      </c>
      <c r="S60" s="149" t="str">
        <f t="shared" si="23"/>
        <v/>
      </c>
      <c r="T60" s="150" t="str">
        <f t="shared" si="24"/>
        <v/>
      </c>
      <c r="U60" s="150" t="str">
        <f t="shared" si="25"/>
        <v/>
      </c>
      <c r="V60" s="152" t="str">
        <f t="shared" si="26"/>
        <v/>
      </c>
      <c r="W60" s="152" t="str">
        <f t="shared" si="27"/>
        <v/>
      </c>
      <c r="X60" s="150" t="str">
        <f t="shared" si="28"/>
        <v/>
      </c>
      <c r="Y60" s="150" t="str">
        <f t="shared" si="29"/>
        <v/>
      </c>
      <c r="Z60" s="153" t="str">
        <f t="shared" si="30"/>
        <v/>
      </c>
      <c r="AA60" s="154" t="str">
        <f t="shared" si="31"/>
        <v/>
      </c>
      <c r="AB60" s="153" t="str">
        <f t="shared" si="32"/>
        <v/>
      </c>
      <c r="AC60" s="153" t="str">
        <f t="shared" si="33"/>
        <v/>
      </c>
      <c r="AD60" s="158" t="str">
        <f>IF(C60="","",VLOOKUP(C60,$C$7:$AD$53,28,FALSE))</f>
        <v/>
      </c>
      <c r="AE60" s="158" t="str">
        <f t="shared" si="34"/>
        <v/>
      </c>
      <c r="AF60" s="433"/>
      <c r="AG60" s="337"/>
    </row>
    <row r="61" spans="1:34" ht="16.8" hidden="1" x14ac:dyDescent="0.25">
      <c r="A61" s="177"/>
      <c r="B61" s="376">
        <v>5</v>
      </c>
      <c r="C61" s="96" t="str">
        <f t="shared" si="35"/>
        <v/>
      </c>
      <c r="D61" s="96" t="str">
        <f t="shared" si="36"/>
        <v/>
      </c>
      <c r="E61" s="96" t="str">
        <f t="shared" si="9"/>
        <v/>
      </c>
      <c r="F61" s="96" t="str">
        <f t="shared" si="10"/>
        <v/>
      </c>
      <c r="G61" s="97" t="str">
        <f t="shared" si="11"/>
        <v/>
      </c>
      <c r="H61" s="97" t="str">
        <f t="shared" si="12"/>
        <v/>
      </c>
      <c r="I61" s="97" t="str">
        <f t="shared" si="13"/>
        <v/>
      </c>
      <c r="J61" s="157" t="str">
        <f t="shared" si="14"/>
        <v/>
      </c>
      <c r="K61" s="96" t="str">
        <f t="shared" si="15"/>
        <v/>
      </c>
      <c r="L61" s="96" t="str">
        <f t="shared" si="16"/>
        <v/>
      </c>
      <c r="M61" s="97" t="str">
        <f t="shared" si="17"/>
        <v/>
      </c>
      <c r="N61" s="149" t="str">
        <f t="shared" si="18"/>
        <v/>
      </c>
      <c r="O61" s="149" t="str">
        <f t="shared" si="19"/>
        <v/>
      </c>
      <c r="P61" s="150" t="str">
        <f t="shared" si="20"/>
        <v/>
      </c>
      <c r="Q61" s="151" t="str">
        <f t="shared" si="21"/>
        <v/>
      </c>
      <c r="R61" s="149" t="str">
        <f t="shared" si="22"/>
        <v/>
      </c>
      <c r="S61" s="149" t="str">
        <f t="shared" si="23"/>
        <v/>
      </c>
      <c r="T61" s="150" t="str">
        <f t="shared" si="24"/>
        <v/>
      </c>
      <c r="U61" s="150" t="str">
        <f t="shared" si="25"/>
        <v/>
      </c>
      <c r="V61" s="152" t="str">
        <f t="shared" si="26"/>
        <v/>
      </c>
      <c r="W61" s="152" t="str">
        <f t="shared" si="27"/>
        <v/>
      </c>
      <c r="X61" s="150" t="str">
        <f t="shared" si="28"/>
        <v/>
      </c>
      <c r="Y61" s="150" t="str">
        <f t="shared" si="29"/>
        <v/>
      </c>
      <c r="Z61" s="153" t="str">
        <f t="shared" si="30"/>
        <v/>
      </c>
      <c r="AA61" s="154" t="str">
        <f t="shared" si="31"/>
        <v/>
      </c>
      <c r="AB61" s="153" t="str">
        <f t="shared" si="32"/>
        <v/>
      </c>
      <c r="AC61" s="153" t="str">
        <f t="shared" si="33"/>
        <v/>
      </c>
      <c r="AD61" s="158" t="str">
        <f>IF(C61="","",VLOOKUP(C61,$C$7:$AD$53,28,FALSE))</f>
        <v/>
      </c>
      <c r="AE61" s="158" t="str">
        <f t="shared" si="34"/>
        <v/>
      </c>
      <c r="AF61" s="433"/>
      <c r="AG61" s="337"/>
    </row>
    <row r="62" spans="1:34" ht="16.8" hidden="1" x14ac:dyDescent="0.25">
      <c r="A62" s="177"/>
      <c r="B62" s="376">
        <v>6</v>
      </c>
      <c r="C62" s="96" t="str">
        <f t="shared" si="35"/>
        <v/>
      </c>
      <c r="D62" s="96" t="str">
        <f t="shared" si="36"/>
        <v/>
      </c>
      <c r="E62" s="96" t="str">
        <f t="shared" si="9"/>
        <v/>
      </c>
      <c r="F62" s="96" t="str">
        <f t="shared" si="10"/>
        <v/>
      </c>
      <c r="G62" s="97" t="str">
        <f t="shared" si="11"/>
        <v/>
      </c>
      <c r="H62" s="97" t="str">
        <f t="shared" si="12"/>
        <v/>
      </c>
      <c r="I62" s="97" t="str">
        <f t="shared" si="13"/>
        <v/>
      </c>
      <c r="J62" s="157" t="str">
        <f t="shared" si="14"/>
        <v/>
      </c>
      <c r="K62" s="96" t="str">
        <f t="shared" si="15"/>
        <v/>
      </c>
      <c r="L62" s="96" t="str">
        <f t="shared" si="16"/>
        <v/>
      </c>
      <c r="M62" s="97" t="str">
        <f t="shared" si="17"/>
        <v/>
      </c>
      <c r="N62" s="149" t="str">
        <f t="shared" si="18"/>
        <v/>
      </c>
      <c r="O62" s="149" t="str">
        <f t="shared" si="19"/>
        <v/>
      </c>
      <c r="P62" s="150" t="str">
        <f t="shared" si="20"/>
        <v/>
      </c>
      <c r="Q62" s="151" t="str">
        <f t="shared" si="21"/>
        <v/>
      </c>
      <c r="R62" s="149" t="str">
        <f t="shared" si="22"/>
        <v/>
      </c>
      <c r="S62" s="149" t="str">
        <f t="shared" si="23"/>
        <v/>
      </c>
      <c r="T62" s="150" t="str">
        <f t="shared" si="24"/>
        <v/>
      </c>
      <c r="U62" s="150" t="str">
        <f t="shared" si="25"/>
        <v/>
      </c>
      <c r="V62" s="152" t="str">
        <f t="shared" si="26"/>
        <v/>
      </c>
      <c r="W62" s="152" t="str">
        <f t="shared" si="27"/>
        <v/>
      </c>
      <c r="X62" s="150" t="str">
        <f t="shared" si="28"/>
        <v/>
      </c>
      <c r="Y62" s="150" t="str">
        <f t="shared" si="29"/>
        <v/>
      </c>
      <c r="Z62" s="153" t="str">
        <f t="shared" si="30"/>
        <v/>
      </c>
      <c r="AA62" s="154" t="str">
        <f t="shared" si="31"/>
        <v/>
      </c>
      <c r="AB62" s="153" t="str">
        <f t="shared" si="32"/>
        <v/>
      </c>
      <c r="AC62" s="153" t="str">
        <f t="shared" si="33"/>
        <v/>
      </c>
      <c r="AD62" s="158" t="str">
        <f t="shared" ref="AD62:AD96" si="37">IF(C62="","",VLOOKUP(C62,$C$7:$AD$53,28,FALSE))</f>
        <v/>
      </c>
      <c r="AE62" s="158" t="str">
        <f t="shared" si="34"/>
        <v/>
      </c>
      <c r="AF62" s="433"/>
      <c r="AG62" s="337"/>
    </row>
    <row r="63" spans="1:34" ht="16.8" hidden="1" x14ac:dyDescent="0.25">
      <c r="A63" s="177"/>
      <c r="B63" s="376">
        <v>7</v>
      </c>
      <c r="C63" s="96" t="str">
        <f t="shared" si="35"/>
        <v/>
      </c>
      <c r="D63" s="96" t="str">
        <f t="shared" si="36"/>
        <v/>
      </c>
      <c r="E63" s="96" t="str">
        <f t="shared" si="9"/>
        <v/>
      </c>
      <c r="F63" s="96" t="str">
        <f t="shared" si="10"/>
        <v/>
      </c>
      <c r="G63" s="97" t="str">
        <f t="shared" si="11"/>
        <v/>
      </c>
      <c r="H63" s="97" t="str">
        <f t="shared" si="12"/>
        <v/>
      </c>
      <c r="I63" s="97" t="str">
        <f t="shared" si="13"/>
        <v/>
      </c>
      <c r="J63" s="157" t="str">
        <f t="shared" si="14"/>
        <v/>
      </c>
      <c r="K63" s="96" t="str">
        <f t="shared" si="15"/>
        <v/>
      </c>
      <c r="L63" s="96" t="str">
        <f t="shared" si="16"/>
        <v/>
      </c>
      <c r="M63" s="97" t="str">
        <f t="shared" si="17"/>
        <v/>
      </c>
      <c r="N63" s="149" t="str">
        <f t="shared" si="18"/>
        <v/>
      </c>
      <c r="O63" s="149" t="str">
        <f t="shared" si="19"/>
        <v/>
      </c>
      <c r="P63" s="150" t="str">
        <f t="shared" si="20"/>
        <v/>
      </c>
      <c r="Q63" s="151" t="str">
        <f t="shared" si="21"/>
        <v/>
      </c>
      <c r="R63" s="149" t="str">
        <f t="shared" si="22"/>
        <v/>
      </c>
      <c r="S63" s="149" t="str">
        <f t="shared" si="23"/>
        <v/>
      </c>
      <c r="T63" s="150" t="str">
        <f t="shared" si="24"/>
        <v/>
      </c>
      <c r="U63" s="150" t="str">
        <f t="shared" si="25"/>
        <v/>
      </c>
      <c r="V63" s="152" t="str">
        <f t="shared" si="26"/>
        <v/>
      </c>
      <c r="W63" s="152" t="str">
        <f t="shared" si="27"/>
        <v/>
      </c>
      <c r="X63" s="150" t="str">
        <f t="shared" si="28"/>
        <v/>
      </c>
      <c r="Y63" s="150" t="str">
        <f t="shared" si="29"/>
        <v/>
      </c>
      <c r="Z63" s="153" t="str">
        <f t="shared" si="30"/>
        <v/>
      </c>
      <c r="AA63" s="154" t="str">
        <f t="shared" si="31"/>
        <v/>
      </c>
      <c r="AB63" s="153" t="str">
        <f t="shared" si="32"/>
        <v/>
      </c>
      <c r="AC63" s="153" t="str">
        <f t="shared" si="33"/>
        <v/>
      </c>
      <c r="AD63" s="158" t="str">
        <f t="shared" si="37"/>
        <v/>
      </c>
      <c r="AE63" s="158" t="str">
        <f t="shared" si="34"/>
        <v/>
      </c>
      <c r="AF63" s="433"/>
      <c r="AG63" s="337"/>
    </row>
    <row r="64" spans="1:34" ht="16.8" hidden="1" x14ac:dyDescent="0.25">
      <c r="A64" s="177"/>
      <c r="B64" s="376">
        <v>8</v>
      </c>
      <c r="C64" s="96" t="str">
        <f t="shared" si="35"/>
        <v/>
      </c>
      <c r="D64" s="96" t="str">
        <f t="shared" si="36"/>
        <v/>
      </c>
      <c r="E64" s="96" t="str">
        <f t="shared" si="9"/>
        <v/>
      </c>
      <c r="F64" s="96" t="str">
        <f t="shared" si="10"/>
        <v/>
      </c>
      <c r="G64" s="97" t="str">
        <f t="shared" si="11"/>
        <v/>
      </c>
      <c r="H64" s="97" t="str">
        <f t="shared" si="12"/>
        <v/>
      </c>
      <c r="I64" s="97" t="str">
        <f t="shared" si="13"/>
        <v/>
      </c>
      <c r="J64" s="157" t="str">
        <f t="shared" si="14"/>
        <v/>
      </c>
      <c r="K64" s="96" t="str">
        <f t="shared" si="15"/>
        <v/>
      </c>
      <c r="L64" s="96" t="str">
        <f t="shared" si="16"/>
        <v/>
      </c>
      <c r="M64" s="97" t="str">
        <f t="shared" si="17"/>
        <v/>
      </c>
      <c r="N64" s="149" t="str">
        <f t="shared" si="18"/>
        <v/>
      </c>
      <c r="O64" s="149" t="str">
        <f t="shared" si="19"/>
        <v/>
      </c>
      <c r="P64" s="150" t="str">
        <f t="shared" si="20"/>
        <v/>
      </c>
      <c r="Q64" s="151" t="str">
        <f t="shared" si="21"/>
        <v/>
      </c>
      <c r="R64" s="149" t="str">
        <f t="shared" si="22"/>
        <v/>
      </c>
      <c r="S64" s="149" t="str">
        <f t="shared" si="23"/>
        <v/>
      </c>
      <c r="T64" s="150" t="str">
        <f t="shared" si="24"/>
        <v/>
      </c>
      <c r="U64" s="150" t="str">
        <f t="shared" si="25"/>
        <v/>
      </c>
      <c r="V64" s="152" t="str">
        <f t="shared" si="26"/>
        <v/>
      </c>
      <c r="W64" s="152" t="str">
        <f t="shared" si="27"/>
        <v/>
      </c>
      <c r="X64" s="150" t="str">
        <f t="shared" si="28"/>
        <v/>
      </c>
      <c r="Y64" s="150" t="str">
        <f t="shared" si="29"/>
        <v/>
      </c>
      <c r="Z64" s="153" t="str">
        <f t="shared" si="30"/>
        <v/>
      </c>
      <c r="AA64" s="154" t="str">
        <f t="shared" si="31"/>
        <v/>
      </c>
      <c r="AB64" s="153" t="str">
        <f t="shared" si="32"/>
        <v/>
      </c>
      <c r="AC64" s="153" t="str">
        <f t="shared" si="33"/>
        <v/>
      </c>
      <c r="AD64" s="158" t="str">
        <f t="shared" si="37"/>
        <v/>
      </c>
      <c r="AE64" s="158" t="str">
        <f t="shared" si="34"/>
        <v/>
      </c>
      <c r="AF64" s="433"/>
      <c r="AG64" s="337"/>
    </row>
    <row r="65" spans="1:33" ht="16.8" hidden="1" x14ac:dyDescent="0.25">
      <c r="A65" s="177"/>
      <c r="B65" s="376">
        <v>9</v>
      </c>
      <c r="C65" s="96" t="str">
        <f t="shared" si="35"/>
        <v/>
      </c>
      <c r="D65" s="96" t="str">
        <f t="shared" si="36"/>
        <v/>
      </c>
      <c r="E65" s="96" t="str">
        <f t="shared" si="9"/>
        <v/>
      </c>
      <c r="F65" s="96" t="str">
        <f t="shared" si="10"/>
        <v/>
      </c>
      <c r="G65" s="97" t="str">
        <f t="shared" si="11"/>
        <v/>
      </c>
      <c r="H65" s="97" t="str">
        <f t="shared" si="12"/>
        <v/>
      </c>
      <c r="I65" s="97" t="str">
        <f t="shared" si="13"/>
        <v/>
      </c>
      <c r="J65" s="157" t="str">
        <f t="shared" si="14"/>
        <v/>
      </c>
      <c r="K65" s="96" t="str">
        <f t="shared" si="15"/>
        <v/>
      </c>
      <c r="L65" s="96" t="str">
        <f t="shared" si="16"/>
        <v/>
      </c>
      <c r="M65" s="97" t="str">
        <f t="shared" si="17"/>
        <v/>
      </c>
      <c r="N65" s="149" t="str">
        <f t="shared" si="18"/>
        <v/>
      </c>
      <c r="O65" s="149" t="str">
        <f t="shared" si="19"/>
        <v/>
      </c>
      <c r="P65" s="150" t="str">
        <f t="shared" si="20"/>
        <v/>
      </c>
      <c r="Q65" s="151" t="str">
        <f t="shared" si="21"/>
        <v/>
      </c>
      <c r="R65" s="149" t="str">
        <f t="shared" si="22"/>
        <v/>
      </c>
      <c r="S65" s="149" t="str">
        <f t="shared" si="23"/>
        <v/>
      </c>
      <c r="T65" s="150" t="str">
        <f t="shared" si="24"/>
        <v/>
      </c>
      <c r="U65" s="150" t="str">
        <f t="shared" si="25"/>
        <v/>
      </c>
      <c r="V65" s="152" t="str">
        <f t="shared" si="26"/>
        <v/>
      </c>
      <c r="W65" s="152" t="str">
        <f t="shared" si="27"/>
        <v/>
      </c>
      <c r="X65" s="150" t="str">
        <f t="shared" si="28"/>
        <v/>
      </c>
      <c r="Y65" s="150" t="str">
        <f t="shared" si="29"/>
        <v/>
      </c>
      <c r="Z65" s="153" t="str">
        <f t="shared" si="30"/>
        <v/>
      </c>
      <c r="AA65" s="154" t="str">
        <f t="shared" si="31"/>
        <v/>
      </c>
      <c r="AB65" s="153" t="str">
        <f t="shared" si="32"/>
        <v/>
      </c>
      <c r="AC65" s="153" t="str">
        <f t="shared" si="33"/>
        <v/>
      </c>
      <c r="AD65" s="158" t="str">
        <f t="shared" si="37"/>
        <v/>
      </c>
      <c r="AE65" s="158" t="str">
        <f t="shared" si="34"/>
        <v/>
      </c>
      <c r="AF65" s="433"/>
      <c r="AG65" s="337"/>
    </row>
    <row r="66" spans="1:33" ht="16.8" hidden="1" x14ac:dyDescent="0.25">
      <c r="A66" s="177"/>
      <c r="B66" s="376">
        <v>10</v>
      </c>
      <c r="C66" s="96" t="str">
        <f t="shared" si="35"/>
        <v/>
      </c>
      <c r="D66" s="96" t="str">
        <f t="shared" si="36"/>
        <v/>
      </c>
      <c r="E66" s="96" t="str">
        <f t="shared" si="9"/>
        <v/>
      </c>
      <c r="F66" s="96" t="str">
        <f t="shared" si="10"/>
        <v/>
      </c>
      <c r="G66" s="97" t="str">
        <f t="shared" si="11"/>
        <v/>
      </c>
      <c r="H66" s="97" t="str">
        <f t="shared" si="12"/>
        <v/>
      </c>
      <c r="I66" s="97" t="str">
        <f t="shared" si="13"/>
        <v/>
      </c>
      <c r="J66" s="157" t="str">
        <f t="shared" si="14"/>
        <v/>
      </c>
      <c r="K66" s="96" t="str">
        <f t="shared" si="15"/>
        <v/>
      </c>
      <c r="L66" s="96" t="str">
        <f t="shared" si="16"/>
        <v/>
      </c>
      <c r="M66" s="97" t="str">
        <f t="shared" si="17"/>
        <v/>
      </c>
      <c r="N66" s="149" t="str">
        <f t="shared" si="18"/>
        <v/>
      </c>
      <c r="O66" s="149" t="str">
        <f t="shared" si="19"/>
        <v/>
      </c>
      <c r="P66" s="150" t="str">
        <f t="shared" si="20"/>
        <v/>
      </c>
      <c r="Q66" s="151" t="str">
        <f t="shared" si="21"/>
        <v/>
      </c>
      <c r="R66" s="149" t="str">
        <f t="shared" si="22"/>
        <v/>
      </c>
      <c r="S66" s="149" t="str">
        <f t="shared" si="23"/>
        <v/>
      </c>
      <c r="T66" s="150" t="str">
        <f t="shared" si="24"/>
        <v/>
      </c>
      <c r="U66" s="150" t="str">
        <f t="shared" si="25"/>
        <v/>
      </c>
      <c r="V66" s="152" t="str">
        <f t="shared" si="26"/>
        <v/>
      </c>
      <c r="W66" s="152" t="str">
        <f t="shared" si="27"/>
        <v/>
      </c>
      <c r="X66" s="150" t="str">
        <f t="shared" si="28"/>
        <v/>
      </c>
      <c r="Y66" s="150" t="str">
        <f t="shared" si="29"/>
        <v/>
      </c>
      <c r="Z66" s="153" t="str">
        <f t="shared" si="30"/>
        <v/>
      </c>
      <c r="AA66" s="154" t="str">
        <f t="shared" si="31"/>
        <v/>
      </c>
      <c r="AB66" s="153" t="str">
        <f t="shared" si="32"/>
        <v/>
      </c>
      <c r="AC66" s="153" t="str">
        <f t="shared" si="33"/>
        <v/>
      </c>
      <c r="AD66" s="158" t="str">
        <f t="shared" si="37"/>
        <v/>
      </c>
      <c r="AE66" s="158" t="str">
        <f t="shared" si="34"/>
        <v/>
      </c>
      <c r="AF66" s="433"/>
      <c r="AG66" s="337"/>
    </row>
    <row r="67" spans="1:33" ht="16.8" hidden="1" x14ac:dyDescent="0.25">
      <c r="A67" s="177"/>
      <c r="B67" s="376">
        <v>11</v>
      </c>
      <c r="C67" s="96" t="str">
        <f t="shared" si="35"/>
        <v/>
      </c>
      <c r="D67" s="96" t="str">
        <f t="shared" si="36"/>
        <v/>
      </c>
      <c r="E67" s="96" t="str">
        <f t="shared" si="9"/>
        <v/>
      </c>
      <c r="F67" s="96" t="str">
        <f t="shared" si="10"/>
        <v/>
      </c>
      <c r="G67" s="97" t="str">
        <f t="shared" si="11"/>
        <v/>
      </c>
      <c r="H67" s="97" t="str">
        <f t="shared" si="12"/>
        <v/>
      </c>
      <c r="I67" s="97" t="str">
        <f t="shared" si="13"/>
        <v/>
      </c>
      <c r="J67" s="157" t="str">
        <f t="shared" si="14"/>
        <v/>
      </c>
      <c r="K67" s="96" t="str">
        <f t="shared" si="15"/>
        <v/>
      </c>
      <c r="L67" s="96" t="str">
        <f t="shared" si="16"/>
        <v/>
      </c>
      <c r="M67" s="97" t="str">
        <f t="shared" si="17"/>
        <v/>
      </c>
      <c r="N67" s="149" t="str">
        <f t="shared" si="18"/>
        <v/>
      </c>
      <c r="O67" s="149" t="str">
        <f t="shared" si="19"/>
        <v/>
      </c>
      <c r="P67" s="150" t="str">
        <f t="shared" si="20"/>
        <v/>
      </c>
      <c r="Q67" s="151" t="str">
        <f t="shared" si="21"/>
        <v/>
      </c>
      <c r="R67" s="149" t="str">
        <f t="shared" si="22"/>
        <v/>
      </c>
      <c r="S67" s="149" t="str">
        <f t="shared" si="23"/>
        <v/>
      </c>
      <c r="T67" s="150" t="str">
        <f t="shared" si="24"/>
        <v/>
      </c>
      <c r="U67" s="150" t="str">
        <f t="shared" si="25"/>
        <v/>
      </c>
      <c r="V67" s="152" t="str">
        <f t="shared" si="26"/>
        <v/>
      </c>
      <c r="W67" s="152" t="str">
        <f t="shared" si="27"/>
        <v/>
      </c>
      <c r="X67" s="150" t="str">
        <f t="shared" si="28"/>
        <v/>
      </c>
      <c r="Y67" s="150" t="str">
        <f t="shared" si="29"/>
        <v/>
      </c>
      <c r="Z67" s="153" t="str">
        <f t="shared" si="30"/>
        <v/>
      </c>
      <c r="AA67" s="154" t="str">
        <f t="shared" si="31"/>
        <v/>
      </c>
      <c r="AB67" s="153" t="str">
        <f t="shared" si="32"/>
        <v/>
      </c>
      <c r="AC67" s="153" t="str">
        <f t="shared" si="33"/>
        <v/>
      </c>
      <c r="AD67" s="158" t="str">
        <f t="shared" si="37"/>
        <v/>
      </c>
      <c r="AE67" s="158" t="str">
        <f t="shared" si="34"/>
        <v/>
      </c>
      <c r="AF67" s="433"/>
      <c r="AG67" s="337"/>
    </row>
    <row r="68" spans="1:33" ht="16.8" hidden="1" x14ac:dyDescent="0.25">
      <c r="A68" s="177"/>
      <c r="B68" s="376">
        <v>12</v>
      </c>
      <c r="C68" s="96" t="str">
        <f t="shared" si="35"/>
        <v/>
      </c>
      <c r="D68" s="96" t="str">
        <f t="shared" si="36"/>
        <v/>
      </c>
      <c r="E68" s="96" t="str">
        <f t="shared" si="9"/>
        <v/>
      </c>
      <c r="F68" s="96" t="str">
        <f t="shared" si="10"/>
        <v/>
      </c>
      <c r="G68" s="97" t="str">
        <f t="shared" si="11"/>
        <v/>
      </c>
      <c r="H68" s="97" t="str">
        <f t="shared" si="12"/>
        <v/>
      </c>
      <c r="I68" s="97" t="str">
        <f t="shared" si="13"/>
        <v/>
      </c>
      <c r="J68" s="157" t="str">
        <f t="shared" si="14"/>
        <v/>
      </c>
      <c r="K68" s="96" t="str">
        <f t="shared" si="15"/>
        <v/>
      </c>
      <c r="L68" s="96" t="str">
        <f t="shared" si="16"/>
        <v/>
      </c>
      <c r="M68" s="97" t="str">
        <f t="shared" si="17"/>
        <v/>
      </c>
      <c r="N68" s="149" t="str">
        <f t="shared" si="18"/>
        <v/>
      </c>
      <c r="O68" s="149" t="str">
        <f t="shared" si="19"/>
        <v/>
      </c>
      <c r="P68" s="150" t="str">
        <f t="shared" si="20"/>
        <v/>
      </c>
      <c r="Q68" s="151" t="str">
        <f t="shared" si="21"/>
        <v/>
      </c>
      <c r="R68" s="149" t="str">
        <f t="shared" si="22"/>
        <v/>
      </c>
      <c r="S68" s="149" t="str">
        <f t="shared" si="23"/>
        <v/>
      </c>
      <c r="T68" s="150" t="str">
        <f t="shared" si="24"/>
        <v/>
      </c>
      <c r="U68" s="150" t="str">
        <f t="shared" si="25"/>
        <v/>
      </c>
      <c r="V68" s="152" t="str">
        <f t="shared" si="26"/>
        <v/>
      </c>
      <c r="W68" s="152" t="str">
        <f t="shared" si="27"/>
        <v/>
      </c>
      <c r="X68" s="150" t="str">
        <f t="shared" si="28"/>
        <v/>
      </c>
      <c r="Y68" s="150" t="str">
        <f t="shared" si="29"/>
        <v/>
      </c>
      <c r="Z68" s="153" t="str">
        <f t="shared" si="30"/>
        <v/>
      </c>
      <c r="AA68" s="154" t="str">
        <f t="shared" si="31"/>
        <v/>
      </c>
      <c r="AB68" s="153" t="str">
        <f t="shared" si="32"/>
        <v/>
      </c>
      <c r="AC68" s="153" t="str">
        <f t="shared" si="33"/>
        <v/>
      </c>
      <c r="AD68" s="158" t="str">
        <f t="shared" si="37"/>
        <v/>
      </c>
      <c r="AE68" s="158" t="str">
        <f t="shared" si="34"/>
        <v/>
      </c>
      <c r="AF68" s="433"/>
      <c r="AG68" s="337"/>
    </row>
    <row r="69" spans="1:33" ht="16.8" hidden="1" x14ac:dyDescent="0.25">
      <c r="A69" s="177"/>
      <c r="B69" s="376">
        <v>13</v>
      </c>
      <c r="C69" s="96" t="str">
        <f t="shared" si="35"/>
        <v/>
      </c>
      <c r="D69" s="96" t="str">
        <f t="shared" si="36"/>
        <v/>
      </c>
      <c r="E69" s="96" t="str">
        <f t="shared" si="9"/>
        <v/>
      </c>
      <c r="F69" s="96" t="str">
        <f t="shared" si="10"/>
        <v/>
      </c>
      <c r="G69" s="97" t="str">
        <f t="shared" si="11"/>
        <v/>
      </c>
      <c r="H69" s="97" t="str">
        <f t="shared" si="12"/>
        <v/>
      </c>
      <c r="I69" s="97" t="str">
        <f t="shared" si="13"/>
        <v/>
      </c>
      <c r="J69" s="157" t="str">
        <f t="shared" si="14"/>
        <v/>
      </c>
      <c r="K69" s="96" t="str">
        <f t="shared" si="15"/>
        <v/>
      </c>
      <c r="L69" s="96" t="str">
        <f t="shared" si="16"/>
        <v/>
      </c>
      <c r="M69" s="97" t="str">
        <f t="shared" si="17"/>
        <v/>
      </c>
      <c r="N69" s="149" t="str">
        <f t="shared" si="18"/>
        <v/>
      </c>
      <c r="O69" s="149" t="str">
        <f t="shared" si="19"/>
        <v/>
      </c>
      <c r="P69" s="150" t="str">
        <f t="shared" si="20"/>
        <v/>
      </c>
      <c r="Q69" s="151" t="str">
        <f t="shared" si="21"/>
        <v/>
      </c>
      <c r="R69" s="149" t="str">
        <f t="shared" si="22"/>
        <v/>
      </c>
      <c r="S69" s="149" t="str">
        <f t="shared" si="23"/>
        <v/>
      </c>
      <c r="T69" s="150" t="str">
        <f t="shared" si="24"/>
        <v/>
      </c>
      <c r="U69" s="150" t="str">
        <f t="shared" si="25"/>
        <v/>
      </c>
      <c r="V69" s="152" t="str">
        <f t="shared" si="26"/>
        <v/>
      </c>
      <c r="W69" s="152" t="str">
        <f t="shared" si="27"/>
        <v/>
      </c>
      <c r="X69" s="150" t="str">
        <f t="shared" si="28"/>
        <v/>
      </c>
      <c r="Y69" s="150" t="str">
        <f t="shared" si="29"/>
        <v/>
      </c>
      <c r="Z69" s="153" t="str">
        <f t="shared" si="30"/>
        <v/>
      </c>
      <c r="AA69" s="154" t="str">
        <f t="shared" si="31"/>
        <v/>
      </c>
      <c r="AB69" s="153" t="str">
        <f t="shared" si="32"/>
        <v/>
      </c>
      <c r="AC69" s="153" t="str">
        <f t="shared" si="33"/>
        <v/>
      </c>
      <c r="AD69" s="158" t="str">
        <f t="shared" si="37"/>
        <v/>
      </c>
      <c r="AE69" s="158" t="str">
        <f t="shared" si="34"/>
        <v/>
      </c>
      <c r="AF69" s="433"/>
      <c r="AG69" s="337"/>
    </row>
    <row r="70" spans="1:33" ht="16.8" hidden="1" x14ac:dyDescent="0.25">
      <c r="A70" s="177"/>
      <c r="B70" s="376">
        <v>14</v>
      </c>
      <c r="C70" s="96" t="str">
        <f t="shared" si="35"/>
        <v/>
      </c>
      <c r="D70" s="96" t="str">
        <f t="shared" si="36"/>
        <v/>
      </c>
      <c r="E70" s="96" t="str">
        <f t="shared" si="9"/>
        <v/>
      </c>
      <c r="F70" s="96" t="str">
        <f t="shared" si="10"/>
        <v/>
      </c>
      <c r="G70" s="97" t="str">
        <f t="shared" si="11"/>
        <v/>
      </c>
      <c r="H70" s="97" t="str">
        <f t="shared" si="12"/>
        <v/>
      </c>
      <c r="I70" s="97" t="str">
        <f t="shared" si="13"/>
        <v/>
      </c>
      <c r="J70" s="157" t="str">
        <f t="shared" si="14"/>
        <v/>
      </c>
      <c r="K70" s="96" t="str">
        <f t="shared" si="15"/>
        <v/>
      </c>
      <c r="L70" s="96" t="str">
        <f t="shared" si="16"/>
        <v/>
      </c>
      <c r="M70" s="97" t="str">
        <f t="shared" si="17"/>
        <v/>
      </c>
      <c r="N70" s="149" t="str">
        <f t="shared" si="18"/>
        <v/>
      </c>
      <c r="O70" s="149" t="str">
        <f t="shared" si="19"/>
        <v/>
      </c>
      <c r="P70" s="150" t="str">
        <f t="shared" si="20"/>
        <v/>
      </c>
      <c r="Q70" s="151" t="str">
        <f t="shared" si="21"/>
        <v/>
      </c>
      <c r="R70" s="149" t="str">
        <f t="shared" si="22"/>
        <v/>
      </c>
      <c r="S70" s="149" t="str">
        <f t="shared" si="23"/>
        <v/>
      </c>
      <c r="T70" s="150" t="str">
        <f t="shared" si="24"/>
        <v/>
      </c>
      <c r="U70" s="150" t="str">
        <f t="shared" si="25"/>
        <v/>
      </c>
      <c r="V70" s="152" t="str">
        <f t="shared" si="26"/>
        <v/>
      </c>
      <c r="W70" s="152" t="str">
        <f t="shared" si="27"/>
        <v/>
      </c>
      <c r="X70" s="150" t="str">
        <f t="shared" si="28"/>
        <v/>
      </c>
      <c r="Y70" s="150" t="str">
        <f t="shared" si="29"/>
        <v/>
      </c>
      <c r="Z70" s="153" t="str">
        <f t="shared" si="30"/>
        <v/>
      </c>
      <c r="AA70" s="154" t="str">
        <f t="shared" si="31"/>
        <v/>
      </c>
      <c r="AB70" s="153" t="str">
        <f t="shared" si="32"/>
        <v/>
      </c>
      <c r="AC70" s="153" t="str">
        <f t="shared" si="33"/>
        <v/>
      </c>
      <c r="AD70" s="158" t="str">
        <f t="shared" si="37"/>
        <v/>
      </c>
      <c r="AE70" s="158" t="str">
        <f t="shared" si="34"/>
        <v/>
      </c>
      <c r="AF70" s="433"/>
      <c r="AG70" s="337"/>
    </row>
    <row r="71" spans="1:33" ht="16.8" hidden="1" x14ac:dyDescent="0.25">
      <c r="A71" s="177"/>
      <c r="B71" s="376">
        <v>15</v>
      </c>
      <c r="C71" s="96" t="str">
        <f t="shared" si="35"/>
        <v/>
      </c>
      <c r="D71" s="96" t="str">
        <f t="shared" si="36"/>
        <v/>
      </c>
      <c r="E71" s="96" t="str">
        <f t="shared" si="9"/>
        <v/>
      </c>
      <c r="F71" s="96" t="str">
        <f t="shared" si="10"/>
        <v/>
      </c>
      <c r="G71" s="97" t="str">
        <f t="shared" si="11"/>
        <v/>
      </c>
      <c r="H71" s="97" t="str">
        <f t="shared" si="12"/>
        <v/>
      </c>
      <c r="I71" s="97" t="str">
        <f t="shared" si="13"/>
        <v/>
      </c>
      <c r="J71" s="157" t="str">
        <f t="shared" si="14"/>
        <v/>
      </c>
      <c r="K71" s="96" t="str">
        <f t="shared" si="15"/>
        <v/>
      </c>
      <c r="L71" s="96" t="str">
        <f t="shared" si="16"/>
        <v/>
      </c>
      <c r="M71" s="97" t="str">
        <f t="shared" si="17"/>
        <v/>
      </c>
      <c r="N71" s="149" t="str">
        <f t="shared" si="18"/>
        <v/>
      </c>
      <c r="O71" s="149" t="str">
        <f t="shared" si="19"/>
        <v/>
      </c>
      <c r="P71" s="150" t="str">
        <f t="shared" si="20"/>
        <v/>
      </c>
      <c r="Q71" s="151" t="str">
        <f t="shared" si="21"/>
        <v/>
      </c>
      <c r="R71" s="149" t="str">
        <f t="shared" si="22"/>
        <v/>
      </c>
      <c r="S71" s="149" t="str">
        <f t="shared" si="23"/>
        <v/>
      </c>
      <c r="T71" s="150" t="str">
        <f t="shared" si="24"/>
        <v/>
      </c>
      <c r="U71" s="150" t="str">
        <f t="shared" si="25"/>
        <v/>
      </c>
      <c r="V71" s="152" t="str">
        <f t="shared" si="26"/>
        <v/>
      </c>
      <c r="W71" s="152" t="str">
        <f t="shared" si="27"/>
        <v/>
      </c>
      <c r="X71" s="150" t="str">
        <f t="shared" si="28"/>
        <v/>
      </c>
      <c r="Y71" s="150" t="str">
        <f t="shared" si="29"/>
        <v/>
      </c>
      <c r="Z71" s="153" t="str">
        <f t="shared" si="30"/>
        <v/>
      </c>
      <c r="AA71" s="154" t="str">
        <f t="shared" si="31"/>
        <v/>
      </c>
      <c r="AB71" s="153" t="str">
        <f t="shared" si="32"/>
        <v/>
      </c>
      <c r="AC71" s="153" t="str">
        <f t="shared" si="33"/>
        <v/>
      </c>
      <c r="AD71" s="158" t="str">
        <f t="shared" si="37"/>
        <v/>
      </c>
      <c r="AE71" s="158" t="str">
        <f t="shared" si="34"/>
        <v/>
      </c>
      <c r="AF71" s="433"/>
      <c r="AG71" s="337"/>
    </row>
    <row r="72" spans="1:33" ht="16.8" hidden="1" x14ac:dyDescent="0.25">
      <c r="A72" s="177"/>
      <c r="B72" s="376">
        <v>16</v>
      </c>
      <c r="C72" s="96" t="str">
        <f t="shared" si="35"/>
        <v/>
      </c>
      <c r="D72" s="96" t="str">
        <f t="shared" si="36"/>
        <v/>
      </c>
      <c r="E72" s="96" t="str">
        <f t="shared" si="9"/>
        <v/>
      </c>
      <c r="F72" s="96" t="str">
        <f t="shared" si="10"/>
        <v/>
      </c>
      <c r="G72" s="97" t="str">
        <f t="shared" si="11"/>
        <v/>
      </c>
      <c r="H72" s="97" t="str">
        <f t="shared" si="12"/>
        <v/>
      </c>
      <c r="I72" s="97" t="str">
        <f t="shared" si="13"/>
        <v/>
      </c>
      <c r="J72" s="157" t="str">
        <f t="shared" si="14"/>
        <v/>
      </c>
      <c r="K72" s="96" t="str">
        <f t="shared" si="15"/>
        <v/>
      </c>
      <c r="L72" s="96" t="str">
        <f t="shared" si="16"/>
        <v/>
      </c>
      <c r="M72" s="97" t="str">
        <f t="shared" si="17"/>
        <v/>
      </c>
      <c r="N72" s="149" t="str">
        <f t="shared" si="18"/>
        <v/>
      </c>
      <c r="O72" s="149" t="str">
        <f t="shared" si="19"/>
        <v/>
      </c>
      <c r="P72" s="150" t="str">
        <f t="shared" si="20"/>
        <v/>
      </c>
      <c r="Q72" s="151" t="str">
        <f t="shared" si="21"/>
        <v/>
      </c>
      <c r="R72" s="149" t="str">
        <f t="shared" si="22"/>
        <v/>
      </c>
      <c r="S72" s="149" t="str">
        <f t="shared" si="23"/>
        <v/>
      </c>
      <c r="T72" s="150" t="str">
        <f t="shared" si="24"/>
        <v/>
      </c>
      <c r="U72" s="150" t="str">
        <f t="shared" si="25"/>
        <v/>
      </c>
      <c r="V72" s="152" t="str">
        <f t="shared" si="26"/>
        <v/>
      </c>
      <c r="W72" s="152" t="str">
        <f t="shared" si="27"/>
        <v/>
      </c>
      <c r="X72" s="150" t="str">
        <f t="shared" si="28"/>
        <v/>
      </c>
      <c r="Y72" s="150" t="str">
        <f t="shared" si="29"/>
        <v/>
      </c>
      <c r="Z72" s="153" t="str">
        <f t="shared" si="30"/>
        <v/>
      </c>
      <c r="AA72" s="154" t="str">
        <f t="shared" si="31"/>
        <v/>
      </c>
      <c r="AB72" s="153" t="str">
        <f t="shared" si="32"/>
        <v/>
      </c>
      <c r="AC72" s="153" t="str">
        <f t="shared" si="33"/>
        <v/>
      </c>
      <c r="AD72" s="158" t="str">
        <f t="shared" si="37"/>
        <v/>
      </c>
      <c r="AE72" s="158" t="str">
        <f t="shared" si="34"/>
        <v/>
      </c>
      <c r="AF72" s="433"/>
      <c r="AG72" s="337"/>
    </row>
    <row r="73" spans="1:33" ht="16.8" hidden="1" x14ac:dyDescent="0.25">
      <c r="A73" s="177"/>
      <c r="B73" s="376">
        <v>17</v>
      </c>
      <c r="C73" s="96" t="str">
        <f t="shared" si="35"/>
        <v/>
      </c>
      <c r="D73" s="96" t="str">
        <f t="shared" si="36"/>
        <v/>
      </c>
      <c r="E73" s="96" t="str">
        <f t="shared" si="9"/>
        <v/>
      </c>
      <c r="F73" s="96" t="str">
        <f t="shared" si="10"/>
        <v/>
      </c>
      <c r="G73" s="97" t="str">
        <f t="shared" si="11"/>
        <v/>
      </c>
      <c r="H73" s="97" t="str">
        <f t="shared" si="12"/>
        <v/>
      </c>
      <c r="I73" s="97" t="str">
        <f t="shared" si="13"/>
        <v/>
      </c>
      <c r="J73" s="157" t="str">
        <f t="shared" si="14"/>
        <v/>
      </c>
      <c r="K73" s="96" t="str">
        <f t="shared" si="15"/>
        <v/>
      </c>
      <c r="L73" s="96" t="str">
        <f t="shared" si="16"/>
        <v/>
      </c>
      <c r="M73" s="97" t="str">
        <f t="shared" si="17"/>
        <v/>
      </c>
      <c r="N73" s="149" t="str">
        <f t="shared" si="18"/>
        <v/>
      </c>
      <c r="O73" s="149" t="str">
        <f t="shared" si="19"/>
        <v/>
      </c>
      <c r="P73" s="150" t="str">
        <f t="shared" si="20"/>
        <v/>
      </c>
      <c r="Q73" s="151" t="str">
        <f t="shared" si="21"/>
        <v/>
      </c>
      <c r="R73" s="149" t="str">
        <f t="shared" si="22"/>
        <v/>
      </c>
      <c r="S73" s="149" t="str">
        <f t="shared" si="23"/>
        <v/>
      </c>
      <c r="T73" s="150" t="str">
        <f t="shared" si="24"/>
        <v/>
      </c>
      <c r="U73" s="150" t="str">
        <f t="shared" si="25"/>
        <v/>
      </c>
      <c r="V73" s="152" t="str">
        <f t="shared" si="26"/>
        <v/>
      </c>
      <c r="W73" s="152" t="str">
        <f t="shared" si="27"/>
        <v/>
      </c>
      <c r="X73" s="150" t="str">
        <f t="shared" si="28"/>
        <v/>
      </c>
      <c r="Y73" s="150" t="str">
        <f t="shared" si="29"/>
        <v/>
      </c>
      <c r="Z73" s="153" t="str">
        <f t="shared" si="30"/>
        <v/>
      </c>
      <c r="AA73" s="154" t="str">
        <f t="shared" si="31"/>
        <v/>
      </c>
      <c r="AB73" s="153" t="str">
        <f t="shared" si="32"/>
        <v/>
      </c>
      <c r="AC73" s="153" t="str">
        <f t="shared" si="33"/>
        <v/>
      </c>
      <c r="AD73" s="158" t="str">
        <f t="shared" si="37"/>
        <v/>
      </c>
      <c r="AE73" s="158" t="str">
        <f t="shared" si="34"/>
        <v/>
      </c>
      <c r="AF73" s="433"/>
      <c r="AG73" s="337"/>
    </row>
    <row r="74" spans="1:33" ht="16.8" hidden="1" x14ac:dyDescent="0.25">
      <c r="A74" s="177"/>
      <c r="B74" s="376">
        <v>18</v>
      </c>
      <c r="C74" s="96" t="str">
        <f t="shared" si="35"/>
        <v/>
      </c>
      <c r="D74" s="96" t="str">
        <f t="shared" si="36"/>
        <v/>
      </c>
      <c r="E74" s="96" t="str">
        <f t="shared" si="9"/>
        <v/>
      </c>
      <c r="F74" s="96" t="str">
        <f t="shared" si="10"/>
        <v/>
      </c>
      <c r="G74" s="97" t="str">
        <f t="shared" si="11"/>
        <v/>
      </c>
      <c r="H74" s="97" t="str">
        <f t="shared" si="12"/>
        <v/>
      </c>
      <c r="I74" s="97" t="str">
        <f t="shared" si="13"/>
        <v/>
      </c>
      <c r="J74" s="157" t="str">
        <f t="shared" si="14"/>
        <v/>
      </c>
      <c r="K74" s="96" t="str">
        <f t="shared" si="15"/>
        <v/>
      </c>
      <c r="L74" s="96" t="str">
        <f t="shared" si="16"/>
        <v/>
      </c>
      <c r="M74" s="97" t="str">
        <f t="shared" si="17"/>
        <v/>
      </c>
      <c r="N74" s="149" t="str">
        <f t="shared" si="18"/>
        <v/>
      </c>
      <c r="O74" s="149" t="str">
        <f t="shared" si="19"/>
        <v/>
      </c>
      <c r="P74" s="150" t="str">
        <f t="shared" si="20"/>
        <v/>
      </c>
      <c r="Q74" s="151" t="str">
        <f t="shared" si="21"/>
        <v/>
      </c>
      <c r="R74" s="149" t="str">
        <f t="shared" si="22"/>
        <v/>
      </c>
      <c r="S74" s="149" t="str">
        <f t="shared" si="23"/>
        <v/>
      </c>
      <c r="T74" s="150" t="str">
        <f t="shared" si="24"/>
        <v/>
      </c>
      <c r="U74" s="150" t="str">
        <f t="shared" si="25"/>
        <v/>
      </c>
      <c r="V74" s="152" t="str">
        <f t="shared" si="26"/>
        <v/>
      </c>
      <c r="W74" s="152" t="str">
        <f t="shared" si="27"/>
        <v/>
      </c>
      <c r="X74" s="150" t="str">
        <f t="shared" si="28"/>
        <v/>
      </c>
      <c r="Y74" s="150" t="str">
        <f t="shared" si="29"/>
        <v/>
      </c>
      <c r="Z74" s="153" t="str">
        <f t="shared" si="30"/>
        <v/>
      </c>
      <c r="AA74" s="154" t="str">
        <f t="shared" si="31"/>
        <v/>
      </c>
      <c r="AB74" s="153" t="str">
        <f t="shared" si="32"/>
        <v/>
      </c>
      <c r="AC74" s="153" t="str">
        <f t="shared" si="33"/>
        <v/>
      </c>
      <c r="AD74" s="158" t="str">
        <f t="shared" si="37"/>
        <v/>
      </c>
      <c r="AE74" s="158" t="str">
        <f t="shared" si="34"/>
        <v/>
      </c>
      <c r="AF74" s="433"/>
      <c r="AG74" s="337"/>
    </row>
    <row r="75" spans="1:33" ht="16.8" hidden="1" x14ac:dyDescent="0.25">
      <c r="A75" s="177"/>
      <c r="B75" s="376">
        <v>19</v>
      </c>
      <c r="C75" s="96" t="str">
        <f t="shared" si="35"/>
        <v/>
      </c>
      <c r="D75" s="96" t="str">
        <f t="shared" si="36"/>
        <v/>
      </c>
      <c r="E75" s="96" t="str">
        <f t="shared" si="9"/>
        <v/>
      </c>
      <c r="F75" s="96" t="str">
        <f t="shared" si="10"/>
        <v/>
      </c>
      <c r="G75" s="97" t="str">
        <f t="shared" si="11"/>
        <v/>
      </c>
      <c r="H75" s="97" t="str">
        <f t="shared" si="12"/>
        <v/>
      </c>
      <c r="I75" s="97" t="str">
        <f t="shared" si="13"/>
        <v/>
      </c>
      <c r="J75" s="157" t="str">
        <f t="shared" si="14"/>
        <v/>
      </c>
      <c r="K75" s="96" t="str">
        <f t="shared" si="15"/>
        <v/>
      </c>
      <c r="L75" s="96" t="str">
        <f t="shared" si="16"/>
        <v/>
      </c>
      <c r="M75" s="97" t="str">
        <f t="shared" si="17"/>
        <v/>
      </c>
      <c r="N75" s="149" t="str">
        <f t="shared" si="18"/>
        <v/>
      </c>
      <c r="O75" s="149" t="str">
        <f t="shared" si="19"/>
        <v/>
      </c>
      <c r="P75" s="150" t="str">
        <f t="shared" si="20"/>
        <v/>
      </c>
      <c r="Q75" s="151" t="str">
        <f t="shared" si="21"/>
        <v/>
      </c>
      <c r="R75" s="149" t="str">
        <f t="shared" si="22"/>
        <v/>
      </c>
      <c r="S75" s="149" t="str">
        <f t="shared" si="23"/>
        <v/>
      </c>
      <c r="T75" s="150" t="str">
        <f t="shared" si="24"/>
        <v/>
      </c>
      <c r="U75" s="150" t="str">
        <f t="shared" si="25"/>
        <v/>
      </c>
      <c r="V75" s="152" t="str">
        <f t="shared" si="26"/>
        <v/>
      </c>
      <c r="W75" s="152" t="str">
        <f t="shared" si="27"/>
        <v/>
      </c>
      <c r="X75" s="150" t="str">
        <f t="shared" si="28"/>
        <v/>
      </c>
      <c r="Y75" s="150" t="str">
        <f t="shared" si="29"/>
        <v/>
      </c>
      <c r="Z75" s="153" t="str">
        <f t="shared" si="30"/>
        <v/>
      </c>
      <c r="AA75" s="154" t="str">
        <f t="shared" si="31"/>
        <v/>
      </c>
      <c r="AB75" s="153" t="str">
        <f t="shared" si="32"/>
        <v/>
      </c>
      <c r="AC75" s="153" t="str">
        <f t="shared" si="33"/>
        <v/>
      </c>
      <c r="AD75" s="158" t="str">
        <f t="shared" si="37"/>
        <v/>
      </c>
      <c r="AE75" s="158" t="str">
        <f t="shared" si="34"/>
        <v/>
      </c>
      <c r="AF75" s="433"/>
      <c r="AG75" s="337"/>
    </row>
    <row r="76" spans="1:33" ht="16.8" hidden="1" x14ac:dyDescent="0.25">
      <c r="A76" s="177"/>
      <c r="B76" s="376">
        <v>20</v>
      </c>
      <c r="C76" s="96" t="str">
        <f t="shared" si="35"/>
        <v/>
      </c>
      <c r="D76" s="96" t="str">
        <f t="shared" si="36"/>
        <v/>
      </c>
      <c r="E76" s="96" t="str">
        <f t="shared" si="9"/>
        <v/>
      </c>
      <c r="F76" s="96" t="str">
        <f t="shared" si="10"/>
        <v/>
      </c>
      <c r="G76" s="97" t="str">
        <f t="shared" si="11"/>
        <v/>
      </c>
      <c r="H76" s="97" t="str">
        <f t="shared" si="12"/>
        <v/>
      </c>
      <c r="I76" s="97" t="str">
        <f t="shared" si="13"/>
        <v/>
      </c>
      <c r="J76" s="157" t="str">
        <f t="shared" si="14"/>
        <v/>
      </c>
      <c r="K76" s="96" t="str">
        <f t="shared" si="15"/>
        <v/>
      </c>
      <c r="L76" s="96" t="str">
        <f t="shared" si="16"/>
        <v/>
      </c>
      <c r="M76" s="97" t="str">
        <f t="shared" si="17"/>
        <v/>
      </c>
      <c r="N76" s="149" t="str">
        <f t="shared" si="18"/>
        <v/>
      </c>
      <c r="O76" s="149" t="str">
        <f t="shared" si="19"/>
        <v/>
      </c>
      <c r="P76" s="150" t="str">
        <f t="shared" si="20"/>
        <v/>
      </c>
      <c r="Q76" s="151" t="str">
        <f t="shared" si="21"/>
        <v/>
      </c>
      <c r="R76" s="149" t="str">
        <f t="shared" si="22"/>
        <v/>
      </c>
      <c r="S76" s="149" t="str">
        <f t="shared" si="23"/>
        <v/>
      </c>
      <c r="T76" s="150" t="str">
        <f t="shared" si="24"/>
        <v/>
      </c>
      <c r="U76" s="150" t="str">
        <f t="shared" si="25"/>
        <v/>
      </c>
      <c r="V76" s="152" t="str">
        <f t="shared" si="26"/>
        <v/>
      </c>
      <c r="W76" s="152" t="str">
        <f t="shared" si="27"/>
        <v/>
      </c>
      <c r="X76" s="150" t="str">
        <f t="shared" si="28"/>
        <v/>
      </c>
      <c r="Y76" s="150" t="str">
        <f t="shared" si="29"/>
        <v/>
      </c>
      <c r="Z76" s="153" t="str">
        <f t="shared" si="30"/>
        <v/>
      </c>
      <c r="AA76" s="154" t="str">
        <f t="shared" si="31"/>
        <v/>
      </c>
      <c r="AB76" s="153" t="str">
        <f t="shared" si="32"/>
        <v/>
      </c>
      <c r="AC76" s="153" t="str">
        <f t="shared" si="33"/>
        <v/>
      </c>
      <c r="AD76" s="158" t="str">
        <f t="shared" si="37"/>
        <v/>
      </c>
      <c r="AE76" s="158" t="str">
        <f t="shared" si="34"/>
        <v/>
      </c>
      <c r="AF76" s="433"/>
      <c r="AG76" s="337"/>
    </row>
    <row r="77" spans="1:33" ht="16.8" hidden="1" x14ac:dyDescent="0.25">
      <c r="A77" s="177"/>
      <c r="B77" s="376">
        <v>21</v>
      </c>
      <c r="C77" s="96" t="str">
        <f t="shared" si="35"/>
        <v/>
      </c>
      <c r="D77" s="96" t="str">
        <f t="shared" si="36"/>
        <v/>
      </c>
      <c r="E77" s="96" t="str">
        <f t="shared" si="9"/>
        <v/>
      </c>
      <c r="F77" s="96" t="str">
        <f t="shared" si="10"/>
        <v/>
      </c>
      <c r="G77" s="97" t="str">
        <f t="shared" si="11"/>
        <v/>
      </c>
      <c r="H77" s="97" t="str">
        <f t="shared" si="12"/>
        <v/>
      </c>
      <c r="I77" s="97" t="str">
        <f t="shared" si="13"/>
        <v/>
      </c>
      <c r="J77" s="157" t="str">
        <f t="shared" si="14"/>
        <v/>
      </c>
      <c r="K77" s="96" t="str">
        <f t="shared" si="15"/>
        <v/>
      </c>
      <c r="L77" s="96" t="str">
        <f t="shared" si="16"/>
        <v/>
      </c>
      <c r="M77" s="97" t="str">
        <f t="shared" si="17"/>
        <v/>
      </c>
      <c r="N77" s="149" t="str">
        <f t="shared" si="18"/>
        <v/>
      </c>
      <c r="O77" s="149" t="str">
        <f t="shared" si="19"/>
        <v/>
      </c>
      <c r="P77" s="150" t="str">
        <f t="shared" si="20"/>
        <v/>
      </c>
      <c r="Q77" s="151" t="str">
        <f t="shared" si="21"/>
        <v/>
      </c>
      <c r="R77" s="149" t="str">
        <f t="shared" si="22"/>
        <v/>
      </c>
      <c r="S77" s="149" t="str">
        <f t="shared" si="23"/>
        <v/>
      </c>
      <c r="T77" s="150" t="str">
        <f t="shared" si="24"/>
        <v/>
      </c>
      <c r="U77" s="150" t="str">
        <f t="shared" si="25"/>
        <v/>
      </c>
      <c r="V77" s="152" t="str">
        <f t="shared" si="26"/>
        <v/>
      </c>
      <c r="W77" s="152" t="str">
        <f t="shared" si="27"/>
        <v/>
      </c>
      <c r="X77" s="150" t="str">
        <f t="shared" si="28"/>
        <v/>
      </c>
      <c r="Y77" s="150" t="str">
        <f t="shared" si="29"/>
        <v/>
      </c>
      <c r="Z77" s="153" t="str">
        <f t="shared" si="30"/>
        <v/>
      </c>
      <c r="AA77" s="154" t="str">
        <f t="shared" si="31"/>
        <v/>
      </c>
      <c r="AB77" s="153" t="str">
        <f t="shared" si="32"/>
        <v/>
      </c>
      <c r="AC77" s="153" t="str">
        <f t="shared" si="33"/>
        <v/>
      </c>
      <c r="AD77" s="158" t="str">
        <f t="shared" si="37"/>
        <v/>
      </c>
      <c r="AE77" s="158" t="str">
        <f t="shared" si="34"/>
        <v/>
      </c>
      <c r="AF77" s="433"/>
      <c r="AG77" s="337"/>
    </row>
    <row r="78" spans="1:33" ht="16.8" hidden="1" x14ac:dyDescent="0.25">
      <c r="A78" s="177"/>
      <c r="B78" s="376">
        <v>22</v>
      </c>
      <c r="C78" s="96" t="str">
        <f t="shared" si="35"/>
        <v/>
      </c>
      <c r="D78" s="96" t="str">
        <f t="shared" si="36"/>
        <v/>
      </c>
      <c r="E78" s="96" t="str">
        <f t="shared" si="9"/>
        <v/>
      </c>
      <c r="F78" s="96" t="str">
        <f t="shared" si="10"/>
        <v/>
      </c>
      <c r="G78" s="97" t="str">
        <f t="shared" si="11"/>
        <v/>
      </c>
      <c r="H78" s="97" t="str">
        <f t="shared" si="12"/>
        <v/>
      </c>
      <c r="I78" s="97" t="str">
        <f t="shared" si="13"/>
        <v/>
      </c>
      <c r="J78" s="157" t="str">
        <f t="shared" si="14"/>
        <v/>
      </c>
      <c r="K78" s="96" t="str">
        <f t="shared" si="15"/>
        <v/>
      </c>
      <c r="L78" s="96" t="str">
        <f t="shared" si="16"/>
        <v/>
      </c>
      <c r="M78" s="97" t="str">
        <f t="shared" si="17"/>
        <v/>
      </c>
      <c r="N78" s="149" t="str">
        <f t="shared" si="18"/>
        <v/>
      </c>
      <c r="O78" s="149" t="str">
        <f t="shared" si="19"/>
        <v/>
      </c>
      <c r="P78" s="150" t="str">
        <f t="shared" si="20"/>
        <v/>
      </c>
      <c r="Q78" s="151" t="str">
        <f t="shared" si="21"/>
        <v/>
      </c>
      <c r="R78" s="149" t="str">
        <f t="shared" si="22"/>
        <v/>
      </c>
      <c r="S78" s="149" t="str">
        <f t="shared" si="23"/>
        <v/>
      </c>
      <c r="T78" s="150" t="str">
        <f t="shared" si="24"/>
        <v/>
      </c>
      <c r="U78" s="150" t="str">
        <f t="shared" si="25"/>
        <v/>
      </c>
      <c r="V78" s="152" t="str">
        <f t="shared" si="26"/>
        <v/>
      </c>
      <c r="W78" s="152" t="str">
        <f t="shared" si="27"/>
        <v/>
      </c>
      <c r="X78" s="150" t="str">
        <f t="shared" si="28"/>
        <v/>
      </c>
      <c r="Y78" s="150" t="str">
        <f t="shared" si="29"/>
        <v/>
      </c>
      <c r="Z78" s="153" t="str">
        <f t="shared" si="30"/>
        <v/>
      </c>
      <c r="AA78" s="154" t="str">
        <f t="shared" si="31"/>
        <v/>
      </c>
      <c r="AB78" s="153" t="str">
        <f t="shared" si="32"/>
        <v/>
      </c>
      <c r="AC78" s="153" t="str">
        <f t="shared" si="33"/>
        <v/>
      </c>
      <c r="AD78" s="158" t="str">
        <f t="shared" si="37"/>
        <v/>
      </c>
      <c r="AE78" s="158" t="str">
        <f t="shared" si="34"/>
        <v/>
      </c>
      <c r="AF78" s="433"/>
      <c r="AG78" s="337"/>
    </row>
    <row r="79" spans="1:33" ht="16.8" hidden="1" x14ac:dyDescent="0.25">
      <c r="A79" s="177"/>
      <c r="B79" s="376">
        <v>23</v>
      </c>
      <c r="C79" s="96" t="str">
        <f t="shared" si="35"/>
        <v/>
      </c>
      <c r="D79" s="96" t="str">
        <f t="shared" si="36"/>
        <v/>
      </c>
      <c r="E79" s="96" t="str">
        <f t="shared" si="9"/>
        <v/>
      </c>
      <c r="F79" s="96" t="str">
        <f t="shared" si="10"/>
        <v/>
      </c>
      <c r="G79" s="97" t="str">
        <f t="shared" si="11"/>
        <v/>
      </c>
      <c r="H79" s="97" t="str">
        <f t="shared" si="12"/>
        <v/>
      </c>
      <c r="I79" s="97" t="str">
        <f t="shared" si="13"/>
        <v/>
      </c>
      <c r="J79" s="157" t="str">
        <f t="shared" si="14"/>
        <v/>
      </c>
      <c r="K79" s="96" t="str">
        <f t="shared" si="15"/>
        <v/>
      </c>
      <c r="L79" s="96" t="str">
        <f t="shared" si="16"/>
        <v/>
      </c>
      <c r="M79" s="97" t="str">
        <f t="shared" si="17"/>
        <v/>
      </c>
      <c r="N79" s="149" t="str">
        <f t="shared" si="18"/>
        <v/>
      </c>
      <c r="O79" s="149" t="str">
        <f t="shared" si="19"/>
        <v/>
      </c>
      <c r="P79" s="150" t="str">
        <f t="shared" si="20"/>
        <v/>
      </c>
      <c r="Q79" s="151" t="str">
        <f t="shared" si="21"/>
        <v/>
      </c>
      <c r="R79" s="149" t="str">
        <f t="shared" si="22"/>
        <v/>
      </c>
      <c r="S79" s="149" t="str">
        <f t="shared" si="23"/>
        <v/>
      </c>
      <c r="T79" s="150" t="str">
        <f t="shared" si="24"/>
        <v/>
      </c>
      <c r="U79" s="150" t="str">
        <f t="shared" si="25"/>
        <v/>
      </c>
      <c r="V79" s="152" t="str">
        <f t="shared" si="26"/>
        <v/>
      </c>
      <c r="W79" s="152" t="str">
        <f t="shared" si="27"/>
        <v/>
      </c>
      <c r="X79" s="150" t="str">
        <f t="shared" si="28"/>
        <v/>
      </c>
      <c r="Y79" s="150" t="str">
        <f t="shared" si="29"/>
        <v/>
      </c>
      <c r="Z79" s="153" t="str">
        <f t="shared" si="30"/>
        <v/>
      </c>
      <c r="AA79" s="154" t="str">
        <f t="shared" si="31"/>
        <v/>
      </c>
      <c r="AB79" s="153" t="str">
        <f t="shared" si="32"/>
        <v/>
      </c>
      <c r="AC79" s="153" t="str">
        <f t="shared" si="33"/>
        <v/>
      </c>
      <c r="AD79" s="158" t="str">
        <f t="shared" si="37"/>
        <v/>
      </c>
      <c r="AE79" s="158" t="str">
        <f t="shared" si="34"/>
        <v/>
      </c>
      <c r="AF79" s="433"/>
      <c r="AG79" s="337"/>
    </row>
    <row r="80" spans="1:33" ht="16.8" hidden="1" x14ac:dyDescent="0.25">
      <c r="A80" s="177"/>
      <c r="B80" s="376">
        <v>24</v>
      </c>
      <c r="C80" s="96" t="str">
        <f t="shared" si="35"/>
        <v/>
      </c>
      <c r="D80" s="96" t="str">
        <f t="shared" si="36"/>
        <v/>
      </c>
      <c r="E80" s="96" t="str">
        <f t="shared" si="9"/>
        <v/>
      </c>
      <c r="F80" s="96" t="str">
        <f t="shared" si="10"/>
        <v/>
      </c>
      <c r="G80" s="97" t="str">
        <f t="shared" si="11"/>
        <v/>
      </c>
      <c r="H80" s="97" t="str">
        <f t="shared" si="12"/>
        <v/>
      </c>
      <c r="I80" s="97" t="str">
        <f t="shared" si="13"/>
        <v/>
      </c>
      <c r="J80" s="157" t="str">
        <f t="shared" si="14"/>
        <v/>
      </c>
      <c r="K80" s="96" t="str">
        <f t="shared" si="15"/>
        <v/>
      </c>
      <c r="L80" s="96" t="str">
        <f t="shared" si="16"/>
        <v/>
      </c>
      <c r="M80" s="97" t="str">
        <f t="shared" si="17"/>
        <v/>
      </c>
      <c r="N80" s="149" t="str">
        <f t="shared" si="18"/>
        <v/>
      </c>
      <c r="O80" s="149" t="str">
        <f t="shared" si="19"/>
        <v/>
      </c>
      <c r="P80" s="150" t="str">
        <f t="shared" si="20"/>
        <v/>
      </c>
      <c r="Q80" s="151" t="str">
        <f t="shared" si="21"/>
        <v/>
      </c>
      <c r="R80" s="149" t="str">
        <f t="shared" si="22"/>
        <v/>
      </c>
      <c r="S80" s="149" t="str">
        <f t="shared" si="23"/>
        <v/>
      </c>
      <c r="T80" s="150" t="str">
        <f t="shared" si="24"/>
        <v/>
      </c>
      <c r="U80" s="150" t="str">
        <f t="shared" si="25"/>
        <v/>
      </c>
      <c r="V80" s="152" t="str">
        <f t="shared" si="26"/>
        <v/>
      </c>
      <c r="W80" s="152" t="str">
        <f t="shared" si="27"/>
        <v/>
      </c>
      <c r="X80" s="150" t="str">
        <f t="shared" si="28"/>
        <v/>
      </c>
      <c r="Y80" s="150" t="str">
        <f t="shared" si="29"/>
        <v/>
      </c>
      <c r="Z80" s="153" t="str">
        <f t="shared" si="30"/>
        <v/>
      </c>
      <c r="AA80" s="154" t="str">
        <f t="shared" si="31"/>
        <v/>
      </c>
      <c r="AB80" s="153" t="str">
        <f t="shared" si="32"/>
        <v/>
      </c>
      <c r="AC80" s="153" t="str">
        <f t="shared" si="33"/>
        <v/>
      </c>
      <c r="AD80" s="158" t="str">
        <f t="shared" si="37"/>
        <v/>
      </c>
      <c r="AE80" s="158" t="str">
        <f t="shared" si="34"/>
        <v/>
      </c>
      <c r="AF80" s="433"/>
      <c r="AG80" s="337"/>
    </row>
    <row r="81" spans="1:33" ht="16.8" hidden="1" x14ac:dyDescent="0.25">
      <c r="A81" s="177"/>
      <c r="B81" s="376">
        <v>25</v>
      </c>
      <c r="C81" s="96" t="str">
        <f t="shared" si="35"/>
        <v/>
      </c>
      <c r="D81" s="96" t="str">
        <f t="shared" si="36"/>
        <v/>
      </c>
      <c r="E81" s="96" t="str">
        <f t="shared" si="9"/>
        <v/>
      </c>
      <c r="F81" s="96" t="str">
        <f t="shared" si="10"/>
        <v/>
      </c>
      <c r="G81" s="97" t="str">
        <f t="shared" si="11"/>
        <v/>
      </c>
      <c r="H81" s="97" t="str">
        <f t="shared" si="12"/>
        <v/>
      </c>
      <c r="I81" s="97" t="str">
        <f t="shared" si="13"/>
        <v/>
      </c>
      <c r="J81" s="157" t="str">
        <f t="shared" si="14"/>
        <v/>
      </c>
      <c r="K81" s="96" t="str">
        <f t="shared" si="15"/>
        <v/>
      </c>
      <c r="L81" s="96" t="str">
        <f t="shared" si="16"/>
        <v/>
      </c>
      <c r="M81" s="97" t="str">
        <f t="shared" si="17"/>
        <v/>
      </c>
      <c r="N81" s="149" t="str">
        <f t="shared" si="18"/>
        <v/>
      </c>
      <c r="O81" s="149" t="str">
        <f t="shared" si="19"/>
        <v/>
      </c>
      <c r="P81" s="150" t="str">
        <f t="shared" si="20"/>
        <v/>
      </c>
      <c r="Q81" s="151" t="str">
        <f t="shared" si="21"/>
        <v/>
      </c>
      <c r="R81" s="149" t="str">
        <f t="shared" si="22"/>
        <v/>
      </c>
      <c r="S81" s="149" t="str">
        <f t="shared" si="23"/>
        <v/>
      </c>
      <c r="T81" s="150" t="str">
        <f t="shared" si="24"/>
        <v/>
      </c>
      <c r="U81" s="150" t="str">
        <f t="shared" si="25"/>
        <v/>
      </c>
      <c r="V81" s="152" t="str">
        <f t="shared" si="26"/>
        <v/>
      </c>
      <c r="W81" s="152" t="str">
        <f t="shared" si="27"/>
        <v/>
      </c>
      <c r="X81" s="150" t="str">
        <f t="shared" si="28"/>
        <v/>
      </c>
      <c r="Y81" s="150" t="str">
        <f t="shared" si="29"/>
        <v/>
      </c>
      <c r="Z81" s="153" t="str">
        <f t="shared" si="30"/>
        <v/>
      </c>
      <c r="AA81" s="154" t="str">
        <f t="shared" si="31"/>
        <v/>
      </c>
      <c r="AB81" s="153" t="str">
        <f t="shared" si="32"/>
        <v/>
      </c>
      <c r="AC81" s="153" t="str">
        <f t="shared" si="33"/>
        <v/>
      </c>
      <c r="AD81" s="158" t="str">
        <f t="shared" si="37"/>
        <v/>
      </c>
      <c r="AE81" s="158" t="str">
        <f t="shared" si="34"/>
        <v/>
      </c>
      <c r="AF81" s="433"/>
      <c r="AG81" s="337"/>
    </row>
    <row r="82" spans="1:33" ht="16.8" hidden="1" x14ac:dyDescent="0.25">
      <c r="A82" s="177"/>
      <c r="B82" s="376">
        <v>26</v>
      </c>
      <c r="C82" s="96" t="str">
        <f t="shared" si="35"/>
        <v/>
      </c>
      <c r="D82" s="96" t="str">
        <f t="shared" si="36"/>
        <v/>
      </c>
      <c r="E82" s="96" t="str">
        <f t="shared" si="9"/>
        <v/>
      </c>
      <c r="F82" s="96" t="str">
        <f t="shared" si="10"/>
        <v/>
      </c>
      <c r="G82" s="97" t="str">
        <f t="shared" si="11"/>
        <v/>
      </c>
      <c r="H82" s="97" t="str">
        <f t="shared" si="12"/>
        <v/>
      </c>
      <c r="I82" s="97" t="str">
        <f t="shared" si="13"/>
        <v/>
      </c>
      <c r="J82" s="157" t="str">
        <f t="shared" si="14"/>
        <v/>
      </c>
      <c r="K82" s="96" t="str">
        <f t="shared" si="15"/>
        <v/>
      </c>
      <c r="L82" s="96" t="str">
        <f t="shared" si="16"/>
        <v/>
      </c>
      <c r="M82" s="97" t="str">
        <f t="shared" si="17"/>
        <v/>
      </c>
      <c r="N82" s="149" t="str">
        <f t="shared" si="18"/>
        <v/>
      </c>
      <c r="O82" s="149" t="str">
        <f t="shared" si="19"/>
        <v/>
      </c>
      <c r="P82" s="150" t="str">
        <f t="shared" si="20"/>
        <v/>
      </c>
      <c r="Q82" s="151" t="str">
        <f t="shared" si="21"/>
        <v/>
      </c>
      <c r="R82" s="149" t="str">
        <f t="shared" si="22"/>
        <v/>
      </c>
      <c r="S82" s="149" t="str">
        <f t="shared" si="23"/>
        <v/>
      </c>
      <c r="T82" s="150" t="str">
        <f t="shared" si="24"/>
        <v/>
      </c>
      <c r="U82" s="150" t="str">
        <f t="shared" si="25"/>
        <v/>
      </c>
      <c r="V82" s="152" t="str">
        <f t="shared" si="26"/>
        <v/>
      </c>
      <c r="W82" s="152" t="str">
        <f t="shared" si="27"/>
        <v/>
      </c>
      <c r="X82" s="150" t="str">
        <f t="shared" si="28"/>
        <v/>
      </c>
      <c r="Y82" s="150" t="str">
        <f t="shared" si="29"/>
        <v/>
      </c>
      <c r="Z82" s="153" t="str">
        <f t="shared" si="30"/>
        <v/>
      </c>
      <c r="AA82" s="154" t="str">
        <f t="shared" si="31"/>
        <v/>
      </c>
      <c r="AB82" s="153" t="str">
        <f t="shared" si="32"/>
        <v/>
      </c>
      <c r="AC82" s="153" t="str">
        <f t="shared" si="33"/>
        <v/>
      </c>
      <c r="AD82" s="158" t="str">
        <f t="shared" si="37"/>
        <v/>
      </c>
      <c r="AE82" s="158" t="str">
        <f t="shared" si="34"/>
        <v/>
      </c>
      <c r="AF82" s="433"/>
      <c r="AG82" s="337"/>
    </row>
    <row r="83" spans="1:33" ht="16.8" hidden="1" x14ac:dyDescent="0.25">
      <c r="A83" s="177"/>
      <c r="B83" s="376">
        <v>27</v>
      </c>
      <c r="C83" s="96" t="str">
        <f t="shared" si="35"/>
        <v/>
      </c>
      <c r="D83" s="96" t="str">
        <f t="shared" si="36"/>
        <v/>
      </c>
      <c r="E83" s="96" t="str">
        <f t="shared" si="9"/>
        <v/>
      </c>
      <c r="F83" s="96" t="str">
        <f t="shared" si="10"/>
        <v/>
      </c>
      <c r="G83" s="97" t="str">
        <f t="shared" si="11"/>
        <v/>
      </c>
      <c r="H83" s="97" t="str">
        <f t="shared" si="12"/>
        <v/>
      </c>
      <c r="I83" s="97" t="str">
        <f t="shared" si="13"/>
        <v/>
      </c>
      <c r="J83" s="157" t="str">
        <f t="shared" si="14"/>
        <v/>
      </c>
      <c r="K83" s="96" t="str">
        <f t="shared" si="15"/>
        <v/>
      </c>
      <c r="L83" s="96" t="str">
        <f t="shared" si="16"/>
        <v/>
      </c>
      <c r="M83" s="97" t="str">
        <f t="shared" si="17"/>
        <v/>
      </c>
      <c r="N83" s="149" t="str">
        <f t="shared" si="18"/>
        <v/>
      </c>
      <c r="O83" s="149" t="str">
        <f t="shared" si="19"/>
        <v/>
      </c>
      <c r="P83" s="150" t="str">
        <f t="shared" si="20"/>
        <v/>
      </c>
      <c r="Q83" s="151" t="str">
        <f t="shared" si="21"/>
        <v/>
      </c>
      <c r="R83" s="149" t="str">
        <f t="shared" si="22"/>
        <v/>
      </c>
      <c r="S83" s="149" t="str">
        <f t="shared" si="23"/>
        <v/>
      </c>
      <c r="T83" s="150" t="str">
        <f t="shared" si="24"/>
        <v/>
      </c>
      <c r="U83" s="150" t="str">
        <f t="shared" si="25"/>
        <v/>
      </c>
      <c r="V83" s="152" t="str">
        <f t="shared" si="26"/>
        <v/>
      </c>
      <c r="W83" s="152" t="str">
        <f t="shared" si="27"/>
        <v/>
      </c>
      <c r="X83" s="150" t="str">
        <f t="shared" si="28"/>
        <v/>
      </c>
      <c r="Y83" s="150" t="str">
        <f t="shared" si="29"/>
        <v/>
      </c>
      <c r="Z83" s="153" t="str">
        <f t="shared" si="30"/>
        <v/>
      </c>
      <c r="AA83" s="154" t="str">
        <f t="shared" si="31"/>
        <v/>
      </c>
      <c r="AB83" s="153" t="str">
        <f t="shared" si="32"/>
        <v/>
      </c>
      <c r="AC83" s="153" t="str">
        <f t="shared" si="33"/>
        <v/>
      </c>
      <c r="AD83" s="158" t="str">
        <f t="shared" si="37"/>
        <v/>
      </c>
      <c r="AE83" s="158" t="str">
        <f t="shared" si="34"/>
        <v/>
      </c>
      <c r="AF83" s="433"/>
      <c r="AG83" s="337"/>
    </row>
    <row r="84" spans="1:33" ht="16.8" hidden="1" x14ac:dyDescent="0.25">
      <c r="A84" s="177"/>
      <c r="B84" s="376">
        <v>28</v>
      </c>
      <c r="C84" s="96" t="str">
        <f t="shared" si="35"/>
        <v/>
      </c>
      <c r="D84" s="96" t="str">
        <f t="shared" si="36"/>
        <v/>
      </c>
      <c r="E84" s="96" t="str">
        <f t="shared" si="9"/>
        <v/>
      </c>
      <c r="F84" s="96" t="str">
        <f t="shared" si="10"/>
        <v/>
      </c>
      <c r="G84" s="97" t="str">
        <f t="shared" si="11"/>
        <v/>
      </c>
      <c r="H84" s="97" t="str">
        <f t="shared" si="12"/>
        <v/>
      </c>
      <c r="I84" s="97" t="str">
        <f t="shared" si="13"/>
        <v/>
      </c>
      <c r="J84" s="157" t="str">
        <f t="shared" si="14"/>
        <v/>
      </c>
      <c r="K84" s="96" t="str">
        <f t="shared" si="15"/>
        <v/>
      </c>
      <c r="L84" s="96" t="str">
        <f t="shared" si="16"/>
        <v/>
      </c>
      <c r="M84" s="97" t="str">
        <f t="shared" si="17"/>
        <v/>
      </c>
      <c r="N84" s="149" t="str">
        <f t="shared" si="18"/>
        <v/>
      </c>
      <c r="O84" s="149" t="str">
        <f t="shared" si="19"/>
        <v/>
      </c>
      <c r="P84" s="150" t="str">
        <f t="shared" si="20"/>
        <v/>
      </c>
      <c r="Q84" s="151" t="str">
        <f t="shared" si="21"/>
        <v/>
      </c>
      <c r="R84" s="149" t="str">
        <f t="shared" si="22"/>
        <v/>
      </c>
      <c r="S84" s="149" t="str">
        <f t="shared" si="23"/>
        <v/>
      </c>
      <c r="T84" s="150" t="str">
        <f t="shared" si="24"/>
        <v/>
      </c>
      <c r="U84" s="150" t="str">
        <f t="shared" si="25"/>
        <v/>
      </c>
      <c r="V84" s="152" t="str">
        <f t="shared" si="26"/>
        <v/>
      </c>
      <c r="W84" s="152" t="str">
        <f t="shared" si="27"/>
        <v/>
      </c>
      <c r="X84" s="150" t="str">
        <f t="shared" si="28"/>
        <v/>
      </c>
      <c r="Y84" s="150" t="str">
        <f t="shared" si="29"/>
        <v/>
      </c>
      <c r="Z84" s="153" t="str">
        <f t="shared" si="30"/>
        <v/>
      </c>
      <c r="AA84" s="154" t="str">
        <f t="shared" si="31"/>
        <v/>
      </c>
      <c r="AB84" s="153" t="str">
        <f t="shared" si="32"/>
        <v/>
      </c>
      <c r="AC84" s="153" t="str">
        <f t="shared" si="33"/>
        <v/>
      </c>
      <c r="AD84" s="158" t="str">
        <f t="shared" si="37"/>
        <v/>
      </c>
      <c r="AE84" s="158" t="str">
        <f t="shared" si="34"/>
        <v/>
      </c>
      <c r="AF84" s="433"/>
      <c r="AG84" s="337"/>
    </row>
    <row r="85" spans="1:33" ht="16.8" hidden="1" x14ac:dyDescent="0.25">
      <c r="A85" s="177"/>
      <c r="B85" s="376">
        <v>29</v>
      </c>
      <c r="C85" s="96" t="str">
        <f t="shared" si="35"/>
        <v/>
      </c>
      <c r="D85" s="96" t="str">
        <f t="shared" si="36"/>
        <v/>
      </c>
      <c r="E85" s="96" t="str">
        <f t="shared" si="9"/>
        <v/>
      </c>
      <c r="F85" s="96" t="str">
        <f t="shared" si="10"/>
        <v/>
      </c>
      <c r="G85" s="97" t="str">
        <f t="shared" si="11"/>
        <v/>
      </c>
      <c r="H85" s="97" t="str">
        <f t="shared" si="12"/>
        <v/>
      </c>
      <c r="I85" s="97" t="str">
        <f t="shared" si="13"/>
        <v/>
      </c>
      <c r="J85" s="157" t="str">
        <f t="shared" si="14"/>
        <v/>
      </c>
      <c r="K85" s="96" t="str">
        <f t="shared" si="15"/>
        <v/>
      </c>
      <c r="L85" s="96" t="str">
        <f t="shared" si="16"/>
        <v/>
      </c>
      <c r="M85" s="97" t="str">
        <f t="shared" si="17"/>
        <v/>
      </c>
      <c r="N85" s="149" t="str">
        <f t="shared" si="18"/>
        <v/>
      </c>
      <c r="O85" s="149" t="str">
        <f t="shared" si="19"/>
        <v/>
      </c>
      <c r="P85" s="150" t="str">
        <f t="shared" si="20"/>
        <v/>
      </c>
      <c r="Q85" s="151" t="str">
        <f t="shared" si="21"/>
        <v/>
      </c>
      <c r="R85" s="149" t="str">
        <f t="shared" si="22"/>
        <v/>
      </c>
      <c r="S85" s="149" t="str">
        <f t="shared" si="23"/>
        <v/>
      </c>
      <c r="T85" s="150" t="str">
        <f t="shared" si="24"/>
        <v/>
      </c>
      <c r="U85" s="150" t="str">
        <f t="shared" si="25"/>
        <v/>
      </c>
      <c r="V85" s="152" t="str">
        <f t="shared" si="26"/>
        <v/>
      </c>
      <c r="W85" s="152" t="str">
        <f t="shared" si="27"/>
        <v/>
      </c>
      <c r="X85" s="150" t="str">
        <f t="shared" si="28"/>
        <v/>
      </c>
      <c r="Y85" s="150" t="str">
        <f t="shared" si="29"/>
        <v/>
      </c>
      <c r="Z85" s="153" t="str">
        <f t="shared" si="30"/>
        <v/>
      </c>
      <c r="AA85" s="154" t="str">
        <f t="shared" si="31"/>
        <v/>
      </c>
      <c r="AB85" s="153" t="str">
        <f t="shared" si="32"/>
        <v/>
      </c>
      <c r="AC85" s="153" t="str">
        <f t="shared" si="33"/>
        <v/>
      </c>
      <c r="AD85" s="158" t="str">
        <f t="shared" si="37"/>
        <v/>
      </c>
      <c r="AE85" s="158" t="str">
        <f t="shared" si="34"/>
        <v/>
      </c>
      <c r="AF85" s="433"/>
      <c r="AG85" s="337"/>
    </row>
    <row r="86" spans="1:33" ht="16.8" hidden="1" x14ac:dyDescent="0.25">
      <c r="A86" s="177"/>
      <c r="B86" s="376">
        <v>30</v>
      </c>
      <c r="C86" s="96" t="str">
        <f t="shared" si="35"/>
        <v/>
      </c>
      <c r="D86" s="96" t="str">
        <f t="shared" si="36"/>
        <v/>
      </c>
      <c r="E86" s="96" t="str">
        <f t="shared" si="9"/>
        <v/>
      </c>
      <c r="F86" s="96" t="str">
        <f t="shared" si="10"/>
        <v/>
      </c>
      <c r="G86" s="97" t="str">
        <f t="shared" si="11"/>
        <v/>
      </c>
      <c r="H86" s="97" t="str">
        <f t="shared" si="12"/>
        <v/>
      </c>
      <c r="I86" s="97" t="str">
        <f t="shared" si="13"/>
        <v/>
      </c>
      <c r="J86" s="157" t="str">
        <f t="shared" si="14"/>
        <v/>
      </c>
      <c r="K86" s="96" t="str">
        <f t="shared" si="15"/>
        <v/>
      </c>
      <c r="L86" s="96" t="str">
        <f t="shared" si="16"/>
        <v/>
      </c>
      <c r="M86" s="97" t="str">
        <f t="shared" si="17"/>
        <v/>
      </c>
      <c r="N86" s="149" t="str">
        <f t="shared" si="18"/>
        <v/>
      </c>
      <c r="O86" s="149" t="str">
        <f t="shared" si="19"/>
        <v/>
      </c>
      <c r="P86" s="150" t="str">
        <f t="shared" si="20"/>
        <v/>
      </c>
      <c r="Q86" s="151" t="str">
        <f t="shared" si="21"/>
        <v/>
      </c>
      <c r="R86" s="149" t="str">
        <f t="shared" si="22"/>
        <v/>
      </c>
      <c r="S86" s="149" t="str">
        <f t="shared" si="23"/>
        <v/>
      </c>
      <c r="T86" s="150" t="str">
        <f t="shared" si="24"/>
        <v/>
      </c>
      <c r="U86" s="150" t="str">
        <f t="shared" si="25"/>
        <v/>
      </c>
      <c r="V86" s="152" t="str">
        <f t="shared" si="26"/>
        <v/>
      </c>
      <c r="W86" s="152" t="str">
        <f t="shared" si="27"/>
        <v/>
      </c>
      <c r="X86" s="150" t="str">
        <f t="shared" si="28"/>
        <v/>
      </c>
      <c r="Y86" s="150" t="str">
        <f t="shared" si="29"/>
        <v/>
      </c>
      <c r="Z86" s="153" t="str">
        <f t="shared" si="30"/>
        <v/>
      </c>
      <c r="AA86" s="154" t="str">
        <f t="shared" si="31"/>
        <v/>
      </c>
      <c r="AB86" s="153" t="str">
        <f t="shared" si="32"/>
        <v/>
      </c>
      <c r="AC86" s="153" t="str">
        <f t="shared" si="33"/>
        <v/>
      </c>
      <c r="AD86" s="158" t="str">
        <f t="shared" si="37"/>
        <v/>
      </c>
      <c r="AE86" s="158" t="str">
        <f t="shared" si="34"/>
        <v/>
      </c>
      <c r="AF86" s="433"/>
      <c r="AG86" s="337"/>
    </row>
    <row r="87" spans="1:33" ht="16.8" hidden="1" x14ac:dyDescent="0.25">
      <c r="A87" s="177"/>
      <c r="B87" s="376">
        <v>31</v>
      </c>
      <c r="C87" s="96" t="str">
        <f t="shared" si="35"/>
        <v/>
      </c>
      <c r="D87" s="96" t="str">
        <f t="shared" si="36"/>
        <v/>
      </c>
      <c r="E87" s="96" t="str">
        <f t="shared" si="9"/>
        <v/>
      </c>
      <c r="F87" s="96" t="str">
        <f t="shared" si="10"/>
        <v/>
      </c>
      <c r="G87" s="97" t="str">
        <f t="shared" si="11"/>
        <v/>
      </c>
      <c r="H87" s="97" t="str">
        <f t="shared" si="12"/>
        <v/>
      </c>
      <c r="I87" s="97" t="str">
        <f t="shared" si="13"/>
        <v/>
      </c>
      <c r="J87" s="157" t="str">
        <f t="shared" si="14"/>
        <v/>
      </c>
      <c r="K87" s="96" t="str">
        <f t="shared" si="15"/>
        <v/>
      </c>
      <c r="L87" s="96" t="str">
        <f t="shared" si="16"/>
        <v/>
      </c>
      <c r="M87" s="97" t="str">
        <f t="shared" si="17"/>
        <v/>
      </c>
      <c r="N87" s="149" t="str">
        <f t="shared" si="18"/>
        <v/>
      </c>
      <c r="O87" s="149" t="str">
        <f t="shared" si="19"/>
        <v/>
      </c>
      <c r="P87" s="150" t="str">
        <f t="shared" si="20"/>
        <v/>
      </c>
      <c r="Q87" s="151" t="str">
        <f t="shared" si="21"/>
        <v/>
      </c>
      <c r="R87" s="149" t="str">
        <f t="shared" si="22"/>
        <v/>
      </c>
      <c r="S87" s="149" t="str">
        <f t="shared" si="23"/>
        <v/>
      </c>
      <c r="T87" s="150" t="str">
        <f t="shared" si="24"/>
        <v/>
      </c>
      <c r="U87" s="150" t="str">
        <f t="shared" si="25"/>
        <v/>
      </c>
      <c r="V87" s="152" t="str">
        <f t="shared" si="26"/>
        <v/>
      </c>
      <c r="W87" s="152" t="str">
        <f t="shared" si="27"/>
        <v/>
      </c>
      <c r="X87" s="150" t="str">
        <f t="shared" si="28"/>
        <v/>
      </c>
      <c r="Y87" s="150" t="str">
        <f t="shared" si="29"/>
        <v/>
      </c>
      <c r="Z87" s="153" t="str">
        <f t="shared" si="30"/>
        <v/>
      </c>
      <c r="AA87" s="154" t="str">
        <f t="shared" si="31"/>
        <v/>
      </c>
      <c r="AB87" s="153" t="str">
        <f t="shared" si="32"/>
        <v/>
      </c>
      <c r="AC87" s="153" t="str">
        <f t="shared" si="33"/>
        <v/>
      </c>
      <c r="AD87" s="158" t="str">
        <f t="shared" si="37"/>
        <v/>
      </c>
      <c r="AE87" s="158" t="str">
        <f t="shared" si="34"/>
        <v/>
      </c>
      <c r="AF87" s="433"/>
      <c r="AG87" s="337"/>
    </row>
    <row r="88" spans="1:33" ht="16.8" hidden="1" x14ac:dyDescent="0.25">
      <c r="A88" s="177"/>
      <c r="B88" s="376">
        <v>32</v>
      </c>
      <c r="C88" s="96" t="str">
        <f t="shared" si="35"/>
        <v/>
      </c>
      <c r="D88" s="96" t="str">
        <f t="shared" si="36"/>
        <v/>
      </c>
      <c r="E88" s="96" t="str">
        <f t="shared" si="9"/>
        <v/>
      </c>
      <c r="F88" s="96" t="str">
        <f t="shared" si="10"/>
        <v/>
      </c>
      <c r="G88" s="97" t="str">
        <f t="shared" si="11"/>
        <v/>
      </c>
      <c r="H88" s="97" t="str">
        <f t="shared" si="12"/>
        <v/>
      </c>
      <c r="I88" s="97" t="str">
        <f t="shared" si="13"/>
        <v/>
      </c>
      <c r="J88" s="157" t="str">
        <f t="shared" si="14"/>
        <v/>
      </c>
      <c r="K88" s="96" t="str">
        <f t="shared" si="15"/>
        <v/>
      </c>
      <c r="L88" s="96" t="str">
        <f t="shared" si="16"/>
        <v/>
      </c>
      <c r="M88" s="97" t="str">
        <f t="shared" si="17"/>
        <v/>
      </c>
      <c r="N88" s="149" t="str">
        <f t="shared" si="18"/>
        <v/>
      </c>
      <c r="O88" s="149" t="str">
        <f t="shared" si="19"/>
        <v/>
      </c>
      <c r="P88" s="150" t="str">
        <f t="shared" si="20"/>
        <v/>
      </c>
      <c r="Q88" s="151" t="str">
        <f t="shared" si="21"/>
        <v/>
      </c>
      <c r="R88" s="149" t="str">
        <f t="shared" si="22"/>
        <v/>
      </c>
      <c r="S88" s="149" t="str">
        <f t="shared" si="23"/>
        <v/>
      </c>
      <c r="T88" s="150" t="str">
        <f t="shared" si="24"/>
        <v/>
      </c>
      <c r="U88" s="150" t="str">
        <f t="shared" si="25"/>
        <v/>
      </c>
      <c r="V88" s="152" t="str">
        <f t="shared" si="26"/>
        <v/>
      </c>
      <c r="W88" s="152" t="str">
        <f t="shared" si="27"/>
        <v/>
      </c>
      <c r="X88" s="150" t="str">
        <f t="shared" si="28"/>
        <v/>
      </c>
      <c r="Y88" s="150" t="str">
        <f t="shared" si="29"/>
        <v/>
      </c>
      <c r="Z88" s="153" t="str">
        <f t="shared" si="30"/>
        <v/>
      </c>
      <c r="AA88" s="154" t="str">
        <f t="shared" si="31"/>
        <v/>
      </c>
      <c r="AB88" s="153" t="str">
        <f t="shared" si="32"/>
        <v/>
      </c>
      <c r="AC88" s="153" t="str">
        <f t="shared" si="33"/>
        <v/>
      </c>
      <c r="AD88" s="158" t="str">
        <f t="shared" si="37"/>
        <v/>
      </c>
      <c r="AE88" s="158" t="str">
        <f t="shared" si="34"/>
        <v/>
      </c>
      <c r="AF88" s="433"/>
      <c r="AG88" s="337"/>
    </row>
    <row r="89" spans="1:33" ht="16.8" hidden="1" x14ac:dyDescent="0.25">
      <c r="A89" s="177"/>
      <c r="B89" s="376">
        <v>33</v>
      </c>
      <c r="C89" s="96" t="str">
        <f t="shared" si="35"/>
        <v/>
      </c>
      <c r="D89" s="96" t="str">
        <f t="shared" si="36"/>
        <v/>
      </c>
      <c r="E89" s="96" t="str">
        <f t="shared" si="9"/>
        <v/>
      </c>
      <c r="F89" s="96" t="str">
        <f t="shared" si="10"/>
        <v/>
      </c>
      <c r="G89" s="97" t="str">
        <f t="shared" si="11"/>
        <v/>
      </c>
      <c r="H89" s="97" t="str">
        <f t="shared" si="12"/>
        <v/>
      </c>
      <c r="I89" s="97" t="str">
        <f t="shared" si="13"/>
        <v/>
      </c>
      <c r="J89" s="157" t="str">
        <f t="shared" si="14"/>
        <v/>
      </c>
      <c r="K89" s="96" t="str">
        <f t="shared" si="15"/>
        <v/>
      </c>
      <c r="L89" s="96" t="str">
        <f t="shared" si="16"/>
        <v/>
      </c>
      <c r="M89" s="97" t="str">
        <f t="shared" si="17"/>
        <v/>
      </c>
      <c r="N89" s="149" t="str">
        <f t="shared" si="18"/>
        <v/>
      </c>
      <c r="O89" s="149" t="str">
        <f t="shared" si="19"/>
        <v/>
      </c>
      <c r="P89" s="150" t="str">
        <f t="shared" si="20"/>
        <v/>
      </c>
      <c r="Q89" s="151" t="str">
        <f t="shared" si="21"/>
        <v/>
      </c>
      <c r="R89" s="149" t="str">
        <f t="shared" si="22"/>
        <v/>
      </c>
      <c r="S89" s="149" t="str">
        <f t="shared" si="23"/>
        <v/>
      </c>
      <c r="T89" s="150" t="str">
        <f t="shared" si="24"/>
        <v/>
      </c>
      <c r="U89" s="150" t="str">
        <f t="shared" si="25"/>
        <v/>
      </c>
      <c r="V89" s="152" t="str">
        <f t="shared" si="26"/>
        <v/>
      </c>
      <c r="W89" s="152" t="str">
        <f t="shared" si="27"/>
        <v/>
      </c>
      <c r="X89" s="150" t="str">
        <f t="shared" si="28"/>
        <v/>
      </c>
      <c r="Y89" s="150" t="str">
        <f t="shared" si="29"/>
        <v/>
      </c>
      <c r="Z89" s="153" t="str">
        <f t="shared" si="30"/>
        <v/>
      </c>
      <c r="AA89" s="154" t="str">
        <f t="shared" si="31"/>
        <v/>
      </c>
      <c r="AB89" s="153" t="str">
        <f t="shared" si="32"/>
        <v/>
      </c>
      <c r="AC89" s="153" t="str">
        <f t="shared" si="33"/>
        <v/>
      </c>
      <c r="AD89" s="158" t="str">
        <f t="shared" si="37"/>
        <v/>
      </c>
      <c r="AE89" s="158" t="str">
        <f t="shared" si="34"/>
        <v/>
      </c>
      <c r="AF89" s="433"/>
      <c r="AG89" s="337"/>
    </row>
    <row r="90" spans="1:33" ht="16.8" hidden="1" x14ac:dyDescent="0.25">
      <c r="A90" s="177"/>
      <c r="B90" s="376">
        <v>34</v>
      </c>
      <c r="C90" s="96" t="str">
        <f t="shared" si="35"/>
        <v/>
      </c>
      <c r="D90" s="96" t="str">
        <f t="shared" si="36"/>
        <v/>
      </c>
      <c r="E90" s="96" t="str">
        <f t="shared" si="9"/>
        <v/>
      </c>
      <c r="F90" s="96" t="str">
        <f t="shared" si="10"/>
        <v/>
      </c>
      <c r="G90" s="97" t="str">
        <f t="shared" si="11"/>
        <v/>
      </c>
      <c r="H90" s="97" t="str">
        <f t="shared" si="12"/>
        <v/>
      </c>
      <c r="I90" s="97" t="str">
        <f t="shared" si="13"/>
        <v/>
      </c>
      <c r="J90" s="157" t="str">
        <f t="shared" si="14"/>
        <v/>
      </c>
      <c r="K90" s="96" t="str">
        <f t="shared" si="15"/>
        <v/>
      </c>
      <c r="L90" s="96" t="str">
        <f t="shared" si="16"/>
        <v/>
      </c>
      <c r="M90" s="97" t="str">
        <f t="shared" si="17"/>
        <v/>
      </c>
      <c r="N90" s="149" t="str">
        <f t="shared" si="18"/>
        <v/>
      </c>
      <c r="O90" s="149" t="str">
        <f t="shared" si="19"/>
        <v/>
      </c>
      <c r="P90" s="150" t="str">
        <f t="shared" si="20"/>
        <v/>
      </c>
      <c r="Q90" s="151" t="str">
        <f t="shared" si="21"/>
        <v/>
      </c>
      <c r="R90" s="149" t="str">
        <f t="shared" si="22"/>
        <v/>
      </c>
      <c r="S90" s="149" t="str">
        <f t="shared" si="23"/>
        <v/>
      </c>
      <c r="T90" s="150" t="str">
        <f t="shared" si="24"/>
        <v/>
      </c>
      <c r="U90" s="150" t="str">
        <f t="shared" si="25"/>
        <v/>
      </c>
      <c r="V90" s="152" t="str">
        <f t="shared" si="26"/>
        <v/>
      </c>
      <c r="W90" s="152" t="str">
        <f t="shared" si="27"/>
        <v/>
      </c>
      <c r="X90" s="150" t="str">
        <f t="shared" si="28"/>
        <v/>
      </c>
      <c r="Y90" s="150" t="str">
        <f t="shared" si="29"/>
        <v/>
      </c>
      <c r="Z90" s="153" t="str">
        <f t="shared" si="30"/>
        <v/>
      </c>
      <c r="AA90" s="154" t="str">
        <f t="shared" si="31"/>
        <v/>
      </c>
      <c r="AB90" s="153" t="str">
        <f t="shared" si="32"/>
        <v/>
      </c>
      <c r="AC90" s="153" t="str">
        <f t="shared" si="33"/>
        <v/>
      </c>
      <c r="AD90" s="158" t="str">
        <f t="shared" si="37"/>
        <v/>
      </c>
      <c r="AE90" s="158" t="str">
        <f t="shared" si="34"/>
        <v/>
      </c>
      <c r="AF90" s="433"/>
      <c r="AG90" s="337"/>
    </row>
    <row r="91" spans="1:33" ht="16.8" hidden="1" x14ac:dyDescent="0.25">
      <c r="A91" s="177"/>
      <c r="B91" s="376">
        <v>35</v>
      </c>
      <c r="C91" s="96" t="str">
        <f t="shared" si="35"/>
        <v/>
      </c>
      <c r="D91" s="96" t="str">
        <f t="shared" si="36"/>
        <v/>
      </c>
      <c r="E91" s="96" t="str">
        <f t="shared" si="9"/>
        <v/>
      </c>
      <c r="F91" s="96" t="str">
        <f t="shared" si="10"/>
        <v/>
      </c>
      <c r="G91" s="97" t="str">
        <f t="shared" si="11"/>
        <v/>
      </c>
      <c r="H91" s="97" t="str">
        <f t="shared" si="12"/>
        <v/>
      </c>
      <c r="I91" s="97" t="str">
        <f t="shared" si="13"/>
        <v/>
      </c>
      <c r="J91" s="157" t="str">
        <f t="shared" si="14"/>
        <v/>
      </c>
      <c r="K91" s="96" t="str">
        <f t="shared" si="15"/>
        <v/>
      </c>
      <c r="L91" s="96" t="str">
        <f t="shared" si="16"/>
        <v/>
      </c>
      <c r="M91" s="97" t="str">
        <f t="shared" si="17"/>
        <v/>
      </c>
      <c r="N91" s="149" t="str">
        <f t="shared" si="18"/>
        <v/>
      </c>
      <c r="O91" s="149" t="str">
        <f t="shared" si="19"/>
        <v/>
      </c>
      <c r="P91" s="150" t="str">
        <f t="shared" si="20"/>
        <v/>
      </c>
      <c r="Q91" s="151" t="str">
        <f t="shared" si="21"/>
        <v/>
      </c>
      <c r="R91" s="149" t="str">
        <f t="shared" si="22"/>
        <v/>
      </c>
      <c r="S91" s="149" t="str">
        <f t="shared" si="23"/>
        <v/>
      </c>
      <c r="T91" s="150" t="str">
        <f t="shared" si="24"/>
        <v/>
      </c>
      <c r="U91" s="150" t="str">
        <f t="shared" si="25"/>
        <v/>
      </c>
      <c r="V91" s="152" t="str">
        <f t="shared" si="26"/>
        <v/>
      </c>
      <c r="W91" s="152" t="str">
        <f t="shared" si="27"/>
        <v/>
      </c>
      <c r="X91" s="150" t="str">
        <f t="shared" si="28"/>
        <v/>
      </c>
      <c r="Y91" s="150" t="str">
        <f t="shared" si="29"/>
        <v/>
      </c>
      <c r="Z91" s="153" t="str">
        <f t="shared" si="30"/>
        <v/>
      </c>
      <c r="AA91" s="154" t="str">
        <f t="shared" si="31"/>
        <v/>
      </c>
      <c r="AB91" s="153" t="str">
        <f t="shared" si="32"/>
        <v/>
      </c>
      <c r="AC91" s="153" t="str">
        <f t="shared" si="33"/>
        <v/>
      </c>
      <c r="AD91" s="158" t="str">
        <f t="shared" si="37"/>
        <v/>
      </c>
      <c r="AE91" s="158" t="str">
        <f t="shared" si="34"/>
        <v/>
      </c>
      <c r="AF91" s="433"/>
      <c r="AG91" s="337"/>
    </row>
    <row r="92" spans="1:33" ht="16.8" hidden="1" x14ac:dyDescent="0.25">
      <c r="A92" s="177"/>
      <c r="B92" s="376">
        <v>36</v>
      </c>
      <c r="C92" s="96" t="str">
        <f t="shared" si="35"/>
        <v/>
      </c>
      <c r="D92" s="96" t="str">
        <f t="shared" si="36"/>
        <v/>
      </c>
      <c r="E92" s="96" t="str">
        <f t="shared" si="9"/>
        <v/>
      </c>
      <c r="F92" s="96" t="str">
        <f t="shared" si="10"/>
        <v/>
      </c>
      <c r="G92" s="97" t="str">
        <f t="shared" si="11"/>
        <v/>
      </c>
      <c r="H92" s="97" t="str">
        <f t="shared" si="12"/>
        <v/>
      </c>
      <c r="I92" s="97" t="str">
        <f t="shared" si="13"/>
        <v/>
      </c>
      <c r="J92" s="157" t="str">
        <f t="shared" si="14"/>
        <v/>
      </c>
      <c r="K92" s="96" t="str">
        <f t="shared" si="15"/>
        <v/>
      </c>
      <c r="L92" s="96" t="str">
        <f t="shared" si="16"/>
        <v/>
      </c>
      <c r="M92" s="97" t="str">
        <f t="shared" si="17"/>
        <v/>
      </c>
      <c r="N92" s="149" t="str">
        <f t="shared" si="18"/>
        <v/>
      </c>
      <c r="O92" s="149" t="str">
        <f t="shared" si="19"/>
        <v/>
      </c>
      <c r="P92" s="150" t="str">
        <f t="shared" si="20"/>
        <v/>
      </c>
      <c r="Q92" s="151" t="str">
        <f t="shared" si="21"/>
        <v/>
      </c>
      <c r="R92" s="149" t="str">
        <f t="shared" si="22"/>
        <v/>
      </c>
      <c r="S92" s="149" t="str">
        <f t="shared" si="23"/>
        <v/>
      </c>
      <c r="T92" s="150" t="str">
        <f t="shared" si="24"/>
        <v/>
      </c>
      <c r="U92" s="150" t="str">
        <f t="shared" si="25"/>
        <v/>
      </c>
      <c r="V92" s="152" t="str">
        <f t="shared" si="26"/>
        <v/>
      </c>
      <c r="W92" s="152" t="str">
        <f t="shared" si="27"/>
        <v/>
      </c>
      <c r="X92" s="150" t="str">
        <f t="shared" si="28"/>
        <v/>
      </c>
      <c r="Y92" s="150" t="str">
        <f t="shared" si="29"/>
        <v/>
      </c>
      <c r="Z92" s="153" t="str">
        <f t="shared" si="30"/>
        <v/>
      </c>
      <c r="AA92" s="154" t="str">
        <f t="shared" si="31"/>
        <v/>
      </c>
      <c r="AB92" s="153" t="str">
        <f t="shared" si="32"/>
        <v/>
      </c>
      <c r="AC92" s="153" t="str">
        <f t="shared" si="33"/>
        <v/>
      </c>
      <c r="AD92" s="158" t="str">
        <f t="shared" si="37"/>
        <v/>
      </c>
      <c r="AE92" s="158" t="str">
        <f t="shared" si="34"/>
        <v/>
      </c>
      <c r="AF92" s="433"/>
      <c r="AG92" s="337"/>
    </row>
    <row r="93" spans="1:33" ht="16.8" hidden="1" x14ac:dyDescent="0.25">
      <c r="A93" s="177"/>
      <c r="B93" s="376">
        <v>37</v>
      </c>
      <c r="C93" s="96" t="str">
        <f t="shared" si="35"/>
        <v/>
      </c>
      <c r="D93" s="96" t="str">
        <f t="shared" si="36"/>
        <v/>
      </c>
      <c r="E93" s="96" t="str">
        <f t="shared" si="9"/>
        <v/>
      </c>
      <c r="F93" s="96" t="str">
        <f t="shared" si="10"/>
        <v/>
      </c>
      <c r="G93" s="97" t="str">
        <f t="shared" si="11"/>
        <v/>
      </c>
      <c r="H93" s="97" t="str">
        <f t="shared" si="12"/>
        <v/>
      </c>
      <c r="I93" s="97" t="str">
        <f t="shared" si="13"/>
        <v/>
      </c>
      <c r="J93" s="157" t="str">
        <f t="shared" si="14"/>
        <v/>
      </c>
      <c r="K93" s="96" t="str">
        <f t="shared" si="15"/>
        <v/>
      </c>
      <c r="L93" s="96" t="str">
        <f t="shared" si="16"/>
        <v/>
      </c>
      <c r="M93" s="97" t="str">
        <f t="shared" si="17"/>
        <v/>
      </c>
      <c r="N93" s="149" t="str">
        <f t="shared" si="18"/>
        <v/>
      </c>
      <c r="O93" s="149" t="str">
        <f t="shared" si="19"/>
        <v/>
      </c>
      <c r="P93" s="150" t="str">
        <f t="shared" si="20"/>
        <v/>
      </c>
      <c r="Q93" s="151" t="str">
        <f t="shared" si="21"/>
        <v/>
      </c>
      <c r="R93" s="149" t="str">
        <f t="shared" si="22"/>
        <v/>
      </c>
      <c r="S93" s="149" t="str">
        <f t="shared" si="23"/>
        <v/>
      </c>
      <c r="T93" s="150" t="str">
        <f t="shared" si="24"/>
        <v/>
      </c>
      <c r="U93" s="150" t="str">
        <f t="shared" si="25"/>
        <v/>
      </c>
      <c r="V93" s="152" t="str">
        <f t="shared" si="26"/>
        <v/>
      </c>
      <c r="W93" s="152" t="str">
        <f t="shared" si="27"/>
        <v/>
      </c>
      <c r="X93" s="150" t="str">
        <f t="shared" si="28"/>
        <v/>
      </c>
      <c r="Y93" s="150" t="str">
        <f t="shared" si="29"/>
        <v/>
      </c>
      <c r="Z93" s="153" t="str">
        <f t="shared" si="30"/>
        <v/>
      </c>
      <c r="AA93" s="154" t="str">
        <f t="shared" si="31"/>
        <v/>
      </c>
      <c r="AB93" s="153" t="str">
        <f t="shared" si="32"/>
        <v/>
      </c>
      <c r="AC93" s="153" t="str">
        <f t="shared" si="33"/>
        <v/>
      </c>
      <c r="AD93" s="158" t="str">
        <f t="shared" si="37"/>
        <v/>
      </c>
      <c r="AE93" s="158" t="str">
        <f t="shared" si="34"/>
        <v/>
      </c>
      <c r="AF93" s="433"/>
      <c r="AG93" s="337"/>
    </row>
    <row r="94" spans="1:33" ht="16.8" hidden="1" x14ac:dyDescent="0.25">
      <c r="A94" s="177"/>
      <c r="B94" s="376">
        <v>38</v>
      </c>
      <c r="C94" s="96" t="str">
        <f t="shared" si="35"/>
        <v/>
      </c>
      <c r="D94" s="96" t="str">
        <f t="shared" si="36"/>
        <v/>
      </c>
      <c r="E94" s="96" t="str">
        <f t="shared" si="9"/>
        <v/>
      </c>
      <c r="F94" s="96" t="str">
        <f t="shared" si="10"/>
        <v/>
      </c>
      <c r="G94" s="97" t="str">
        <f t="shared" si="11"/>
        <v/>
      </c>
      <c r="H94" s="97" t="str">
        <f t="shared" si="12"/>
        <v/>
      </c>
      <c r="I94" s="97" t="str">
        <f t="shared" si="13"/>
        <v/>
      </c>
      <c r="J94" s="157" t="str">
        <f t="shared" si="14"/>
        <v/>
      </c>
      <c r="K94" s="96" t="str">
        <f t="shared" si="15"/>
        <v/>
      </c>
      <c r="L94" s="96" t="str">
        <f t="shared" si="16"/>
        <v/>
      </c>
      <c r="M94" s="97" t="str">
        <f t="shared" si="17"/>
        <v/>
      </c>
      <c r="N94" s="149" t="str">
        <f t="shared" si="18"/>
        <v/>
      </c>
      <c r="O94" s="149" t="str">
        <f t="shared" si="19"/>
        <v/>
      </c>
      <c r="P94" s="150" t="str">
        <f t="shared" si="20"/>
        <v/>
      </c>
      <c r="Q94" s="151" t="str">
        <f t="shared" si="21"/>
        <v/>
      </c>
      <c r="R94" s="149" t="str">
        <f t="shared" si="22"/>
        <v/>
      </c>
      <c r="S94" s="149" t="str">
        <f t="shared" si="23"/>
        <v/>
      </c>
      <c r="T94" s="150" t="str">
        <f t="shared" si="24"/>
        <v/>
      </c>
      <c r="U94" s="150" t="str">
        <f t="shared" si="25"/>
        <v/>
      </c>
      <c r="V94" s="152" t="str">
        <f t="shared" si="26"/>
        <v/>
      </c>
      <c r="W94" s="152" t="str">
        <f t="shared" si="27"/>
        <v/>
      </c>
      <c r="X94" s="150" t="str">
        <f t="shared" si="28"/>
        <v/>
      </c>
      <c r="Y94" s="150" t="str">
        <f t="shared" si="29"/>
        <v/>
      </c>
      <c r="Z94" s="153" t="str">
        <f t="shared" si="30"/>
        <v/>
      </c>
      <c r="AA94" s="154" t="str">
        <f t="shared" si="31"/>
        <v/>
      </c>
      <c r="AB94" s="153" t="str">
        <f t="shared" si="32"/>
        <v/>
      </c>
      <c r="AC94" s="153" t="str">
        <f t="shared" si="33"/>
        <v/>
      </c>
      <c r="AD94" s="158" t="str">
        <f t="shared" si="37"/>
        <v/>
      </c>
      <c r="AE94" s="158" t="str">
        <f t="shared" si="34"/>
        <v/>
      </c>
      <c r="AF94" s="433"/>
      <c r="AG94" s="337"/>
    </row>
    <row r="95" spans="1:33" ht="16.8" hidden="1" x14ac:dyDescent="0.25">
      <c r="A95" s="177"/>
      <c r="B95" s="376">
        <v>39</v>
      </c>
      <c r="C95" s="96" t="str">
        <f t="shared" si="35"/>
        <v/>
      </c>
      <c r="D95" s="96" t="str">
        <f t="shared" si="36"/>
        <v/>
      </c>
      <c r="E95" s="96" t="str">
        <f t="shared" si="9"/>
        <v/>
      </c>
      <c r="F95" s="96" t="str">
        <f t="shared" si="10"/>
        <v/>
      </c>
      <c r="G95" s="97" t="str">
        <f t="shared" si="11"/>
        <v/>
      </c>
      <c r="H95" s="97" t="str">
        <f t="shared" si="12"/>
        <v/>
      </c>
      <c r="I95" s="97" t="str">
        <f t="shared" si="13"/>
        <v/>
      </c>
      <c r="J95" s="157" t="str">
        <f t="shared" si="14"/>
        <v/>
      </c>
      <c r="K95" s="96" t="str">
        <f t="shared" si="15"/>
        <v/>
      </c>
      <c r="L95" s="96" t="str">
        <f t="shared" si="16"/>
        <v/>
      </c>
      <c r="M95" s="97" t="str">
        <f t="shared" si="17"/>
        <v/>
      </c>
      <c r="N95" s="149" t="str">
        <f t="shared" si="18"/>
        <v/>
      </c>
      <c r="O95" s="149" t="str">
        <f t="shared" si="19"/>
        <v/>
      </c>
      <c r="P95" s="150" t="str">
        <f t="shared" si="20"/>
        <v/>
      </c>
      <c r="Q95" s="151" t="str">
        <f t="shared" si="21"/>
        <v/>
      </c>
      <c r="R95" s="149" t="str">
        <f t="shared" si="22"/>
        <v/>
      </c>
      <c r="S95" s="149" t="str">
        <f t="shared" si="23"/>
        <v/>
      </c>
      <c r="T95" s="150" t="str">
        <f t="shared" si="24"/>
        <v/>
      </c>
      <c r="U95" s="150" t="str">
        <f t="shared" si="25"/>
        <v/>
      </c>
      <c r="V95" s="152" t="str">
        <f t="shared" si="26"/>
        <v/>
      </c>
      <c r="W95" s="152" t="str">
        <f t="shared" si="27"/>
        <v/>
      </c>
      <c r="X95" s="150" t="str">
        <f t="shared" si="28"/>
        <v/>
      </c>
      <c r="Y95" s="150" t="str">
        <f t="shared" si="29"/>
        <v/>
      </c>
      <c r="Z95" s="153" t="str">
        <f t="shared" si="30"/>
        <v/>
      </c>
      <c r="AA95" s="154" t="str">
        <f t="shared" si="31"/>
        <v/>
      </c>
      <c r="AB95" s="153" t="str">
        <f t="shared" si="32"/>
        <v/>
      </c>
      <c r="AC95" s="153" t="str">
        <f t="shared" si="33"/>
        <v/>
      </c>
      <c r="AD95" s="158" t="str">
        <f t="shared" si="37"/>
        <v/>
      </c>
      <c r="AE95" s="158" t="str">
        <f t="shared" si="34"/>
        <v/>
      </c>
      <c r="AF95" s="433"/>
      <c r="AG95" s="337"/>
    </row>
    <row r="96" spans="1:33" ht="16.8" hidden="1" x14ac:dyDescent="0.25">
      <c r="A96" s="177"/>
      <c r="B96" s="376">
        <v>40</v>
      </c>
      <c r="C96" s="96" t="str">
        <f t="shared" si="35"/>
        <v/>
      </c>
      <c r="D96" s="96"/>
      <c r="E96" s="96"/>
      <c r="F96" s="96"/>
      <c r="G96" s="97"/>
      <c r="H96" s="97"/>
      <c r="I96" s="97"/>
      <c r="J96" s="157"/>
      <c r="K96" s="96"/>
      <c r="L96" s="96"/>
      <c r="M96" s="97"/>
      <c r="N96" s="149" t="str">
        <f t="shared" si="18"/>
        <v/>
      </c>
      <c r="O96" s="149" t="str">
        <f t="shared" si="19"/>
        <v/>
      </c>
      <c r="P96" s="150" t="str">
        <f t="shared" si="20"/>
        <v/>
      </c>
      <c r="Q96" s="151" t="str">
        <f t="shared" si="21"/>
        <v/>
      </c>
      <c r="R96" s="149" t="str">
        <f t="shared" si="22"/>
        <v/>
      </c>
      <c r="S96" s="149" t="str">
        <f t="shared" si="23"/>
        <v/>
      </c>
      <c r="T96" s="150" t="str">
        <f t="shared" si="24"/>
        <v/>
      </c>
      <c r="U96" s="150" t="str">
        <f t="shared" si="25"/>
        <v/>
      </c>
      <c r="V96" s="152" t="str">
        <f t="shared" si="26"/>
        <v/>
      </c>
      <c r="W96" s="152" t="str">
        <f t="shared" si="27"/>
        <v/>
      </c>
      <c r="X96" s="150" t="str">
        <f t="shared" si="28"/>
        <v/>
      </c>
      <c r="Y96" s="150" t="str">
        <f t="shared" si="29"/>
        <v/>
      </c>
      <c r="Z96" s="153" t="str">
        <f t="shared" si="30"/>
        <v/>
      </c>
      <c r="AA96" s="154" t="str">
        <f t="shared" si="31"/>
        <v/>
      </c>
      <c r="AB96" s="153" t="str">
        <f t="shared" si="32"/>
        <v/>
      </c>
      <c r="AC96" s="153" t="str">
        <f t="shared" si="33"/>
        <v/>
      </c>
      <c r="AD96" s="158" t="str">
        <f t="shared" si="37"/>
        <v/>
      </c>
      <c r="AE96" s="158" t="str">
        <f t="shared" si="34"/>
        <v/>
      </c>
      <c r="AF96" s="433"/>
      <c r="AG96" s="337"/>
    </row>
    <row r="97" spans="1:37" s="174" customFormat="1" ht="25.2" hidden="1" thickBot="1" x14ac:dyDescent="0.3">
      <c r="A97" s="177"/>
      <c r="B97" s="1164" t="s">
        <v>221</v>
      </c>
      <c r="C97" s="1165"/>
      <c r="D97" s="1165"/>
      <c r="E97" s="1165"/>
      <c r="F97" s="1165"/>
      <c r="G97" s="1165"/>
      <c r="H97" s="1166"/>
      <c r="I97" s="1167" t="str">
        <f>"RANK WISE RESULT  "&amp;DASHBOARD!B4</f>
        <v>RANK WISE RESULT  SESSION  -  2025-26</v>
      </c>
      <c r="J97" s="1168"/>
      <c r="K97" s="1168"/>
      <c r="L97" s="1168"/>
      <c r="M97" s="1168"/>
      <c r="N97" s="1168"/>
      <c r="O97" s="1168"/>
      <c r="P97" s="1168"/>
      <c r="Q97" s="1168"/>
      <c r="R97" s="1168"/>
      <c r="S97" s="1168"/>
      <c r="T97" s="1168"/>
      <c r="U97" s="1168"/>
      <c r="V97" s="1168"/>
      <c r="W97" s="1168"/>
      <c r="X97" s="1168"/>
      <c r="Y97" s="1168"/>
      <c r="Z97" s="1168"/>
      <c r="AA97" s="1168"/>
      <c r="AB97" s="1168"/>
      <c r="AC97" s="1168"/>
      <c r="AD97" s="1168"/>
      <c r="AE97" s="1168"/>
      <c r="AF97" s="1169"/>
      <c r="AG97" s="337" t="str">
        <f>IF(AE97="","",SMALL($AE$57:$AE$97,B97))</f>
        <v/>
      </c>
      <c r="AH97" s="425"/>
      <c r="AI97" s="423"/>
      <c r="AJ97" s="172"/>
      <c r="AK97" s="173"/>
    </row>
    <row r="98" spans="1:37" s="174" customFormat="1" ht="66" x14ac:dyDescent="0.25">
      <c r="A98" s="177"/>
      <c r="B98" s="374" t="str">
        <f>B6</f>
        <v>S.NO.</v>
      </c>
      <c r="C98" s="168" t="str">
        <f t="shared" ref="C98:M98" si="38">C6</f>
        <v>RANK</v>
      </c>
      <c r="D98" s="168" t="str">
        <f t="shared" si="38"/>
        <v>RANK</v>
      </c>
      <c r="E98" s="168" t="str">
        <f t="shared" si="38"/>
        <v>ROLL NO.</v>
      </c>
      <c r="F98" s="168" t="str">
        <f t="shared" si="38"/>
        <v>S.R.NO.</v>
      </c>
      <c r="G98" s="169" t="str">
        <f t="shared" si="38"/>
        <v xml:space="preserve">NAME </v>
      </c>
      <c r="H98" s="169" t="str">
        <f t="shared" si="38"/>
        <v>F'NAME</v>
      </c>
      <c r="I98" s="169" t="str">
        <f t="shared" si="38"/>
        <v>M'NAME</v>
      </c>
      <c r="J98" s="170" t="str">
        <f t="shared" si="38"/>
        <v>DOB</v>
      </c>
      <c r="K98" s="462" t="str">
        <f t="shared" si="38"/>
        <v>BOY/GIRL</v>
      </c>
      <c r="L98" s="462" t="str">
        <f t="shared" si="38"/>
        <v>CATEGORY</v>
      </c>
      <c r="M98" s="169" t="str">
        <f t="shared" si="38"/>
        <v>ADDRESS</v>
      </c>
      <c r="N98" s="149">
        <f>IF(N6="","",N6)</f>
        <v>100</v>
      </c>
      <c r="O98" s="149" t="str">
        <f t="shared" ref="O98:Y98" si="39">IF(O6="","",O6)</f>
        <v>A1</v>
      </c>
      <c r="P98" s="150">
        <f t="shared" si="39"/>
        <v>100</v>
      </c>
      <c r="Q98" s="151" t="str">
        <f t="shared" si="39"/>
        <v>A1</v>
      </c>
      <c r="R98" s="149">
        <f t="shared" si="39"/>
        <v>100</v>
      </c>
      <c r="S98" s="149" t="str">
        <f t="shared" si="39"/>
        <v>A1</v>
      </c>
      <c r="T98" s="150">
        <f t="shared" si="39"/>
        <v>100</v>
      </c>
      <c r="U98" s="150" t="str">
        <f t="shared" si="39"/>
        <v>A1</v>
      </c>
      <c r="V98" s="152">
        <f t="shared" si="39"/>
        <v>100</v>
      </c>
      <c r="W98" s="152" t="str">
        <f t="shared" si="39"/>
        <v>A1</v>
      </c>
      <c r="X98" s="150">
        <f t="shared" si="39"/>
        <v>100</v>
      </c>
      <c r="Y98" s="150" t="str">
        <f t="shared" si="39"/>
        <v>A1</v>
      </c>
      <c r="Z98" s="161" t="str">
        <f>Z56</f>
        <v xml:space="preserve">GRAND TOTAL MARKS </v>
      </c>
      <c r="AA98" s="161" t="str">
        <f t="shared" ref="AA98:AF98" si="40">AA56</f>
        <v>PERCENT</v>
      </c>
      <c r="AB98" s="161" t="str">
        <f t="shared" si="40"/>
        <v xml:space="preserve">OVERALL GRADE </v>
      </c>
      <c r="AC98" s="161" t="str">
        <f t="shared" si="40"/>
        <v xml:space="preserve">POSITION IN CLASS </v>
      </c>
      <c r="AD98" s="161" t="str">
        <f t="shared" si="40"/>
        <v>RANK</v>
      </c>
      <c r="AE98" s="167" t="str">
        <f t="shared" si="40"/>
        <v>H1</v>
      </c>
      <c r="AF98" s="435">
        <f t="shared" si="40"/>
        <v>0</v>
      </c>
      <c r="AG98" s="426" t="s">
        <v>214</v>
      </c>
      <c r="AH98" s="425"/>
      <c r="AI98" s="424"/>
      <c r="AJ98" s="175"/>
      <c r="AK98" s="173"/>
    </row>
    <row r="99" spans="1:37" s="174" customFormat="1" ht="16.8" x14ac:dyDescent="0.25">
      <c r="A99" s="177"/>
      <c r="B99" s="374">
        <v>1</v>
      </c>
      <c r="C99" s="96">
        <f>IF(AE57="","",ROUND(AE57,0))</f>
        <v>1</v>
      </c>
      <c r="D99" s="96">
        <f>IF(C99="","",VLOOKUP(C99,$D$57:$AC$96,1,FALSE))</f>
        <v>1</v>
      </c>
      <c r="E99" s="96">
        <f>IF(C99="","",VLOOKUP(C99,$D$57:$AC$96,2,FALSE))</f>
        <v>902</v>
      </c>
      <c r="F99" s="96">
        <f>IF(C99="","",VLOOKUP(C99,$D$57:$AC$96,3,FALSE))</f>
        <v>971</v>
      </c>
      <c r="G99" s="303" t="str">
        <f>IF(C99="","",VLOOKUP(C99,$D$57:$AC$96,4,FALSE))</f>
        <v>ARVIND SINGH BALLA</v>
      </c>
      <c r="H99" s="303" t="str">
        <f>IF(C99="","",VLOOKUP(C99,$D$57:$AC$96,5,FALSE))</f>
        <v>INDRA SINGH BALLA</v>
      </c>
      <c r="I99" s="97" t="str">
        <f>IF(C99="","",VLOOKUP(C99,$C$7:$AC$53,7,FALSE))</f>
        <v>MRS PREM DEVI</v>
      </c>
      <c r="J99" s="157">
        <f>IF(C99="","",VLOOKUP(C99,$C$7:$AC$53,8,FALSE))</f>
        <v>40203</v>
      </c>
      <c r="K99" s="96" t="str">
        <f>IF(C99="","",VLOOKUP(C99,$D$57:$AC$96,8,FALSE))</f>
        <v>BOY</v>
      </c>
      <c r="L99" s="96" t="str">
        <f>IF(C99="","",VLOOKUP(C99,$D$57:$AC$96,9,FALSE))</f>
        <v>GEN</v>
      </c>
      <c r="M99" s="97" t="str">
        <f>IF(C99="","",VLOOKUP(C99,$D$57:$AC$96,10,FALSE))</f>
        <v/>
      </c>
      <c r="N99" s="149">
        <f>IF(C99="","",VLOOKUP(C99,$D$57:$AC$96,11,FALSE))</f>
        <v>63</v>
      </c>
      <c r="O99" s="149" t="str">
        <f t="shared" ref="O99" si="41">IF(N99="","",IF(N99&lt;33,"E",IF(AND(N99&gt;=33,N99&lt;41),"D",IF(AND(N99&gt;=41,N99&lt;51),"C2",IF(AND(N99&gt;=51,N99&lt;61),"C1",IF(AND(N99&gt;=61,N99&lt;71),"B2",IF(AND(N99&gt;=71,N99&lt;81),"B1",IF(AND(N99&gt;=81,N99&lt;91),"A2",IF(AND(N99&gt;=91,N99&lt;=100),"A1")))))))))</f>
        <v>B2</v>
      </c>
      <c r="P99" s="150">
        <f>IF(C99="","",VLOOKUP(C99,$D$57:$AC$96,13,FALSE))</f>
        <v>70</v>
      </c>
      <c r="Q99" s="151" t="str">
        <f t="shared" ref="Q99" si="42">IF(P99="","",IF(P99&lt;33,"E",IF(AND(P99&gt;=33,P99&lt;41),"D",IF(AND(P99&gt;=41,P99&lt;51),"C2",IF(AND(P99&gt;=51,P99&lt;61),"C1",IF(AND(P99&gt;=61,P99&lt;71),"B2",IF(AND(P99&gt;=71,P99&lt;81),"B1",IF(AND(P99&gt;=81,P99&lt;91),"A2",IF(AND(P99&gt;=91,P99&lt;=100),"A1")))))))))</f>
        <v>B2</v>
      </c>
      <c r="R99" s="149">
        <f>IF(C99="","",VLOOKUP(C99,$D$57:$AC$96,15,FALSE))</f>
        <v>64</v>
      </c>
      <c r="S99" s="149" t="str">
        <f t="shared" ref="S99" si="43">IF(R99="","",IF(R99&lt;33,"E",IF(AND(R99&gt;=33,R99&lt;41),"D",IF(AND(R99&gt;=41,R99&lt;51),"C2",IF(AND(R99&gt;=51,R99&lt;61),"C1",IF(AND(R99&gt;=61,R99&lt;71),"B2",IF(AND(R99&gt;=71,R99&lt;81),"B1",IF(AND(R99&gt;=81,R99&lt;91),"A2",IF(AND(R99&gt;=91,R99&lt;=100),"A1")))))))))</f>
        <v>B2</v>
      </c>
      <c r="T99" s="150">
        <f>IF(C99="","",VLOOKUP(C99,$D$57:$AC$96,17,FALSE))</f>
        <v>36</v>
      </c>
      <c r="U99" s="150" t="str">
        <f t="shared" ref="U99" si="44">IF(T99="","",IF(T99&lt;33,"E",IF(AND(T99&gt;=33,T99&lt;41),"D",IF(AND(T99&gt;=41,T99&lt;51),"C2",IF(AND(T99&gt;=51,T99&lt;61),"C1",IF(AND(T99&gt;=61,T99&lt;71),"B2",IF(AND(T99&gt;=71,T99&lt;81),"B1",IF(AND(T99&gt;=81,T99&lt;91),"A2",IF(AND(T99&gt;=91,T99&lt;=100),"A1")))))))))</f>
        <v>D</v>
      </c>
      <c r="V99" s="152">
        <f>IF(C99="","",VLOOKUP(C99,$D$57:$AC$96,19,FALSE))</f>
        <v>16</v>
      </c>
      <c r="W99" s="152" t="str">
        <f t="shared" ref="W99" si="45">IF(V99="","",IF(V99&lt;33,"E",IF(AND(V99&gt;=33,V99&lt;41),"D",IF(AND(V99&gt;=41,V99&lt;51),"C2",IF(AND(V99&gt;=51,V99&lt;61),"C1",IF(AND(V99&gt;=61,V99&lt;71),"B2",IF(AND(V99&gt;=71,V99&lt;81),"B1",IF(AND(V99&gt;=81,V99&lt;91),"A2",IF(AND(V99&gt;=91,V99&lt;=100),"A1")))))))))</f>
        <v>E</v>
      </c>
      <c r="X99" s="150">
        <f>IF(C99="","",VLOOKUP(C99,$D$57:$AC$96,21,FALSE))</f>
        <v>25</v>
      </c>
      <c r="Y99" s="150" t="str">
        <f t="shared" ref="Y99" si="46">IF(X99="","",IF(X99&lt;33,"E",IF(AND(X99&gt;=33,X99&lt;41),"D",IF(AND(X99&gt;=41,X99&lt;51),"C2",IF(AND(X99&gt;=51,X99&lt;61),"C1",IF(AND(X99&gt;=61,X99&lt;71),"B2",IF(AND(X99&gt;=71,X99&lt;81),"B1",IF(AND(X99&gt;=81,X99&lt;91),"A2",IF(AND(X99&gt;=91,X99&lt;=100),"A1")))))))))</f>
        <v>E</v>
      </c>
      <c r="Z99" s="153">
        <f>IF(C99="","",VLOOKUP(C99,$D$57:$AC$96,23,FALSE))</f>
        <v>299</v>
      </c>
      <c r="AA99" s="154" t="str">
        <f>IF(C99="","",VLOOKUP(C99,$D$57:$AC$96,24,FALSE)&amp;" %")</f>
        <v>59.8 %</v>
      </c>
      <c r="AB99" s="153" t="str">
        <f>IF(C99="","",VLOOKUP(C99,$D$57:$AC$96,25,FALSE))</f>
        <v>C1</v>
      </c>
      <c r="AC99" s="153" t="str">
        <f>IF(C99="","",VLOOKUP(C99,$D$57:$AC$96,26,FALSE))</f>
        <v/>
      </c>
      <c r="AD99" s="167">
        <f t="shared" ref="AD99:AD128" si="47">IF(C99="","",VLOOKUP(C99,$D$57:$AF$97,27,FALSE))</f>
        <v>1</v>
      </c>
      <c r="AE99" s="167">
        <f t="shared" ref="AE99:AE128" si="48">IF(C99="","",VLOOKUP(C99,$D$57:$AF$97,28,FALSE))</f>
        <v>2</v>
      </c>
      <c r="AF99" s="435">
        <f t="shared" ref="AF99:AF128" si="49">IF(C99="","",VLOOKUP(C99,$D$57:$AF$97,29,FALSE))</f>
        <v>0</v>
      </c>
      <c r="AG99" s="337"/>
      <c r="AH99" s="425"/>
      <c r="AI99" s="423"/>
      <c r="AJ99" s="172"/>
      <c r="AK99" s="173"/>
    </row>
    <row r="100" spans="1:37" s="174" customFormat="1" ht="16.8" x14ac:dyDescent="0.25">
      <c r="A100" s="177"/>
      <c r="B100" s="376">
        <v>2</v>
      </c>
      <c r="C100" s="96">
        <f t="shared" ref="C100:C103" si="50">IF(AE58="","",ROUND(AE58,0))</f>
        <v>2</v>
      </c>
      <c r="D100" s="96">
        <f t="shared" ref="D100:D128" si="51">IF(C100="","",VLOOKUP(C100,$D$57:$AC$96,1,FALSE))</f>
        <v>2</v>
      </c>
      <c r="E100" s="96">
        <f t="shared" ref="E100:E128" si="52">IF(C100="","",VLOOKUP(C100,$D$57:$AC$96,2,FALSE))</f>
        <v>901</v>
      </c>
      <c r="F100" s="96">
        <f t="shared" ref="F100:F128" si="53">IF(C100="","",VLOOKUP(C100,$D$57:$AC$96,3,FALSE))</f>
        <v>974</v>
      </c>
      <c r="G100" s="303" t="str">
        <f t="shared" ref="G100:G128" si="54">IF(C100="","",VLOOKUP(C100,$D$57:$AC$96,4,FALSE))</f>
        <v>ARTI PRAJAPAT</v>
      </c>
      <c r="H100" s="303" t="str">
        <f t="shared" ref="H100:H128" si="55">IF(C100="","",VLOOKUP(C100,$D$57:$AC$96,5,FALSE))</f>
        <v>MR PRABHU LAL</v>
      </c>
      <c r="I100" s="97" t="str">
        <f t="shared" ref="I100:I128" si="56">IF(C100="","",VLOOKUP(C100,$C$7:$AC$53,7,FALSE))</f>
        <v>MEENA KANWAR BALLA</v>
      </c>
      <c r="J100" s="157">
        <f t="shared" ref="J100:J128" si="57">IF(C100="","",VLOOKUP(C100,$C$7:$AC$53,8,FALSE))</f>
        <v>40292</v>
      </c>
      <c r="K100" s="96" t="str">
        <f t="shared" ref="K100:K128" si="58">IF(C100="","",VLOOKUP(C100,$D$57:$AC$96,8,FALSE))</f>
        <v>GIRL</v>
      </c>
      <c r="L100" s="96" t="str">
        <f t="shared" ref="L100:L128" si="59">IF(C100="","",VLOOKUP(C100,$D$57:$AC$96,9,FALSE))</f>
        <v>OBC</v>
      </c>
      <c r="M100" s="97" t="str">
        <f t="shared" ref="M100:M128" si="60">IF(C100="","",VLOOKUP(C100,$D$57:$AC$96,10,FALSE))</f>
        <v/>
      </c>
      <c r="N100" s="149">
        <f t="shared" ref="N100:N128" si="61">IF(C100="","",VLOOKUP(C100,$D$57:$AC$96,11,FALSE))</f>
        <v>68</v>
      </c>
      <c r="O100" s="149" t="str">
        <f t="shared" ref="O100:O128" si="62">IF(N100="","",IF(N100&lt;33,"E",IF(AND(N100&gt;=33,N100&lt;41),"D",IF(AND(N100&gt;=41,N100&lt;51),"C2",IF(AND(N100&gt;=51,N100&lt;61),"C1",IF(AND(N100&gt;=61,N100&lt;71),"B2",IF(AND(N100&gt;=71,N100&lt;81),"B1",IF(AND(N100&gt;=81,N100&lt;91),"A2",IF(AND(N100&gt;=91,N100&lt;=100),"A1")))))))))</f>
        <v>B2</v>
      </c>
      <c r="P100" s="150">
        <f t="shared" ref="P100:P128" si="63">IF(C100="","",VLOOKUP(C100,$D$57:$AC$96,13,FALSE))</f>
        <v>44</v>
      </c>
      <c r="Q100" s="151" t="str">
        <f t="shared" ref="Q100:Q128" si="64">IF(P100="","",IF(P100&lt;33,"E",IF(AND(P100&gt;=33,P100&lt;41),"D",IF(AND(P100&gt;=41,P100&lt;51),"C2",IF(AND(P100&gt;=51,P100&lt;61),"C1",IF(AND(P100&gt;=61,P100&lt;71),"B2",IF(AND(P100&gt;=71,P100&lt;81),"B1",IF(AND(P100&gt;=81,P100&lt;91),"A2",IF(AND(P100&gt;=91,P100&lt;=100),"A1")))))))))</f>
        <v>C2</v>
      </c>
      <c r="R100" s="149">
        <f t="shared" ref="R100:R128" si="65">IF(C100="","",VLOOKUP(C100,$D$57:$AC$96,15,FALSE))</f>
        <v>62</v>
      </c>
      <c r="S100" s="149" t="str">
        <f t="shared" ref="S100:S128" si="66">IF(R100="","",IF(R100&lt;33,"E",IF(AND(R100&gt;=33,R100&lt;41),"D",IF(AND(R100&gt;=41,R100&lt;51),"C2",IF(AND(R100&gt;=51,R100&lt;61),"C1",IF(AND(R100&gt;=61,R100&lt;71),"B2",IF(AND(R100&gt;=71,R100&lt;81),"B1",IF(AND(R100&gt;=81,R100&lt;91),"A2",IF(AND(R100&gt;=91,R100&lt;=100),"A1")))))))))</f>
        <v>B2</v>
      </c>
      <c r="T100" s="150">
        <f t="shared" ref="T100:T128" si="67">IF(C100="","",VLOOKUP(C100,$D$57:$AC$96,17,FALSE))</f>
        <v>22</v>
      </c>
      <c r="U100" s="150" t="str">
        <f t="shared" ref="U100:U128" si="68">IF(T100="","",IF(T100&lt;33,"E",IF(AND(T100&gt;=33,T100&lt;41),"D",IF(AND(T100&gt;=41,T100&lt;51),"C2",IF(AND(T100&gt;=51,T100&lt;61),"C1",IF(AND(T100&gt;=61,T100&lt;71),"B2",IF(AND(T100&gt;=71,T100&lt;81),"B1",IF(AND(T100&gt;=81,T100&lt;91),"A2",IF(AND(T100&gt;=91,T100&lt;=100),"A1")))))))))</f>
        <v>E</v>
      </c>
      <c r="V100" s="152">
        <f t="shared" ref="V100:V128" si="69">IF(C100="","",VLOOKUP(C100,$D$57:$AC$96,19,FALSE))</f>
        <v>65</v>
      </c>
      <c r="W100" s="152" t="str">
        <f t="shared" ref="W100:W128" si="70">IF(V100="","",IF(V100&lt;33,"E",IF(AND(V100&gt;=33,V100&lt;41),"D",IF(AND(V100&gt;=41,V100&lt;51),"C2",IF(AND(V100&gt;=51,V100&lt;61),"C1",IF(AND(V100&gt;=61,V100&lt;71),"B2",IF(AND(V100&gt;=71,V100&lt;81),"B1",IF(AND(V100&gt;=81,V100&lt;91),"A2",IF(AND(V100&gt;=91,V100&lt;=100),"A1")))))))))</f>
        <v>B2</v>
      </c>
      <c r="X100" s="150">
        <f t="shared" ref="X100:X128" si="71">IF(C100="","",VLOOKUP(C100,$D$57:$AC$96,21,FALSE))</f>
        <v>55</v>
      </c>
      <c r="Y100" s="150" t="str">
        <f t="shared" ref="Y100:Y128" si="72">IF(X100="","",IF(X100&lt;33,"E",IF(AND(X100&gt;=33,X100&lt;41),"D",IF(AND(X100&gt;=41,X100&lt;51),"C2",IF(AND(X100&gt;=51,X100&lt;61),"C1",IF(AND(X100&gt;=61,X100&lt;71),"B2",IF(AND(X100&gt;=71,X100&lt;81),"B1",IF(AND(X100&gt;=81,X100&lt;91),"A2",IF(AND(X100&gt;=91,X100&lt;=100),"A1")))))))))</f>
        <v>C1</v>
      </c>
      <c r="Z100" s="153">
        <f t="shared" ref="Z100:Z128" si="73">IF(C100="","",VLOOKUP(C100,$D$57:$AC$96,23,FALSE))</f>
        <v>294</v>
      </c>
      <c r="AA100" s="154" t="str">
        <f t="shared" ref="AA100:AA128" si="74">IF(C100="","",VLOOKUP(C100,$D$57:$AC$96,24,FALSE)&amp;" %")</f>
        <v>58.8 %</v>
      </c>
      <c r="AB100" s="153" t="str">
        <f t="shared" ref="AB100:AB128" si="75">IF(C100="","",VLOOKUP(C100,$D$57:$AC$96,25,FALSE))</f>
        <v>C1</v>
      </c>
      <c r="AC100" s="153">
        <f t="shared" ref="AC100:AC128" si="76">IF(C100="","",VLOOKUP(C100,$D$57:$AC$96,26,FALSE))</f>
        <v>1.0000000000000007</v>
      </c>
      <c r="AD100" s="153">
        <f t="shared" si="47"/>
        <v>2</v>
      </c>
      <c r="AE100" s="153">
        <f t="shared" si="48"/>
        <v>1</v>
      </c>
      <c r="AF100" s="436">
        <f t="shared" si="49"/>
        <v>0</v>
      </c>
      <c r="AG100" s="337"/>
      <c r="AH100" s="425"/>
      <c r="AI100" s="423"/>
      <c r="AJ100" s="172"/>
      <c r="AK100" s="173"/>
    </row>
    <row r="101" spans="1:37" s="174" customFormat="1" ht="16.8" x14ac:dyDescent="0.25">
      <c r="A101" s="177"/>
      <c r="B101" s="376">
        <v>3</v>
      </c>
      <c r="C101" s="96" t="str">
        <f t="shared" si="50"/>
        <v/>
      </c>
      <c r="D101" s="96" t="str">
        <f t="shared" si="51"/>
        <v/>
      </c>
      <c r="E101" s="96" t="str">
        <f t="shared" si="52"/>
        <v/>
      </c>
      <c r="F101" s="96" t="str">
        <f t="shared" si="53"/>
        <v/>
      </c>
      <c r="G101" s="303" t="str">
        <f t="shared" si="54"/>
        <v/>
      </c>
      <c r="H101" s="303" t="str">
        <f t="shared" si="55"/>
        <v/>
      </c>
      <c r="I101" s="97" t="str">
        <f t="shared" si="56"/>
        <v/>
      </c>
      <c r="J101" s="157" t="str">
        <f t="shared" si="57"/>
        <v/>
      </c>
      <c r="K101" s="96" t="str">
        <f t="shared" si="58"/>
        <v/>
      </c>
      <c r="L101" s="96" t="str">
        <f t="shared" si="59"/>
        <v/>
      </c>
      <c r="M101" s="97" t="str">
        <f t="shared" si="60"/>
        <v/>
      </c>
      <c r="N101" s="149" t="str">
        <f t="shared" si="61"/>
        <v/>
      </c>
      <c r="O101" s="149" t="str">
        <f t="shared" si="62"/>
        <v/>
      </c>
      <c r="P101" s="150" t="str">
        <f t="shared" si="63"/>
        <v/>
      </c>
      <c r="Q101" s="151" t="str">
        <f t="shared" si="64"/>
        <v/>
      </c>
      <c r="R101" s="149" t="str">
        <f t="shared" si="65"/>
        <v/>
      </c>
      <c r="S101" s="149" t="str">
        <f t="shared" si="66"/>
        <v/>
      </c>
      <c r="T101" s="150" t="str">
        <f t="shared" si="67"/>
        <v/>
      </c>
      <c r="U101" s="150" t="str">
        <f t="shared" si="68"/>
        <v/>
      </c>
      <c r="V101" s="152" t="str">
        <f t="shared" si="69"/>
        <v/>
      </c>
      <c r="W101" s="152" t="str">
        <f t="shared" si="70"/>
        <v/>
      </c>
      <c r="X101" s="150" t="str">
        <f t="shared" si="71"/>
        <v/>
      </c>
      <c r="Y101" s="150" t="str">
        <f t="shared" si="72"/>
        <v/>
      </c>
      <c r="Z101" s="153" t="str">
        <f t="shared" si="73"/>
        <v/>
      </c>
      <c r="AA101" s="154" t="str">
        <f t="shared" si="74"/>
        <v/>
      </c>
      <c r="AB101" s="153" t="str">
        <f t="shared" si="75"/>
        <v/>
      </c>
      <c r="AC101" s="153" t="str">
        <f t="shared" si="76"/>
        <v/>
      </c>
      <c r="AD101" s="153" t="str">
        <f t="shared" si="47"/>
        <v/>
      </c>
      <c r="AE101" s="153" t="str">
        <f t="shared" si="48"/>
        <v/>
      </c>
      <c r="AF101" s="436" t="str">
        <f t="shared" si="49"/>
        <v/>
      </c>
      <c r="AG101" s="337"/>
      <c r="AH101" s="425"/>
      <c r="AI101" s="423"/>
      <c r="AJ101" s="172"/>
      <c r="AK101" s="173"/>
    </row>
    <row r="102" spans="1:37" s="174" customFormat="1" ht="16.8" x14ac:dyDescent="0.25">
      <c r="A102" s="177"/>
      <c r="B102" s="376">
        <v>4</v>
      </c>
      <c r="C102" s="96" t="str">
        <f t="shared" si="50"/>
        <v/>
      </c>
      <c r="D102" s="96" t="str">
        <f t="shared" si="51"/>
        <v/>
      </c>
      <c r="E102" s="96" t="str">
        <f t="shared" si="52"/>
        <v/>
      </c>
      <c r="F102" s="96" t="str">
        <f t="shared" si="53"/>
        <v/>
      </c>
      <c r="G102" s="303" t="str">
        <f t="shared" si="54"/>
        <v/>
      </c>
      <c r="H102" s="303" t="str">
        <f t="shared" si="55"/>
        <v/>
      </c>
      <c r="I102" s="97" t="str">
        <f t="shared" si="56"/>
        <v/>
      </c>
      <c r="J102" s="157" t="str">
        <f t="shared" si="57"/>
        <v/>
      </c>
      <c r="K102" s="96" t="str">
        <f t="shared" si="58"/>
        <v/>
      </c>
      <c r="L102" s="96" t="str">
        <f t="shared" si="59"/>
        <v/>
      </c>
      <c r="M102" s="97" t="str">
        <f t="shared" si="60"/>
        <v/>
      </c>
      <c r="N102" s="149" t="str">
        <f t="shared" si="61"/>
        <v/>
      </c>
      <c r="O102" s="149" t="str">
        <f t="shared" si="62"/>
        <v/>
      </c>
      <c r="P102" s="150" t="str">
        <f t="shared" si="63"/>
        <v/>
      </c>
      <c r="Q102" s="151" t="str">
        <f t="shared" si="64"/>
        <v/>
      </c>
      <c r="R102" s="149" t="str">
        <f t="shared" si="65"/>
        <v/>
      </c>
      <c r="S102" s="149" t="str">
        <f t="shared" si="66"/>
        <v/>
      </c>
      <c r="T102" s="150" t="str">
        <f t="shared" si="67"/>
        <v/>
      </c>
      <c r="U102" s="150" t="str">
        <f t="shared" si="68"/>
        <v/>
      </c>
      <c r="V102" s="152" t="str">
        <f t="shared" si="69"/>
        <v/>
      </c>
      <c r="W102" s="152" t="str">
        <f t="shared" si="70"/>
        <v/>
      </c>
      <c r="X102" s="150" t="str">
        <f t="shared" si="71"/>
        <v/>
      </c>
      <c r="Y102" s="150" t="str">
        <f t="shared" si="72"/>
        <v/>
      </c>
      <c r="Z102" s="153" t="str">
        <f t="shared" si="73"/>
        <v/>
      </c>
      <c r="AA102" s="154" t="str">
        <f t="shared" si="74"/>
        <v/>
      </c>
      <c r="AB102" s="153" t="str">
        <f t="shared" si="75"/>
        <v/>
      </c>
      <c r="AC102" s="153" t="str">
        <f t="shared" si="76"/>
        <v/>
      </c>
      <c r="AD102" s="153" t="str">
        <f t="shared" si="47"/>
        <v/>
      </c>
      <c r="AE102" s="153" t="str">
        <f t="shared" si="48"/>
        <v/>
      </c>
      <c r="AF102" s="436" t="str">
        <f t="shared" si="49"/>
        <v/>
      </c>
      <c r="AG102" s="337"/>
      <c r="AH102" s="425"/>
      <c r="AI102" s="423"/>
      <c r="AJ102" s="172"/>
      <c r="AK102" s="173"/>
    </row>
    <row r="103" spans="1:37" s="174" customFormat="1" ht="16.8" x14ac:dyDescent="0.25">
      <c r="A103" s="177"/>
      <c r="B103" s="376">
        <v>5</v>
      </c>
      <c r="C103" s="96" t="str">
        <f t="shared" si="50"/>
        <v/>
      </c>
      <c r="D103" s="96" t="str">
        <f t="shared" si="51"/>
        <v/>
      </c>
      <c r="E103" s="96" t="str">
        <f t="shared" si="52"/>
        <v/>
      </c>
      <c r="F103" s="96" t="str">
        <f t="shared" si="53"/>
        <v/>
      </c>
      <c r="G103" s="303" t="str">
        <f t="shared" si="54"/>
        <v/>
      </c>
      <c r="H103" s="303" t="str">
        <f t="shared" si="55"/>
        <v/>
      </c>
      <c r="I103" s="97" t="str">
        <f t="shared" si="56"/>
        <v/>
      </c>
      <c r="J103" s="157" t="str">
        <f t="shared" si="57"/>
        <v/>
      </c>
      <c r="K103" s="96" t="str">
        <f t="shared" si="58"/>
        <v/>
      </c>
      <c r="L103" s="96" t="str">
        <f t="shared" si="59"/>
        <v/>
      </c>
      <c r="M103" s="97" t="str">
        <f t="shared" si="60"/>
        <v/>
      </c>
      <c r="N103" s="149" t="str">
        <f t="shared" si="61"/>
        <v/>
      </c>
      <c r="O103" s="149" t="str">
        <f t="shared" si="62"/>
        <v/>
      </c>
      <c r="P103" s="150" t="str">
        <f t="shared" si="63"/>
        <v/>
      </c>
      <c r="Q103" s="151" t="str">
        <f t="shared" si="64"/>
        <v/>
      </c>
      <c r="R103" s="149" t="str">
        <f t="shared" si="65"/>
        <v/>
      </c>
      <c r="S103" s="149" t="str">
        <f t="shared" si="66"/>
        <v/>
      </c>
      <c r="T103" s="150" t="str">
        <f t="shared" si="67"/>
        <v/>
      </c>
      <c r="U103" s="150" t="str">
        <f t="shared" si="68"/>
        <v/>
      </c>
      <c r="V103" s="152" t="str">
        <f t="shared" si="69"/>
        <v/>
      </c>
      <c r="W103" s="152" t="str">
        <f t="shared" si="70"/>
        <v/>
      </c>
      <c r="X103" s="150" t="str">
        <f t="shared" si="71"/>
        <v/>
      </c>
      <c r="Y103" s="150" t="str">
        <f t="shared" si="72"/>
        <v/>
      </c>
      <c r="Z103" s="153" t="str">
        <f t="shared" si="73"/>
        <v/>
      </c>
      <c r="AA103" s="154" t="str">
        <f t="shared" si="74"/>
        <v/>
      </c>
      <c r="AB103" s="153" t="str">
        <f t="shared" si="75"/>
        <v/>
      </c>
      <c r="AC103" s="153" t="str">
        <f t="shared" si="76"/>
        <v/>
      </c>
      <c r="AD103" s="153" t="str">
        <f t="shared" si="47"/>
        <v/>
      </c>
      <c r="AE103" s="153" t="str">
        <f t="shared" si="48"/>
        <v/>
      </c>
      <c r="AF103" s="436" t="str">
        <f t="shared" si="49"/>
        <v/>
      </c>
      <c r="AG103" s="337"/>
      <c r="AH103" s="425"/>
      <c r="AI103" s="423"/>
      <c r="AJ103" s="172"/>
      <c r="AK103" s="173"/>
    </row>
    <row r="104" spans="1:37" s="174" customFormat="1" ht="16.8" x14ac:dyDescent="0.25">
      <c r="A104" s="177"/>
      <c r="B104" s="376">
        <v>6</v>
      </c>
      <c r="C104" s="96" t="str">
        <f t="shared" ref="C104:C128" si="77">IF(AE62="","",ROUND(AE62,0))</f>
        <v/>
      </c>
      <c r="D104" s="96" t="str">
        <f t="shared" si="51"/>
        <v/>
      </c>
      <c r="E104" s="96" t="str">
        <f t="shared" si="52"/>
        <v/>
      </c>
      <c r="F104" s="96" t="str">
        <f t="shared" si="53"/>
        <v/>
      </c>
      <c r="G104" s="303" t="str">
        <f t="shared" si="54"/>
        <v/>
      </c>
      <c r="H104" s="303" t="str">
        <f t="shared" si="55"/>
        <v/>
      </c>
      <c r="I104" s="97" t="str">
        <f t="shared" si="56"/>
        <v/>
      </c>
      <c r="J104" s="157" t="str">
        <f t="shared" si="57"/>
        <v/>
      </c>
      <c r="K104" s="96" t="str">
        <f t="shared" si="58"/>
        <v/>
      </c>
      <c r="L104" s="96" t="str">
        <f t="shared" si="59"/>
        <v/>
      </c>
      <c r="M104" s="97" t="str">
        <f t="shared" si="60"/>
        <v/>
      </c>
      <c r="N104" s="149" t="str">
        <f t="shared" si="61"/>
        <v/>
      </c>
      <c r="O104" s="149" t="str">
        <f t="shared" si="62"/>
        <v/>
      </c>
      <c r="P104" s="150" t="str">
        <f t="shared" si="63"/>
        <v/>
      </c>
      <c r="Q104" s="151" t="str">
        <f t="shared" si="64"/>
        <v/>
      </c>
      <c r="R104" s="149" t="str">
        <f t="shared" si="65"/>
        <v/>
      </c>
      <c r="S104" s="149" t="str">
        <f t="shared" si="66"/>
        <v/>
      </c>
      <c r="T104" s="150" t="str">
        <f t="shared" si="67"/>
        <v/>
      </c>
      <c r="U104" s="150" t="str">
        <f t="shared" si="68"/>
        <v/>
      </c>
      <c r="V104" s="152" t="str">
        <f t="shared" si="69"/>
        <v/>
      </c>
      <c r="W104" s="152" t="str">
        <f t="shared" si="70"/>
        <v/>
      </c>
      <c r="X104" s="150" t="str">
        <f t="shared" si="71"/>
        <v/>
      </c>
      <c r="Y104" s="150" t="str">
        <f t="shared" si="72"/>
        <v/>
      </c>
      <c r="Z104" s="153" t="str">
        <f t="shared" si="73"/>
        <v/>
      </c>
      <c r="AA104" s="154" t="str">
        <f t="shared" si="74"/>
        <v/>
      </c>
      <c r="AB104" s="153" t="str">
        <f t="shared" si="75"/>
        <v/>
      </c>
      <c r="AC104" s="153" t="str">
        <f t="shared" si="76"/>
        <v/>
      </c>
      <c r="AD104" s="153" t="str">
        <f t="shared" si="47"/>
        <v/>
      </c>
      <c r="AE104" s="153" t="str">
        <f t="shared" si="48"/>
        <v/>
      </c>
      <c r="AF104" s="436" t="str">
        <f t="shared" si="49"/>
        <v/>
      </c>
      <c r="AG104" s="337"/>
      <c r="AH104" s="425"/>
      <c r="AI104" s="423"/>
      <c r="AJ104" s="172"/>
      <c r="AK104" s="173"/>
    </row>
    <row r="105" spans="1:37" s="174" customFormat="1" ht="16.8" x14ac:dyDescent="0.25">
      <c r="A105" s="177"/>
      <c r="B105" s="376">
        <v>7</v>
      </c>
      <c r="C105" s="96" t="str">
        <f t="shared" si="77"/>
        <v/>
      </c>
      <c r="D105" s="96" t="str">
        <f t="shared" si="51"/>
        <v/>
      </c>
      <c r="E105" s="96" t="str">
        <f t="shared" si="52"/>
        <v/>
      </c>
      <c r="F105" s="96" t="str">
        <f t="shared" si="53"/>
        <v/>
      </c>
      <c r="G105" s="303" t="str">
        <f t="shared" si="54"/>
        <v/>
      </c>
      <c r="H105" s="303" t="str">
        <f t="shared" si="55"/>
        <v/>
      </c>
      <c r="I105" s="97" t="str">
        <f t="shared" si="56"/>
        <v/>
      </c>
      <c r="J105" s="157" t="str">
        <f t="shared" si="57"/>
        <v/>
      </c>
      <c r="K105" s="96" t="str">
        <f t="shared" si="58"/>
        <v/>
      </c>
      <c r="L105" s="96" t="str">
        <f t="shared" si="59"/>
        <v/>
      </c>
      <c r="M105" s="97" t="str">
        <f t="shared" si="60"/>
        <v/>
      </c>
      <c r="N105" s="149" t="str">
        <f t="shared" si="61"/>
        <v/>
      </c>
      <c r="O105" s="149" t="str">
        <f t="shared" si="62"/>
        <v/>
      </c>
      <c r="P105" s="150" t="str">
        <f t="shared" si="63"/>
        <v/>
      </c>
      <c r="Q105" s="151" t="str">
        <f t="shared" si="64"/>
        <v/>
      </c>
      <c r="R105" s="149" t="str">
        <f t="shared" si="65"/>
        <v/>
      </c>
      <c r="S105" s="149" t="str">
        <f t="shared" si="66"/>
        <v/>
      </c>
      <c r="T105" s="150" t="str">
        <f t="shared" si="67"/>
        <v/>
      </c>
      <c r="U105" s="150" t="str">
        <f t="shared" si="68"/>
        <v/>
      </c>
      <c r="V105" s="152" t="str">
        <f t="shared" si="69"/>
        <v/>
      </c>
      <c r="W105" s="152" t="str">
        <f t="shared" si="70"/>
        <v/>
      </c>
      <c r="X105" s="150" t="str">
        <f t="shared" si="71"/>
        <v/>
      </c>
      <c r="Y105" s="150" t="str">
        <f t="shared" si="72"/>
        <v/>
      </c>
      <c r="Z105" s="153" t="str">
        <f t="shared" si="73"/>
        <v/>
      </c>
      <c r="AA105" s="154" t="str">
        <f t="shared" si="74"/>
        <v/>
      </c>
      <c r="AB105" s="153" t="str">
        <f t="shared" si="75"/>
        <v/>
      </c>
      <c r="AC105" s="153" t="str">
        <f t="shared" si="76"/>
        <v/>
      </c>
      <c r="AD105" s="153" t="str">
        <f t="shared" si="47"/>
        <v/>
      </c>
      <c r="AE105" s="153" t="str">
        <f t="shared" si="48"/>
        <v/>
      </c>
      <c r="AF105" s="436" t="str">
        <f t="shared" si="49"/>
        <v/>
      </c>
      <c r="AG105" s="337"/>
      <c r="AH105" s="425"/>
      <c r="AI105" s="423"/>
      <c r="AJ105" s="172"/>
      <c r="AK105" s="173"/>
    </row>
    <row r="106" spans="1:37" s="174" customFormat="1" ht="16.8" x14ac:dyDescent="0.25">
      <c r="A106" s="177"/>
      <c r="B106" s="376">
        <v>8</v>
      </c>
      <c r="C106" s="96" t="str">
        <f t="shared" si="77"/>
        <v/>
      </c>
      <c r="D106" s="96" t="str">
        <f t="shared" si="51"/>
        <v/>
      </c>
      <c r="E106" s="96" t="str">
        <f t="shared" si="52"/>
        <v/>
      </c>
      <c r="F106" s="96" t="str">
        <f t="shared" si="53"/>
        <v/>
      </c>
      <c r="G106" s="303" t="str">
        <f t="shared" si="54"/>
        <v/>
      </c>
      <c r="H106" s="303" t="str">
        <f t="shared" si="55"/>
        <v/>
      </c>
      <c r="I106" s="97" t="str">
        <f t="shared" si="56"/>
        <v/>
      </c>
      <c r="J106" s="157" t="str">
        <f t="shared" si="57"/>
        <v/>
      </c>
      <c r="K106" s="96" t="str">
        <f t="shared" si="58"/>
        <v/>
      </c>
      <c r="L106" s="96" t="str">
        <f t="shared" si="59"/>
        <v/>
      </c>
      <c r="M106" s="97" t="str">
        <f t="shared" si="60"/>
        <v/>
      </c>
      <c r="N106" s="149" t="str">
        <f t="shared" si="61"/>
        <v/>
      </c>
      <c r="O106" s="149" t="str">
        <f t="shared" si="62"/>
        <v/>
      </c>
      <c r="P106" s="150" t="str">
        <f t="shared" si="63"/>
        <v/>
      </c>
      <c r="Q106" s="151" t="str">
        <f t="shared" si="64"/>
        <v/>
      </c>
      <c r="R106" s="149" t="str">
        <f t="shared" si="65"/>
        <v/>
      </c>
      <c r="S106" s="149" t="str">
        <f t="shared" si="66"/>
        <v/>
      </c>
      <c r="T106" s="150" t="str">
        <f t="shared" si="67"/>
        <v/>
      </c>
      <c r="U106" s="150" t="str">
        <f t="shared" si="68"/>
        <v/>
      </c>
      <c r="V106" s="152" t="str">
        <f t="shared" si="69"/>
        <v/>
      </c>
      <c r="W106" s="152" t="str">
        <f t="shared" si="70"/>
        <v/>
      </c>
      <c r="X106" s="150" t="str">
        <f t="shared" si="71"/>
        <v/>
      </c>
      <c r="Y106" s="150" t="str">
        <f t="shared" si="72"/>
        <v/>
      </c>
      <c r="Z106" s="153" t="str">
        <f t="shared" si="73"/>
        <v/>
      </c>
      <c r="AA106" s="154" t="str">
        <f t="shared" si="74"/>
        <v/>
      </c>
      <c r="AB106" s="153" t="str">
        <f t="shared" si="75"/>
        <v/>
      </c>
      <c r="AC106" s="153" t="str">
        <f t="shared" si="76"/>
        <v/>
      </c>
      <c r="AD106" s="153" t="str">
        <f t="shared" si="47"/>
        <v/>
      </c>
      <c r="AE106" s="153" t="str">
        <f t="shared" si="48"/>
        <v/>
      </c>
      <c r="AF106" s="436" t="str">
        <f t="shared" si="49"/>
        <v/>
      </c>
      <c r="AG106" s="337"/>
      <c r="AH106" s="425"/>
      <c r="AI106" s="423"/>
      <c r="AJ106" s="172"/>
      <c r="AK106" s="173"/>
    </row>
    <row r="107" spans="1:37" s="174" customFormat="1" ht="16.8" x14ac:dyDescent="0.25">
      <c r="A107" s="177"/>
      <c r="B107" s="376">
        <v>9</v>
      </c>
      <c r="C107" s="96" t="str">
        <f t="shared" si="77"/>
        <v/>
      </c>
      <c r="D107" s="96" t="str">
        <f t="shared" si="51"/>
        <v/>
      </c>
      <c r="E107" s="96" t="str">
        <f t="shared" si="52"/>
        <v/>
      </c>
      <c r="F107" s="96" t="str">
        <f t="shared" si="53"/>
        <v/>
      </c>
      <c r="G107" s="303" t="str">
        <f t="shared" si="54"/>
        <v/>
      </c>
      <c r="H107" s="303" t="str">
        <f t="shared" si="55"/>
        <v/>
      </c>
      <c r="I107" s="97" t="str">
        <f t="shared" si="56"/>
        <v/>
      </c>
      <c r="J107" s="157" t="str">
        <f t="shared" si="57"/>
        <v/>
      </c>
      <c r="K107" s="96" t="str">
        <f t="shared" si="58"/>
        <v/>
      </c>
      <c r="L107" s="96" t="str">
        <f t="shared" si="59"/>
        <v/>
      </c>
      <c r="M107" s="97" t="str">
        <f t="shared" si="60"/>
        <v/>
      </c>
      <c r="N107" s="149" t="str">
        <f t="shared" si="61"/>
        <v/>
      </c>
      <c r="O107" s="149" t="str">
        <f t="shared" si="62"/>
        <v/>
      </c>
      <c r="P107" s="150" t="str">
        <f t="shared" si="63"/>
        <v/>
      </c>
      <c r="Q107" s="151" t="str">
        <f t="shared" si="64"/>
        <v/>
      </c>
      <c r="R107" s="149" t="str">
        <f t="shared" si="65"/>
        <v/>
      </c>
      <c r="S107" s="149" t="str">
        <f t="shared" si="66"/>
        <v/>
      </c>
      <c r="T107" s="150" t="str">
        <f t="shared" si="67"/>
        <v/>
      </c>
      <c r="U107" s="150" t="str">
        <f t="shared" si="68"/>
        <v/>
      </c>
      <c r="V107" s="152" t="str">
        <f t="shared" si="69"/>
        <v/>
      </c>
      <c r="W107" s="152" t="str">
        <f t="shared" si="70"/>
        <v/>
      </c>
      <c r="X107" s="150" t="str">
        <f t="shared" si="71"/>
        <v/>
      </c>
      <c r="Y107" s="150" t="str">
        <f t="shared" si="72"/>
        <v/>
      </c>
      <c r="Z107" s="153" t="str">
        <f t="shared" si="73"/>
        <v/>
      </c>
      <c r="AA107" s="154" t="str">
        <f t="shared" si="74"/>
        <v/>
      </c>
      <c r="AB107" s="153" t="str">
        <f t="shared" si="75"/>
        <v/>
      </c>
      <c r="AC107" s="153" t="str">
        <f t="shared" si="76"/>
        <v/>
      </c>
      <c r="AD107" s="153" t="str">
        <f t="shared" si="47"/>
        <v/>
      </c>
      <c r="AE107" s="153" t="str">
        <f t="shared" si="48"/>
        <v/>
      </c>
      <c r="AF107" s="436" t="str">
        <f t="shared" si="49"/>
        <v/>
      </c>
      <c r="AG107" s="337"/>
      <c r="AH107" s="425"/>
      <c r="AI107" s="423"/>
      <c r="AJ107" s="172"/>
      <c r="AK107" s="173"/>
    </row>
    <row r="108" spans="1:37" s="174" customFormat="1" ht="16.8" x14ac:dyDescent="0.25">
      <c r="A108" s="177"/>
      <c r="B108" s="376">
        <v>10</v>
      </c>
      <c r="C108" s="96" t="str">
        <f t="shared" si="77"/>
        <v/>
      </c>
      <c r="D108" s="96" t="str">
        <f t="shared" si="51"/>
        <v/>
      </c>
      <c r="E108" s="96" t="str">
        <f t="shared" si="52"/>
        <v/>
      </c>
      <c r="F108" s="96" t="str">
        <f t="shared" si="53"/>
        <v/>
      </c>
      <c r="G108" s="303" t="str">
        <f t="shared" si="54"/>
        <v/>
      </c>
      <c r="H108" s="303" t="str">
        <f t="shared" si="55"/>
        <v/>
      </c>
      <c r="I108" s="97" t="str">
        <f t="shared" si="56"/>
        <v/>
      </c>
      <c r="J108" s="157" t="str">
        <f t="shared" si="57"/>
        <v/>
      </c>
      <c r="K108" s="96" t="str">
        <f t="shared" si="58"/>
        <v/>
      </c>
      <c r="L108" s="96" t="str">
        <f t="shared" si="59"/>
        <v/>
      </c>
      <c r="M108" s="97" t="str">
        <f t="shared" si="60"/>
        <v/>
      </c>
      <c r="N108" s="149" t="str">
        <f t="shared" si="61"/>
        <v/>
      </c>
      <c r="O108" s="149" t="str">
        <f t="shared" si="62"/>
        <v/>
      </c>
      <c r="P108" s="150" t="str">
        <f t="shared" si="63"/>
        <v/>
      </c>
      <c r="Q108" s="151" t="str">
        <f t="shared" si="64"/>
        <v/>
      </c>
      <c r="R108" s="149" t="str">
        <f t="shared" si="65"/>
        <v/>
      </c>
      <c r="S108" s="149" t="str">
        <f t="shared" si="66"/>
        <v/>
      </c>
      <c r="T108" s="150" t="str">
        <f t="shared" si="67"/>
        <v/>
      </c>
      <c r="U108" s="150" t="str">
        <f t="shared" si="68"/>
        <v/>
      </c>
      <c r="V108" s="152" t="str">
        <f t="shared" si="69"/>
        <v/>
      </c>
      <c r="W108" s="152" t="str">
        <f t="shared" si="70"/>
        <v/>
      </c>
      <c r="X108" s="150" t="str">
        <f t="shared" si="71"/>
        <v/>
      </c>
      <c r="Y108" s="150" t="str">
        <f t="shared" si="72"/>
        <v/>
      </c>
      <c r="Z108" s="153" t="str">
        <f t="shared" si="73"/>
        <v/>
      </c>
      <c r="AA108" s="154" t="str">
        <f t="shared" si="74"/>
        <v/>
      </c>
      <c r="AB108" s="153" t="str">
        <f t="shared" si="75"/>
        <v/>
      </c>
      <c r="AC108" s="153" t="str">
        <f t="shared" si="76"/>
        <v/>
      </c>
      <c r="AD108" s="153" t="str">
        <f t="shared" si="47"/>
        <v/>
      </c>
      <c r="AE108" s="153" t="str">
        <f t="shared" si="48"/>
        <v/>
      </c>
      <c r="AF108" s="436" t="str">
        <f t="shared" si="49"/>
        <v/>
      </c>
      <c r="AG108" s="337"/>
      <c r="AH108" s="425"/>
      <c r="AI108" s="423"/>
      <c r="AJ108" s="172"/>
      <c r="AK108" s="173"/>
    </row>
    <row r="109" spans="1:37" s="174" customFormat="1" ht="16.8" x14ac:dyDescent="0.25">
      <c r="A109" s="177"/>
      <c r="B109" s="376">
        <v>11</v>
      </c>
      <c r="C109" s="96" t="str">
        <f t="shared" si="77"/>
        <v/>
      </c>
      <c r="D109" s="96" t="str">
        <f t="shared" si="51"/>
        <v/>
      </c>
      <c r="E109" s="96" t="str">
        <f t="shared" si="52"/>
        <v/>
      </c>
      <c r="F109" s="96" t="str">
        <f t="shared" si="53"/>
        <v/>
      </c>
      <c r="G109" s="303" t="str">
        <f t="shared" si="54"/>
        <v/>
      </c>
      <c r="H109" s="303" t="str">
        <f t="shared" si="55"/>
        <v/>
      </c>
      <c r="I109" s="97" t="str">
        <f t="shared" si="56"/>
        <v/>
      </c>
      <c r="J109" s="157" t="str">
        <f t="shared" si="57"/>
        <v/>
      </c>
      <c r="K109" s="96" t="str">
        <f t="shared" si="58"/>
        <v/>
      </c>
      <c r="L109" s="96" t="str">
        <f t="shared" si="59"/>
        <v/>
      </c>
      <c r="M109" s="97" t="str">
        <f t="shared" si="60"/>
        <v/>
      </c>
      <c r="N109" s="149" t="str">
        <f t="shared" si="61"/>
        <v/>
      </c>
      <c r="O109" s="149" t="str">
        <f t="shared" si="62"/>
        <v/>
      </c>
      <c r="P109" s="150" t="str">
        <f t="shared" si="63"/>
        <v/>
      </c>
      <c r="Q109" s="151" t="str">
        <f t="shared" si="64"/>
        <v/>
      </c>
      <c r="R109" s="149" t="str">
        <f t="shared" si="65"/>
        <v/>
      </c>
      <c r="S109" s="149" t="str">
        <f t="shared" si="66"/>
        <v/>
      </c>
      <c r="T109" s="150" t="str">
        <f t="shared" si="67"/>
        <v/>
      </c>
      <c r="U109" s="150" t="str">
        <f t="shared" si="68"/>
        <v/>
      </c>
      <c r="V109" s="152" t="str">
        <f t="shared" si="69"/>
        <v/>
      </c>
      <c r="W109" s="152" t="str">
        <f t="shared" si="70"/>
        <v/>
      </c>
      <c r="X109" s="150" t="str">
        <f t="shared" si="71"/>
        <v/>
      </c>
      <c r="Y109" s="150" t="str">
        <f t="shared" si="72"/>
        <v/>
      </c>
      <c r="Z109" s="153" t="str">
        <f t="shared" si="73"/>
        <v/>
      </c>
      <c r="AA109" s="154" t="str">
        <f t="shared" si="74"/>
        <v/>
      </c>
      <c r="AB109" s="153" t="str">
        <f t="shared" si="75"/>
        <v/>
      </c>
      <c r="AC109" s="153" t="str">
        <f t="shared" si="76"/>
        <v/>
      </c>
      <c r="AD109" s="153" t="str">
        <f t="shared" si="47"/>
        <v/>
      </c>
      <c r="AE109" s="153" t="str">
        <f t="shared" si="48"/>
        <v/>
      </c>
      <c r="AF109" s="436" t="str">
        <f t="shared" si="49"/>
        <v/>
      </c>
      <c r="AG109" s="337"/>
      <c r="AH109" s="425"/>
      <c r="AI109" s="423"/>
      <c r="AJ109" s="172"/>
      <c r="AK109" s="173"/>
    </row>
    <row r="110" spans="1:37" s="174" customFormat="1" ht="16.8" x14ac:dyDescent="0.25">
      <c r="A110" s="177"/>
      <c r="B110" s="376">
        <v>12</v>
      </c>
      <c r="C110" s="96" t="str">
        <f t="shared" si="77"/>
        <v/>
      </c>
      <c r="D110" s="96" t="str">
        <f t="shared" si="51"/>
        <v/>
      </c>
      <c r="E110" s="96" t="str">
        <f t="shared" si="52"/>
        <v/>
      </c>
      <c r="F110" s="96" t="str">
        <f t="shared" si="53"/>
        <v/>
      </c>
      <c r="G110" s="303" t="str">
        <f t="shared" si="54"/>
        <v/>
      </c>
      <c r="H110" s="303" t="str">
        <f t="shared" si="55"/>
        <v/>
      </c>
      <c r="I110" s="97" t="str">
        <f t="shared" si="56"/>
        <v/>
      </c>
      <c r="J110" s="157" t="str">
        <f t="shared" si="57"/>
        <v/>
      </c>
      <c r="K110" s="96" t="str">
        <f t="shared" si="58"/>
        <v/>
      </c>
      <c r="L110" s="96" t="str">
        <f t="shared" si="59"/>
        <v/>
      </c>
      <c r="M110" s="97" t="str">
        <f t="shared" si="60"/>
        <v/>
      </c>
      <c r="N110" s="149" t="str">
        <f t="shared" si="61"/>
        <v/>
      </c>
      <c r="O110" s="149" t="str">
        <f t="shared" si="62"/>
        <v/>
      </c>
      <c r="P110" s="150" t="str">
        <f t="shared" si="63"/>
        <v/>
      </c>
      <c r="Q110" s="151" t="str">
        <f t="shared" si="64"/>
        <v/>
      </c>
      <c r="R110" s="149" t="str">
        <f t="shared" si="65"/>
        <v/>
      </c>
      <c r="S110" s="149" t="str">
        <f t="shared" si="66"/>
        <v/>
      </c>
      <c r="T110" s="150" t="str">
        <f t="shared" si="67"/>
        <v/>
      </c>
      <c r="U110" s="150" t="str">
        <f t="shared" si="68"/>
        <v/>
      </c>
      <c r="V110" s="152" t="str">
        <f t="shared" si="69"/>
        <v/>
      </c>
      <c r="W110" s="152" t="str">
        <f t="shared" si="70"/>
        <v/>
      </c>
      <c r="X110" s="150" t="str">
        <f t="shared" si="71"/>
        <v/>
      </c>
      <c r="Y110" s="150" t="str">
        <f t="shared" si="72"/>
        <v/>
      </c>
      <c r="Z110" s="153" t="str">
        <f t="shared" si="73"/>
        <v/>
      </c>
      <c r="AA110" s="154" t="str">
        <f t="shared" si="74"/>
        <v/>
      </c>
      <c r="AB110" s="153" t="str">
        <f t="shared" si="75"/>
        <v/>
      </c>
      <c r="AC110" s="153" t="str">
        <f t="shared" si="76"/>
        <v/>
      </c>
      <c r="AD110" s="153" t="str">
        <f t="shared" si="47"/>
        <v/>
      </c>
      <c r="AE110" s="153" t="str">
        <f t="shared" si="48"/>
        <v/>
      </c>
      <c r="AF110" s="436" t="str">
        <f t="shared" si="49"/>
        <v/>
      </c>
      <c r="AG110" s="337"/>
      <c r="AH110" s="425"/>
      <c r="AI110" s="423"/>
      <c r="AJ110" s="172"/>
      <c r="AK110" s="173"/>
    </row>
    <row r="111" spans="1:37" s="174" customFormat="1" ht="16.8" x14ac:dyDescent="0.25">
      <c r="A111" s="177"/>
      <c r="B111" s="376">
        <v>13</v>
      </c>
      <c r="C111" s="96" t="str">
        <f t="shared" si="77"/>
        <v/>
      </c>
      <c r="D111" s="96" t="str">
        <f t="shared" si="51"/>
        <v/>
      </c>
      <c r="E111" s="96" t="str">
        <f t="shared" si="52"/>
        <v/>
      </c>
      <c r="F111" s="96" t="str">
        <f t="shared" si="53"/>
        <v/>
      </c>
      <c r="G111" s="303" t="str">
        <f t="shared" si="54"/>
        <v/>
      </c>
      <c r="H111" s="303" t="str">
        <f t="shared" si="55"/>
        <v/>
      </c>
      <c r="I111" s="97" t="str">
        <f t="shared" si="56"/>
        <v/>
      </c>
      <c r="J111" s="157" t="str">
        <f t="shared" si="57"/>
        <v/>
      </c>
      <c r="K111" s="96" t="str">
        <f t="shared" si="58"/>
        <v/>
      </c>
      <c r="L111" s="96" t="str">
        <f t="shared" si="59"/>
        <v/>
      </c>
      <c r="M111" s="97" t="str">
        <f t="shared" si="60"/>
        <v/>
      </c>
      <c r="N111" s="149" t="str">
        <f t="shared" si="61"/>
        <v/>
      </c>
      <c r="O111" s="149" t="str">
        <f t="shared" si="62"/>
        <v/>
      </c>
      <c r="P111" s="150" t="str">
        <f t="shared" si="63"/>
        <v/>
      </c>
      <c r="Q111" s="151" t="str">
        <f t="shared" si="64"/>
        <v/>
      </c>
      <c r="R111" s="149" t="str">
        <f t="shared" si="65"/>
        <v/>
      </c>
      <c r="S111" s="149" t="str">
        <f t="shared" si="66"/>
        <v/>
      </c>
      <c r="T111" s="150" t="str">
        <f t="shared" si="67"/>
        <v/>
      </c>
      <c r="U111" s="150" t="str">
        <f t="shared" si="68"/>
        <v/>
      </c>
      <c r="V111" s="152" t="str">
        <f t="shared" si="69"/>
        <v/>
      </c>
      <c r="W111" s="152" t="str">
        <f t="shared" si="70"/>
        <v/>
      </c>
      <c r="X111" s="150" t="str">
        <f t="shared" si="71"/>
        <v/>
      </c>
      <c r="Y111" s="150" t="str">
        <f t="shared" si="72"/>
        <v/>
      </c>
      <c r="Z111" s="153" t="str">
        <f t="shared" si="73"/>
        <v/>
      </c>
      <c r="AA111" s="154" t="str">
        <f t="shared" si="74"/>
        <v/>
      </c>
      <c r="AB111" s="153" t="str">
        <f t="shared" si="75"/>
        <v/>
      </c>
      <c r="AC111" s="153" t="str">
        <f t="shared" si="76"/>
        <v/>
      </c>
      <c r="AD111" s="153" t="str">
        <f t="shared" si="47"/>
        <v/>
      </c>
      <c r="AE111" s="153" t="str">
        <f t="shared" si="48"/>
        <v/>
      </c>
      <c r="AF111" s="436" t="str">
        <f t="shared" si="49"/>
        <v/>
      </c>
      <c r="AG111" s="337"/>
      <c r="AH111" s="425"/>
      <c r="AI111" s="423"/>
      <c r="AJ111" s="172"/>
      <c r="AK111" s="173"/>
    </row>
    <row r="112" spans="1:37" s="174" customFormat="1" ht="16.8" x14ac:dyDescent="0.25">
      <c r="A112" s="177"/>
      <c r="B112" s="376">
        <v>14</v>
      </c>
      <c r="C112" s="96" t="str">
        <f t="shared" si="77"/>
        <v/>
      </c>
      <c r="D112" s="96" t="str">
        <f t="shared" si="51"/>
        <v/>
      </c>
      <c r="E112" s="96" t="str">
        <f t="shared" si="52"/>
        <v/>
      </c>
      <c r="F112" s="96" t="str">
        <f t="shared" si="53"/>
        <v/>
      </c>
      <c r="G112" s="303" t="str">
        <f t="shared" si="54"/>
        <v/>
      </c>
      <c r="H112" s="303" t="str">
        <f t="shared" si="55"/>
        <v/>
      </c>
      <c r="I112" s="97" t="str">
        <f t="shared" si="56"/>
        <v/>
      </c>
      <c r="J112" s="157" t="str">
        <f t="shared" si="57"/>
        <v/>
      </c>
      <c r="K112" s="96" t="str">
        <f t="shared" si="58"/>
        <v/>
      </c>
      <c r="L112" s="96" t="str">
        <f t="shared" si="59"/>
        <v/>
      </c>
      <c r="M112" s="97" t="str">
        <f t="shared" si="60"/>
        <v/>
      </c>
      <c r="N112" s="149" t="str">
        <f t="shared" si="61"/>
        <v/>
      </c>
      <c r="O112" s="149" t="str">
        <f t="shared" si="62"/>
        <v/>
      </c>
      <c r="P112" s="150" t="str">
        <f t="shared" si="63"/>
        <v/>
      </c>
      <c r="Q112" s="151" t="str">
        <f t="shared" si="64"/>
        <v/>
      </c>
      <c r="R112" s="149" t="str">
        <f t="shared" si="65"/>
        <v/>
      </c>
      <c r="S112" s="149" t="str">
        <f t="shared" si="66"/>
        <v/>
      </c>
      <c r="T112" s="150" t="str">
        <f t="shared" si="67"/>
        <v/>
      </c>
      <c r="U112" s="150" t="str">
        <f t="shared" si="68"/>
        <v/>
      </c>
      <c r="V112" s="152" t="str">
        <f t="shared" si="69"/>
        <v/>
      </c>
      <c r="W112" s="152" t="str">
        <f t="shared" si="70"/>
        <v/>
      </c>
      <c r="X112" s="150" t="str">
        <f t="shared" si="71"/>
        <v/>
      </c>
      <c r="Y112" s="150" t="str">
        <f t="shared" si="72"/>
        <v/>
      </c>
      <c r="Z112" s="153" t="str">
        <f t="shared" si="73"/>
        <v/>
      </c>
      <c r="AA112" s="154" t="str">
        <f t="shared" si="74"/>
        <v/>
      </c>
      <c r="AB112" s="153" t="str">
        <f t="shared" si="75"/>
        <v/>
      </c>
      <c r="AC112" s="153" t="str">
        <f t="shared" si="76"/>
        <v/>
      </c>
      <c r="AD112" s="153" t="str">
        <f t="shared" si="47"/>
        <v/>
      </c>
      <c r="AE112" s="153" t="str">
        <f t="shared" si="48"/>
        <v/>
      </c>
      <c r="AF112" s="436" t="str">
        <f t="shared" si="49"/>
        <v/>
      </c>
      <c r="AG112" s="337"/>
      <c r="AH112" s="425"/>
      <c r="AI112" s="423"/>
      <c r="AJ112" s="172"/>
      <c r="AK112" s="173"/>
    </row>
    <row r="113" spans="1:37" s="174" customFormat="1" ht="16.8" x14ac:dyDescent="0.25">
      <c r="A113" s="177"/>
      <c r="B113" s="376">
        <v>15</v>
      </c>
      <c r="C113" s="96" t="str">
        <f t="shared" si="77"/>
        <v/>
      </c>
      <c r="D113" s="96" t="str">
        <f t="shared" si="51"/>
        <v/>
      </c>
      <c r="E113" s="96" t="str">
        <f t="shared" si="52"/>
        <v/>
      </c>
      <c r="F113" s="96" t="str">
        <f t="shared" si="53"/>
        <v/>
      </c>
      <c r="G113" s="303" t="str">
        <f t="shared" si="54"/>
        <v/>
      </c>
      <c r="H113" s="303" t="str">
        <f t="shared" si="55"/>
        <v/>
      </c>
      <c r="I113" s="97" t="str">
        <f t="shared" si="56"/>
        <v/>
      </c>
      <c r="J113" s="157" t="str">
        <f t="shared" si="57"/>
        <v/>
      </c>
      <c r="K113" s="96" t="str">
        <f t="shared" si="58"/>
        <v/>
      </c>
      <c r="L113" s="96" t="str">
        <f t="shared" si="59"/>
        <v/>
      </c>
      <c r="M113" s="97" t="str">
        <f t="shared" si="60"/>
        <v/>
      </c>
      <c r="N113" s="149" t="str">
        <f t="shared" si="61"/>
        <v/>
      </c>
      <c r="O113" s="149" t="str">
        <f t="shared" si="62"/>
        <v/>
      </c>
      <c r="P113" s="150" t="str">
        <f t="shared" si="63"/>
        <v/>
      </c>
      <c r="Q113" s="151" t="str">
        <f t="shared" si="64"/>
        <v/>
      </c>
      <c r="R113" s="149" t="str">
        <f t="shared" si="65"/>
        <v/>
      </c>
      <c r="S113" s="149" t="str">
        <f t="shared" si="66"/>
        <v/>
      </c>
      <c r="T113" s="150" t="str">
        <f t="shared" si="67"/>
        <v/>
      </c>
      <c r="U113" s="150" t="str">
        <f t="shared" si="68"/>
        <v/>
      </c>
      <c r="V113" s="152" t="str">
        <f t="shared" si="69"/>
        <v/>
      </c>
      <c r="W113" s="152" t="str">
        <f t="shared" si="70"/>
        <v/>
      </c>
      <c r="X113" s="150" t="str">
        <f t="shared" si="71"/>
        <v/>
      </c>
      <c r="Y113" s="150" t="str">
        <f t="shared" si="72"/>
        <v/>
      </c>
      <c r="Z113" s="153" t="str">
        <f t="shared" si="73"/>
        <v/>
      </c>
      <c r="AA113" s="154" t="str">
        <f t="shared" si="74"/>
        <v/>
      </c>
      <c r="AB113" s="153" t="str">
        <f t="shared" si="75"/>
        <v/>
      </c>
      <c r="AC113" s="153" t="str">
        <f t="shared" si="76"/>
        <v/>
      </c>
      <c r="AD113" s="153" t="str">
        <f t="shared" si="47"/>
        <v/>
      </c>
      <c r="AE113" s="153" t="str">
        <f t="shared" si="48"/>
        <v/>
      </c>
      <c r="AF113" s="436" t="str">
        <f t="shared" si="49"/>
        <v/>
      </c>
      <c r="AG113" s="337"/>
      <c r="AH113" s="425"/>
      <c r="AI113" s="423"/>
      <c r="AJ113" s="172"/>
      <c r="AK113" s="173"/>
    </row>
    <row r="114" spans="1:37" s="174" customFormat="1" ht="16.8" x14ac:dyDescent="0.25">
      <c r="A114" s="177"/>
      <c r="B114" s="376">
        <v>16</v>
      </c>
      <c r="C114" s="96" t="str">
        <f t="shared" si="77"/>
        <v/>
      </c>
      <c r="D114" s="96" t="str">
        <f t="shared" si="51"/>
        <v/>
      </c>
      <c r="E114" s="96" t="str">
        <f t="shared" si="52"/>
        <v/>
      </c>
      <c r="F114" s="96" t="str">
        <f t="shared" si="53"/>
        <v/>
      </c>
      <c r="G114" s="303" t="str">
        <f t="shared" si="54"/>
        <v/>
      </c>
      <c r="H114" s="303" t="str">
        <f t="shared" si="55"/>
        <v/>
      </c>
      <c r="I114" s="97" t="str">
        <f t="shared" si="56"/>
        <v/>
      </c>
      <c r="J114" s="157" t="str">
        <f t="shared" si="57"/>
        <v/>
      </c>
      <c r="K114" s="96" t="str">
        <f t="shared" si="58"/>
        <v/>
      </c>
      <c r="L114" s="96" t="str">
        <f t="shared" si="59"/>
        <v/>
      </c>
      <c r="M114" s="97" t="str">
        <f t="shared" si="60"/>
        <v/>
      </c>
      <c r="N114" s="149" t="str">
        <f t="shared" si="61"/>
        <v/>
      </c>
      <c r="O114" s="149" t="str">
        <f t="shared" si="62"/>
        <v/>
      </c>
      <c r="P114" s="150" t="str">
        <f t="shared" si="63"/>
        <v/>
      </c>
      <c r="Q114" s="151" t="str">
        <f t="shared" si="64"/>
        <v/>
      </c>
      <c r="R114" s="149" t="str">
        <f t="shared" si="65"/>
        <v/>
      </c>
      <c r="S114" s="149" t="str">
        <f t="shared" si="66"/>
        <v/>
      </c>
      <c r="T114" s="150" t="str">
        <f t="shared" si="67"/>
        <v/>
      </c>
      <c r="U114" s="150" t="str">
        <f t="shared" si="68"/>
        <v/>
      </c>
      <c r="V114" s="152" t="str">
        <f t="shared" si="69"/>
        <v/>
      </c>
      <c r="W114" s="152" t="str">
        <f t="shared" si="70"/>
        <v/>
      </c>
      <c r="X114" s="150" t="str">
        <f t="shared" si="71"/>
        <v/>
      </c>
      <c r="Y114" s="150" t="str">
        <f t="shared" si="72"/>
        <v/>
      </c>
      <c r="Z114" s="153" t="str">
        <f t="shared" si="73"/>
        <v/>
      </c>
      <c r="AA114" s="154" t="str">
        <f t="shared" si="74"/>
        <v/>
      </c>
      <c r="AB114" s="153" t="str">
        <f t="shared" si="75"/>
        <v/>
      </c>
      <c r="AC114" s="153" t="str">
        <f t="shared" si="76"/>
        <v/>
      </c>
      <c r="AD114" s="153" t="str">
        <f t="shared" si="47"/>
        <v/>
      </c>
      <c r="AE114" s="153" t="str">
        <f t="shared" si="48"/>
        <v/>
      </c>
      <c r="AF114" s="436" t="str">
        <f t="shared" si="49"/>
        <v/>
      </c>
      <c r="AG114" s="337"/>
      <c r="AH114" s="425"/>
      <c r="AI114" s="423"/>
      <c r="AJ114" s="172"/>
      <c r="AK114" s="173"/>
    </row>
    <row r="115" spans="1:37" s="174" customFormat="1" ht="16.8" x14ac:dyDescent="0.25">
      <c r="A115" s="177"/>
      <c r="B115" s="376">
        <v>17</v>
      </c>
      <c r="C115" s="96" t="str">
        <f t="shared" si="77"/>
        <v/>
      </c>
      <c r="D115" s="96" t="str">
        <f t="shared" si="51"/>
        <v/>
      </c>
      <c r="E115" s="96" t="str">
        <f t="shared" si="52"/>
        <v/>
      </c>
      <c r="F115" s="96" t="str">
        <f t="shared" si="53"/>
        <v/>
      </c>
      <c r="G115" s="303" t="str">
        <f t="shared" si="54"/>
        <v/>
      </c>
      <c r="H115" s="303" t="str">
        <f t="shared" si="55"/>
        <v/>
      </c>
      <c r="I115" s="97" t="str">
        <f t="shared" si="56"/>
        <v/>
      </c>
      <c r="J115" s="157" t="str">
        <f t="shared" si="57"/>
        <v/>
      </c>
      <c r="K115" s="96" t="str">
        <f t="shared" si="58"/>
        <v/>
      </c>
      <c r="L115" s="96" t="str">
        <f t="shared" si="59"/>
        <v/>
      </c>
      <c r="M115" s="97" t="str">
        <f t="shared" si="60"/>
        <v/>
      </c>
      <c r="N115" s="149" t="str">
        <f t="shared" si="61"/>
        <v/>
      </c>
      <c r="O115" s="149" t="str">
        <f t="shared" si="62"/>
        <v/>
      </c>
      <c r="P115" s="150" t="str">
        <f t="shared" si="63"/>
        <v/>
      </c>
      <c r="Q115" s="151" t="str">
        <f t="shared" si="64"/>
        <v/>
      </c>
      <c r="R115" s="149" t="str">
        <f t="shared" si="65"/>
        <v/>
      </c>
      <c r="S115" s="149" t="str">
        <f t="shared" si="66"/>
        <v/>
      </c>
      <c r="T115" s="150" t="str">
        <f t="shared" si="67"/>
        <v/>
      </c>
      <c r="U115" s="150" t="str">
        <f t="shared" si="68"/>
        <v/>
      </c>
      <c r="V115" s="152" t="str">
        <f t="shared" si="69"/>
        <v/>
      </c>
      <c r="W115" s="152" t="str">
        <f t="shared" si="70"/>
        <v/>
      </c>
      <c r="X115" s="150" t="str">
        <f t="shared" si="71"/>
        <v/>
      </c>
      <c r="Y115" s="150" t="str">
        <f t="shared" si="72"/>
        <v/>
      </c>
      <c r="Z115" s="153" t="str">
        <f t="shared" si="73"/>
        <v/>
      </c>
      <c r="AA115" s="154" t="str">
        <f t="shared" si="74"/>
        <v/>
      </c>
      <c r="AB115" s="153" t="str">
        <f t="shared" si="75"/>
        <v/>
      </c>
      <c r="AC115" s="153" t="str">
        <f t="shared" si="76"/>
        <v/>
      </c>
      <c r="AD115" s="153" t="str">
        <f t="shared" si="47"/>
        <v/>
      </c>
      <c r="AE115" s="153" t="str">
        <f t="shared" si="48"/>
        <v/>
      </c>
      <c r="AF115" s="436" t="str">
        <f t="shared" si="49"/>
        <v/>
      </c>
      <c r="AG115" s="337"/>
      <c r="AH115" s="425"/>
      <c r="AI115" s="423"/>
      <c r="AJ115" s="172"/>
      <c r="AK115" s="173"/>
    </row>
    <row r="116" spans="1:37" s="174" customFormat="1" ht="16.8" x14ac:dyDescent="0.25">
      <c r="A116" s="177"/>
      <c r="B116" s="376">
        <v>18</v>
      </c>
      <c r="C116" s="96" t="str">
        <f t="shared" si="77"/>
        <v/>
      </c>
      <c r="D116" s="96" t="str">
        <f t="shared" si="51"/>
        <v/>
      </c>
      <c r="E116" s="96" t="str">
        <f t="shared" si="52"/>
        <v/>
      </c>
      <c r="F116" s="96" t="str">
        <f t="shared" si="53"/>
        <v/>
      </c>
      <c r="G116" s="303" t="str">
        <f t="shared" si="54"/>
        <v/>
      </c>
      <c r="H116" s="303" t="str">
        <f t="shared" si="55"/>
        <v/>
      </c>
      <c r="I116" s="97" t="str">
        <f t="shared" si="56"/>
        <v/>
      </c>
      <c r="J116" s="157" t="str">
        <f t="shared" si="57"/>
        <v/>
      </c>
      <c r="K116" s="96" t="str">
        <f t="shared" si="58"/>
        <v/>
      </c>
      <c r="L116" s="96" t="str">
        <f t="shared" si="59"/>
        <v/>
      </c>
      <c r="M116" s="97" t="str">
        <f t="shared" si="60"/>
        <v/>
      </c>
      <c r="N116" s="149" t="str">
        <f t="shared" si="61"/>
        <v/>
      </c>
      <c r="O116" s="149" t="str">
        <f t="shared" si="62"/>
        <v/>
      </c>
      <c r="P116" s="150" t="str">
        <f t="shared" si="63"/>
        <v/>
      </c>
      <c r="Q116" s="151" t="str">
        <f t="shared" si="64"/>
        <v/>
      </c>
      <c r="R116" s="149" t="str">
        <f t="shared" si="65"/>
        <v/>
      </c>
      <c r="S116" s="149" t="str">
        <f t="shared" si="66"/>
        <v/>
      </c>
      <c r="T116" s="150" t="str">
        <f t="shared" si="67"/>
        <v/>
      </c>
      <c r="U116" s="150" t="str">
        <f t="shared" si="68"/>
        <v/>
      </c>
      <c r="V116" s="152" t="str">
        <f t="shared" si="69"/>
        <v/>
      </c>
      <c r="W116" s="152" t="str">
        <f t="shared" si="70"/>
        <v/>
      </c>
      <c r="X116" s="150" t="str">
        <f t="shared" si="71"/>
        <v/>
      </c>
      <c r="Y116" s="150" t="str">
        <f t="shared" si="72"/>
        <v/>
      </c>
      <c r="Z116" s="153" t="str">
        <f t="shared" si="73"/>
        <v/>
      </c>
      <c r="AA116" s="154" t="str">
        <f t="shared" si="74"/>
        <v/>
      </c>
      <c r="AB116" s="153" t="str">
        <f t="shared" si="75"/>
        <v/>
      </c>
      <c r="AC116" s="153" t="str">
        <f t="shared" si="76"/>
        <v/>
      </c>
      <c r="AD116" s="153" t="str">
        <f t="shared" si="47"/>
        <v/>
      </c>
      <c r="AE116" s="153" t="str">
        <f t="shared" si="48"/>
        <v/>
      </c>
      <c r="AF116" s="436" t="str">
        <f t="shared" si="49"/>
        <v/>
      </c>
      <c r="AG116" s="337"/>
      <c r="AH116" s="425"/>
      <c r="AI116" s="423"/>
      <c r="AJ116" s="172"/>
      <c r="AK116" s="173"/>
    </row>
    <row r="117" spans="1:37" s="174" customFormat="1" ht="16.8" x14ac:dyDescent="0.25">
      <c r="A117" s="177"/>
      <c r="B117" s="376">
        <v>19</v>
      </c>
      <c r="C117" s="96" t="str">
        <f t="shared" si="77"/>
        <v/>
      </c>
      <c r="D117" s="96" t="str">
        <f t="shared" si="51"/>
        <v/>
      </c>
      <c r="E117" s="96" t="str">
        <f t="shared" si="52"/>
        <v/>
      </c>
      <c r="F117" s="96" t="str">
        <f t="shared" si="53"/>
        <v/>
      </c>
      <c r="G117" s="303" t="str">
        <f t="shared" si="54"/>
        <v/>
      </c>
      <c r="H117" s="303" t="str">
        <f t="shared" si="55"/>
        <v/>
      </c>
      <c r="I117" s="97" t="str">
        <f t="shared" si="56"/>
        <v/>
      </c>
      <c r="J117" s="157" t="str">
        <f t="shared" si="57"/>
        <v/>
      </c>
      <c r="K117" s="96" t="str">
        <f t="shared" si="58"/>
        <v/>
      </c>
      <c r="L117" s="96" t="str">
        <f t="shared" si="59"/>
        <v/>
      </c>
      <c r="M117" s="97" t="str">
        <f t="shared" si="60"/>
        <v/>
      </c>
      <c r="N117" s="149" t="str">
        <f t="shared" si="61"/>
        <v/>
      </c>
      <c r="O117" s="149" t="str">
        <f t="shared" si="62"/>
        <v/>
      </c>
      <c r="P117" s="150" t="str">
        <f t="shared" si="63"/>
        <v/>
      </c>
      <c r="Q117" s="151" t="str">
        <f t="shared" si="64"/>
        <v/>
      </c>
      <c r="R117" s="149" t="str">
        <f t="shared" si="65"/>
        <v/>
      </c>
      <c r="S117" s="149" t="str">
        <f t="shared" si="66"/>
        <v/>
      </c>
      <c r="T117" s="150" t="str">
        <f t="shared" si="67"/>
        <v/>
      </c>
      <c r="U117" s="150" t="str">
        <f t="shared" si="68"/>
        <v/>
      </c>
      <c r="V117" s="152" t="str">
        <f t="shared" si="69"/>
        <v/>
      </c>
      <c r="W117" s="152" t="str">
        <f t="shared" si="70"/>
        <v/>
      </c>
      <c r="X117" s="150" t="str">
        <f t="shared" si="71"/>
        <v/>
      </c>
      <c r="Y117" s="150" t="str">
        <f t="shared" si="72"/>
        <v/>
      </c>
      <c r="Z117" s="153" t="str">
        <f t="shared" si="73"/>
        <v/>
      </c>
      <c r="AA117" s="154" t="str">
        <f t="shared" si="74"/>
        <v/>
      </c>
      <c r="AB117" s="153" t="str">
        <f t="shared" si="75"/>
        <v/>
      </c>
      <c r="AC117" s="153" t="str">
        <f t="shared" si="76"/>
        <v/>
      </c>
      <c r="AD117" s="153" t="str">
        <f t="shared" si="47"/>
        <v/>
      </c>
      <c r="AE117" s="153" t="str">
        <f t="shared" si="48"/>
        <v/>
      </c>
      <c r="AF117" s="436" t="str">
        <f t="shared" si="49"/>
        <v/>
      </c>
      <c r="AG117" s="337"/>
      <c r="AH117" s="425"/>
      <c r="AI117" s="423"/>
      <c r="AJ117" s="172"/>
      <c r="AK117" s="173"/>
    </row>
    <row r="118" spans="1:37" s="174" customFormat="1" ht="16.8" x14ac:dyDescent="0.25">
      <c r="A118" s="177"/>
      <c r="B118" s="376">
        <v>20</v>
      </c>
      <c r="C118" s="96" t="str">
        <f t="shared" si="77"/>
        <v/>
      </c>
      <c r="D118" s="96" t="str">
        <f t="shared" si="51"/>
        <v/>
      </c>
      <c r="E118" s="96" t="str">
        <f t="shared" si="52"/>
        <v/>
      </c>
      <c r="F118" s="96" t="str">
        <f t="shared" si="53"/>
        <v/>
      </c>
      <c r="G118" s="303" t="str">
        <f t="shared" si="54"/>
        <v/>
      </c>
      <c r="H118" s="303" t="str">
        <f t="shared" si="55"/>
        <v/>
      </c>
      <c r="I118" s="97" t="str">
        <f t="shared" si="56"/>
        <v/>
      </c>
      <c r="J118" s="157" t="str">
        <f t="shared" si="57"/>
        <v/>
      </c>
      <c r="K118" s="96" t="str">
        <f t="shared" si="58"/>
        <v/>
      </c>
      <c r="L118" s="96" t="str">
        <f t="shared" si="59"/>
        <v/>
      </c>
      <c r="M118" s="97" t="str">
        <f t="shared" si="60"/>
        <v/>
      </c>
      <c r="N118" s="149" t="str">
        <f t="shared" si="61"/>
        <v/>
      </c>
      <c r="O118" s="149" t="str">
        <f t="shared" si="62"/>
        <v/>
      </c>
      <c r="P118" s="150" t="str">
        <f t="shared" si="63"/>
        <v/>
      </c>
      <c r="Q118" s="151" t="str">
        <f t="shared" si="64"/>
        <v/>
      </c>
      <c r="R118" s="149" t="str">
        <f t="shared" si="65"/>
        <v/>
      </c>
      <c r="S118" s="149" t="str">
        <f t="shared" si="66"/>
        <v/>
      </c>
      <c r="T118" s="150" t="str">
        <f t="shared" si="67"/>
        <v/>
      </c>
      <c r="U118" s="150" t="str">
        <f t="shared" si="68"/>
        <v/>
      </c>
      <c r="V118" s="152" t="str">
        <f t="shared" si="69"/>
        <v/>
      </c>
      <c r="W118" s="152" t="str">
        <f t="shared" si="70"/>
        <v/>
      </c>
      <c r="X118" s="150" t="str">
        <f t="shared" si="71"/>
        <v/>
      </c>
      <c r="Y118" s="150" t="str">
        <f t="shared" si="72"/>
        <v/>
      </c>
      <c r="Z118" s="153" t="str">
        <f t="shared" si="73"/>
        <v/>
      </c>
      <c r="AA118" s="154" t="str">
        <f t="shared" si="74"/>
        <v/>
      </c>
      <c r="AB118" s="153" t="str">
        <f t="shared" si="75"/>
        <v/>
      </c>
      <c r="AC118" s="153" t="str">
        <f t="shared" si="76"/>
        <v/>
      </c>
      <c r="AD118" s="153" t="str">
        <f t="shared" si="47"/>
        <v/>
      </c>
      <c r="AE118" s="153" t="str">
        <f t="shared" si="48"/>
        <v/>
      </c>
      <c r="AF118" s="436" t="str">
        <f t="shared" si="49"/>
        <v/>
      </c>
      <c r="AG118" s="337"/>
      <c r="AH118" s="425"/>
      <c r="AI118" s="423"/>
      <c r="AJ118" s="172"/>
      <c r="AK118" s="173"/>
    </row>
    <row r="119" spans="1:37" s="174" customFormat="1" ht="16.8" x14ac:dyDescent="0.25">
      <c r="A119" s="177"/>
      <c r="B119" s="376">
        <v>21</v>
      </c>
      <c r="C119" s="96" t="str">
        <f t="shared" si="77"/>
        <v/>
      </c>
      <c r="D119" s="96" t="str">
        <f t="shared" si="51"/>
        <v/>
      </c>
      <c r="E119" s="96" t="str">
        <f t="shared" si="52"/>
        <v/>
      </c>
      <c r="F119" s="96" t="str">
        <f t="shared" si="53"/>
        <v/>
      </c>
      <c r="G119" s="303" t="str">
        <f t="shared" si="54"/>
        <v/>
      </c>
      <c r="H119" s="303" t="str">
        <f t="shared" si="55"/>
        <v/>
      </c>
      <c r="I119" s="97" t="str">
        <f t="shared" si="56"/>
        <v/>
      </c>
      <c r="J119" s="157" t="str">
        <f t="shared" si="57"/>
        <v/>
      </c>
      <c r="K119" s="96" t="str">
        <f t="shared" si="58"/>
        <v/>
      </c>
      <c r="L119" s="96" t="str">
        <f t="shared" si="59"/>
        <v/>
      </c>
      <c r="M119" s="97" t="str">
        <f t="shared" si="60"/>
        <v/>
      </c>
      <c r="N119" s="149" t="str">
        <f t="shared" si="61"/>
        <v/>
      </c>
      <c r="O119" s="149" t="str">
        <f t="shared" si="62"/>
        <v/>
      </c>
      <c r="P119" s="150" t="str">
        <f t="shared" si="63"/>
        <v/>
      </c>
      <c r="Q119" s="151" t="str">
        <f t="shared" si="64"/>
        <v/>
      </c>
      <c r="R119" s="149" t="str">
        <f t="shared" si="65"/>
        <v/>
      </c>
      <c r="S119" s="149" t="str">
        <f t="shared" si="66"/>
        <v/>
      </c>
      <c r="T119" s="150" t="str">
        <f t="shared" si="67"/>
        <v/>
      </c>
      <c r="U119" s="150" t="str">
        <f t="shared" si="68"/>
        <v/>
      </c>
      <c r="V119" s="152" t="str">
        <f t="shared" si="69"/>
        <v/>
      </c>
      <c r="W119" s="152" t="str">
        <f t="shared" si="70"/>
        <v/>
      </c>
      <c r="X119" s="150" t="str">
        <f t="shared" si="71"/>
        <v/>
      </c>
      <c r="Y119" s="150" t="str">
        <f t="shared" si="72"/>
        <v/>
      </c>
      <c r="Z119" s="153" t="str">
        <f t="shared" si="73"/>
        <v/>
      </c>
      <c r="AA119" s="154" t="str">
        <f t="shared" si="74"/>
        <v/>
      </c>
      <c r="AB119" s="153" t="str">
        <f t="shared" si="75"/>
        <v/>
      </c>
      <c r="AC119" s="153" t="str">
        <f t="shared" si="76"/>
        <v/>
      </c>
      <c r="AD119" s="153" t="str">
        <f t="shared" si="47"/>
        <v/>
      </c>
      <c r="AE119" s="153" t="str">
        <f t="shared" si="48"/>
        <v/>
      </c>
      <c r="AF119" s="436" t="str">
        <f t="shared" si="49"/>
        <v/>
      </c>
      <c r="AG119" s="337"/>
      <c r="AH119" s="425"/>
      <c r="AI119" s="423"/>
      <c r="AJ119" s="172"/>
      <c r="AK119" s="173"/>
    </row>
    <row r="120" spans="1:37" s="174" customFormat="1" ht="16.8" x14ac:dyDescent="0.25">
      <c r="A120" s="177"/>
      <c r="B120" s="376">
        <v>22</v>
      </c>
      <c r="C120" s="96" t="str">
        <f t="shared" si="77"/>
        <v/>
      </c>
      <c r="D120" s="96" t="str">
        <f t="shared" si="51"/>
        <v/>
      </c>
      <c r="E120" s="96" t="str">
        <f t="shared" si="52"/>
        <v/>
      </c>
      <c r="F120" s="96" t="str">
        <f t="shared" si="53"/>
        <v/>
      </c>
      <c r="G120" s="303" t="str">
        <f t="shared" si="54"/>
        <v/>
      </c>
      <c r="H120" s="303" t="str">
        <f t="shared" si="55"/>
        <v/>
      </c>
      <c r="I120" s="97" t="str">
        <f t="shared" si="56"/>
        <v/>
      </c>
      <c r="J120" s="157" t="str">
        <f t="shared" si="57"/>
        <v/>
      </c>
      <c r="K120" s="96" t="str">
        <f t="shared" si="58"/>
        <v/>
      </c>
      <c r="L120" s="96" t="str">
        <f t="shared" si="59"/>
        <v/>
      </c>
      <c r="M120" s="97" t="str">
        <f t="shared" si="60"/>
        <v/>
      </c>
      <c r="N120" s="149" t="str">
        <f t="shared" si="61"/>
        <v/>
      </c>
      <c r="O120" s="149" t="str">
        <f t="shared" si="62"/>
        <v/>
      </c>
      <c r="P120" s="150" t="str">
        <f t="shared" si="63"/>
        <v/>
      </c>
      <c r="Q120" s="151" t="str">
        <f t="shared" si="64"/>
        <v/>
      </c>
      <c r="R120" s="149" t="str">
        <f t="shared" si="65"/>
        <v/>
      </c>
      <c r="S120" s="149" t="str">
        <f t="shared" si="66"/>
        <v/>
      </c>
      <c r="T120" s="150" t="str">
        <f t="shared" si="67"/>
        <v/>
      </c>
      <c r="U120" s="150" t="str">
        <f t="shared" si="68"/>
        <v/>
      </c>
      <c r="V120" s="152" t="str">
        <f t="shared" si="69"/>
        <v/>
      </c>
      <c r="W120" s="152" t="str">
        <f t="shared" si="70"/>
        <v/>
      </c>
      <c r="X120" s="150" t="str">
        <f t="shared" si="71"/>
        <v/>
      </c>
      <c r="Y120" s="150" t="str">
        <f t="shared" si="72"/>
        <v/>
      </c>
      <c r="Z120" s="153" t="str">
        <f t="shared" si="73"/>
        <v/>
      </c>
      <c r="AA120" s="154" t="str">
        <f t="shared" si="74"/>
        <v/>
      </c>
      <c r="AB120" s="153" t="str">
        <f t="shared" si="75"/>
        <v/>
      </c>
      <c r="AC120" s="153" t="str">
        <f t="shared" si="76"/>
        <v/>
      </c>
      <c r="AD120" s="153" t="str">
        <f t="shared" si="47"/>
        <v/>
      </c>
      <c r="AE120" s="153" t="str">
        <f t="shared" si="48"/>
        <v/>
      </c>
      <c r="AF120" s="436" t="str">
        <f t="shared" si="49"/>
        <v/>
      </c>
      <c r="AG120" s="337"/>
      <c r="AH120" s="425"/>
      <c r="AI120" s="423"/>
      <c r="AJ120" s="172"/>
      <c r="AK120" s="173"/>
    </row>
    <row r="121" spans="1:37" s="174" customFormat="1" ht="16.8" x14ac:dyDescent="0.25">
      <c r="A121" s="177"/>
      <c r="B121" s="376">
        <v>23</v>
      </c>
      <c r="C121" s="96" t="str">
        <f t="shared" si="77"/>
        <v/>
      </c>
      <c r="D121" s="96" t="str">
        <f t="shared" si="51"/>
        <v/>
      </c>
      <c r="E121" s="96" t="str">
        <f t="shared" si="52"/>
        <v/>
      </c>
      <c r="F121" s="96" t="str">
        <f t="shared" si="53"/>
        <v/>
      </c>
      <c r="G121" s="303" t="str">
        <f t="shared" si="54"/>
        <v/>
      </c>
      <c r="H121" s="303" t="str">
        <f t="shared" si="55"/>
        <v/>
      </c>
      <c r="I121" s="97" t="str">
        <f t="shared" si="56"/>
        <v/>
      </c>
      <c r="J121" s="157" t="str">
        <f t="shared" si="57"/>
        <v/>
      </c>
      <c r="K121" s="96" t="str">
        <f t="shared" si="58"/>
        <v/>
      </c>
      <c r="L121" s="96" t="str">
        <f t="shared" si="59"/>
        <v/>
      </c>
      <c r="M121" s="97" t="str">
        <f t="shared" si="60"/>
        <v/>
      </c>
      <c r="N121" s="149" t="str">
        <f t="shared" si="61"/>
        <v/>
      </c>
      <c r="O121" s="149" t="str">
        <f t="shared" si="62"/>
        <v/>
      </c>
      <c r="P121" s="150" t="str">
        <f t="shared" si="63"/>
        <v/>
      </c>
      <c r="Q121" s="151" t="str">
        <f t="shared" si="64"/>
        <v/>
      </c>
      <c r="R121" s="149" t="str">
        <f t="shared" si="65"/>
        <v/>
      </c>
      <c r="S121" s="149" t="str">
        <f t="shared" si="66"/>
        <v/>
      </c>
      <c r="T121" s="150" t="str">
        <f t="shared" si="67"/>
        <v/>
      </c>
      <c r="U121" s="150" t="str">
        <f t="shared" si="68"/>
        <v/>
      </c>
      <c r="V121" s="152" t="str">
        <f t="shared" si="69"/>
        <v/>
      </c>
      <c r="W121" s="152" t="str">
        <f t="shared" si="70"/>
        <v/>
      </c>
      <c r="X121" s="150" t="str">
        <f t="shared" si="71"/>
        <v/>
      </c>
      <c r="Y121" s="150" t="str">
        <f t="shared" si="72"/>
        <v/>
      </c>
      <c r="Z121" s="153" t="str">
        <f t="shared" si="73"/>
        <v/>
      </c>
      <c r="AA121" s="154" t="str">
        <f t="shared" si="74"/>
        <v/>
      </c>
      <c r="AB121" s="153" t="str">
        <f t="shared" si="75"/>
        <v/>
      </c>
      <c r="AC121" s="153" t="str">
        <f t="shared" si="76"/>
        <v/>
      </c>
      <c r="AD121" s="153" t="str">
        <f t="shared" si="47"/>
        <v/>
      </c>
      <c r="AE121" s="153" t="str">
        <f t="shared" si="48"/>
        <v/>
      </c>
      <c r="AF121" s="436" t="str">
        <f t="shared" si="49"/>
        <v/>
      </c>
      <c r="AG121" s="337"/>
      <c r="AH121" s="425"/>
      <c r="AI121" s="423"/>
      <c r="AJ121" s="172"/>
      <c r="AK121" s="173"/>
    </row>
    <row r="122" spans="1:37" s="174" customFormat="1" ht="16.8" x14ac:dyDescent="0.25">
      <c r="A122" s="177"/>
      <c r="B122" s="376">
        <v>24</v>
      </c>
      <c r="C122" s="96" t="str">
        <f t="shared" si="77"/>
        <v/>
      </c>
      <c r="D122" s="96" t="str">
        <f t="shared" si="51"/>
        <v/>
      </c>
      <c r="E122" s="96" t="str">
        <f t="shared" si="52"/>
        <v/>
      </c>
      <c r="F122" s="96" t="str">
        <f t="shared" si="53"/>
        <v/>
      </c>
      <c r="G122" s="303" t="str">
        <f t="shared" si="54"/>
        <v/>
      </c>
      <c r="H122" s="303" t="str">
        <f t="shared" si="55"/>
        <v/>
      </c>
      <c r="I122" s="97" t="str">
        <f t="shared" si="56"/>
        <v/>
      </c>
      <c r="J122" s="157" t="str">
        <f t="shared" si="57"/>
        <v/>
      </c>
      <c r="K122" s="96" t="str">
        <f t="shared" si="58"/>
        <v/>
      </c>
      <c r="L122" s="96" t="str">
        <f t="shared" si="59"/>
        <v/>
      </c>
      <c r="M122" s="97" t="str">
        <f t="shared" si="60"/>
        <v/>
      </c>
      <c r="N122" s="149" t="str">
        <f t="shared" si="61"/>
        <v/>
      </c>
      <c r="O122" s="149" t="str">
        <f t="shared" si="62"/>
        <v/>
      </c>
      <c r="P122" s="150" t="str">
        <f t="shared" si="63"/>
        <v/>
      </c>
      <c r="Q122" s="151" t="str">
        <f t="shared" si="64"/>
        <v/>
      </c>
      <c r="R122" s="149" t="str">
        <f t="shared" si="65"/>
        <v/>
      </c>
      <c r="S122" s="149" t="str">
        <f t="shared" si="66"/>
        <v/>
      </c>
      <c r="T122" s="150" t="str">
        <f t="shared" si="67"/>
        <v/>
      </c>
      <c r="U122" s="150" t="str">
        <f t="shared" si="68"/>
        <v/>
      </c>
      <c r="V122" s="152" t="str">
        <f t="shared" si="69"/>
        <v/>
      </c>
      <c r="W122" s="152" t="str">
        <f t="shared" si="70"/>
        <v/>
      </c>
      <c r="X122" s="150" t="str">
        <f t="shared" si="71"/>
        <v/>
      </c>
      <c r="Y122" s="150" t="str">
        <f t="shared" si="72"/>
        <v/>
      </c>
      <c r="Z122" s="153" t="str">
        <f t="shared" si="73"/>
        <v/>
      </c>
      <c r="AA122" s="154" t="str">
        <f t="shared" si="74"/>
        <v/>
      </c>
      <c r="AB122" s="153" t="str">
        <f t="shared" si="75"/>
        <v/>
      </c>
      <c r="AC122" s="153" t="str">
        <f t="shared" si="76"/>
        <v/>
      </c>
      <c r="AD122" s="153" t="str">
        <f t="shared" si="47"/>
        <v/>
      </c>
      <c r="AE122" s="153" t="str">
        <f t="shared" si="48"/>
        <v/>
      </c>
      <c r="AF122" s="436" t="str">
        <f t="shared" si="49"/>
        <v/>
      </c>
      <c r="AG122" s="337"/>
      <c r="AH122" s="425"/>
      <c r="AI122" s="423"/>
      <c r="AJ122" s="172"/>
      <c r="AK122" s="173"/>
    </row>
    <row r="123" spans="1:37" s="174" customFormat="1" ht="16.8" x14ac:dyDescent="0.25">
      <c r="A123" s="177"/>
      <c r="B123" s="376">
        <v>25</v>
      </c>
      <c r="C123" s="96" t="str">
        <f t="shared" si="77"/>
        <v/>
      </c>
      <c r="D123" s="96" t="str">
        <f t="shared" si="51"/>
        <v/>
      </c>
      <c r="E123" s="96" t="str">
        <f t="shared" si="52"/>
        <v/>
      </c>
      <c r="F123" s="96" t="str">
        <f t="shared" si="53"/>
        <v/>
      </c>
      <c r="G123" s="303" t="str">
        <f t="shared" si="54"/>
        <v/>
      </c>
      <c r="H123" s="303" t="str">
        <f t="shared" si="55"/>
        <v/>
      </c>
      <c r="I123" s="97" t="str">
        <f t="shared" si="56"/>
        <v/>
      </c>
      <c r="J123" s="157" t="str">
        <f t="shared" si="57"/>
        <v/>
      </c>
      <c r="K123" s="96" t="str">
        <f t="shared" si="58"/>
        <v/>
      </c>
      <c r="L123" s="96" t="str">
        <f t="shared" si="59"/>
        <v/>
      </c>
      <c r="M123" s="97" t="str">
        <f t="shared" si="60"/>
        <v/>
      </c>
      <c r="N123" s="149" t="str">
        <f t="shared" si="61"/>
        <v/>
      </c>
      <c r="O123" s="149" t="str">
        <f t="shared" si="62"/>
        <v/>
      </c>
      <c r="P123" s="150" t="str">
        <f t="shared" si="63"/>
        <v/>
      </c>
      <c r="Q123" s="151" t="str">
        <f t="shared" si="64"/>
        <v/>
      </c>
      <c r="R123" s="149" t="str">
        <f t="shared" si="65"/>
        <v/>
      </c>
      <c r="S123" s="149" t="str">
        <f t="shared" si="66"/>
        <v/>
      </c>
      <c r="T123" s="150" t="str">
        <f t="shared" si="67"/>
        <v/>
      </c>
      <c r="U123" s="150" t="str">
        <f t="shared" si="68"/>
        <v/>
      </c>
      <c r="V123" s="152" t="str">
        <f t="shared" si="69"/>
        <v/>
      </c>
      <c r="W123" s="152" t="str">
        <f t="shared" si="70"/>
        <v/>
      </c>
      <c r="X123" s="150" t="str">
        <f t="shared" si="71"/>
        <v/>
      </c>
      <c r="Y123" s="150" t="str">
        <f t="shared" si="72"/>
        <v/>
      </c>
      <c r="Z123" s="153" t="str">
        <f t="shared" si="73"/>
        <v/>
      </c>
      <c r="AA123" s="154" t="str">
        <f t="shared" si="74"/>
        <v/>
      </c>
      <c r="AB123" s="153" t="str">
        <f t="shared" si="75"/>
        <v/>
      </c>
      <c r="AC123" s="153" t="str">
        <f t="shared" si="76"/>
        <v/>
      </c>
      <c r="AD123" s="153" t="str">
        <f t="shared" si="47"/>
        <v/>
      </c>
      <c r="AE123" s="153" t="str">
        <f t="shared" si="48"/>
        <v/>
      </c>
      <c r="AF123" s="436" t="str">
        <f t="shared" si="49"/>
        <v/>
      </c>
      <c r="AG123" s="337"/>
      <c r="AH123" s="425"/>
      <c r="AI123" s="423"/>
      <c r="AJ123" s="172"/>
      <c r="AK123" s="173"/>
    </row>
    <row r="124" spans="1:37" s="174" customFormat="1" ht="16.8" x14ac:dyDescent="0.25">
      <c r="A124" s="177"/>
      <c r="B124" s="376">
        <v>26</v>
      </c>
      <c r="C124" s="96" t="str">
        <f t="shared" si="77"/>
        <v/>
      </c>
      <c r="D124" s="96" t="str">
        <f t="shared" si="51"/>
        <v/>
      </c>
      <c r="E124" s="96" t="str">
        <f t="shared" si="52"/>
        <v/>
      </c>
      <c r="F124" s="96" t="str">
        <f t="shared" si="53"/>
        <v/>
      </c>
      <c r="G124" s="303" t="str">
        <f t="shared" si="54"/>
        <v/>
      </c>
      <c r="H124" s="303" t="str">
        <f t="shared" si="55"/>
        <v/>
      </c>
      <c r="I124" s="97" t="str">
        <f t="shared" si="56"/>
        <v/>
      </c>
      <c r="J124" s="157" t="str">
        <f t="shared" si="57"/>
        <v/>
      </c>
      <c r="K124" s="96" t="str">
        <f t="shared" si="58"/>
        <v/>
      </c>
      <c r="L124" s="96" t="str">
        <f t="shared" si="59"/>
        <v/>
      </c>
      <c r="M124" s="97" t="str">
        <f t="shared" si="60"/>
        <v/>
      </c>
      <c r="N124" s="149" t="str">
        <f t="shared" si="61"/>
        <v/>
      </c>
      <c r="O124" s="149" t="str">
        <f t="shared" si="62"/>
        <v/>
      </c>
      <c r="P124" s="150" t="str">
        <f t="shared" si="63"/>
        <v/>
      </c>
      <c r="Q124" s="151" t="str">
        <f t="shared" si="64"/>
        <v/>
      </c>
      <c r="R124" s="149" t="str">
        <f t="shared" si="65"/>
        <v/>
      </c>
      <c r="S124" s="149" t="str">
        <f t="shared" si="66"/>
        <v/>
      </c>
      <c r="T124" s="150" t="str">
        <f t="shared" si="67"/>
        <v/>
      </c>
      <c r="U124" s="150" t="str">
        <f t="shared" si="68"/>
        <v/>
      </c>
      <c r="V124" s="152" t="str">
        <f t="shared" si="69"/>
        <v/>
      </c>
      <c r="W124" s="152" t="str">
        <f t="shared" si="70"/>
        <v/>
      </c>
      <c r="X124" s="150" t="str">
        <f t="shared" si="71"/>
        <v/>
      </c>
      <c r="Y124" s="150" t="str">
        <f t="shared" si="72"/>
        <v/>
      </c>
      <c r="Z124" s="153" t="str">
        <f t="shared" si="73"/>
        <v/>
      </c>
      <c r="AA124" s="154" t="str">
        <f t="shared" si="74"/>
        <v/>
      </c>
      <c r="AB124" s="153" t="str">
        <f t="shared" si="75"/>
        <v/>
      </c>
      <c r="AC124" s="153" t="str">
        <f t="shared" si="76"/>
        <v/>
      </c>
      <c r="AD124" s="153" t="str">
        <f t="shared" si="47"/>
        <v/>
      </c>
      <c r="AE124" s="153" t="str">
        <f t="shared" si="48"/>
        <v/>
      </c>
      <c r="AF124" s="436" t="str">
        <f t="shared" si="49"/>
        <v/>
      </c>
      <c r="AG124" s="337"/>
      <c r="AH124" s="425"/>
      <c r="AI124" s="423"/>
      <c r="AJ124" s="172"/>
      <c r="AK124" s="173"/>
    </row>
    <row r="125" spans="1:37" s="174" customFormat="1" ht="16.8" x14ac:dyDescent="0.25">
      <c r="A125" s="177"/>
      <c r="B125" s="376">
        <v>27</v>
      </c>
      <c r="C125" s="96" t="str">
        <f t="shared" si="77"/>
        <v/>
      </c>
      <c r="D125" s="96" t="str">
        <f t="shared" si="51"/>
        <v/>
      </c>
      <c r="E125" s="96" t="str">
        <f t="shared" si="52"/>
        <v/>
      </c>
      <c r="F125" s="96" t="str">
        <f t="shared" si="53"/>
        <v/>
      </c>
      <c r="G125" s="303" t="str">
        <f t="shared" si="54"/>
        <v/>
      </c>
      <c r="H125" s="303" t="str">
        <f t="shared" si="55"/>
        <v/>
      </c>
      <c r="I125" s="97" t="str">
        <f t="shared" si="56"/>
        <v/>
      </c>
      <c r="J125" s="157" t="str">
        <f t="shared" si="57"/>
        <v/>
      </c>
      <c r="K125" s="96" t="str">
        <f t="shared" si="58"/>
        <v/>
      </c>
      <c r="L125" s="96" t="str">
        <f t="shared" si="59"/>
        <v/>
      </c>
      <c r="M125" s="97" t="str">
        <f t="shared" si="60"/>
        <v/>
      </c>
      <c r="N125" s="149" t="str">
        <f t="shared" si="61"/>
        <v/>
      </c>
      <c r="O125" s="149" t="str">
        <f t="shared" si="62"/>
        <v/>
      </c>
      <c r="P125" s="150" t="str">
        <f t="shared" si="63"/>
        <v/>
      </c>
      <c r="Q125" s="151" t="str">
        <f t="shared" si="64"/>
        <v/>
      </c>
      <c r="R125" s="149" t="str">
        <f t="shared" si="65"/>
        <v/>
      </c>
      <c r="S125" s="149" t="str">
        <f t="shared" si="66"/>
        <v/>
      </c>
      <c r="T125" s="150" t="str">
        <f t="shared" si="67"/>
        <v/>
      </c>
      <c r="U125" s="150" t="str">
        <f t="shared" si="68"/>
        <v/>
      </c>
      <c r="V125" s="152" t="str">
        <f t="shared" si="69"/>
        <v/>
      </c>
      <c r="W125" s="152" t="str">
        <f t="shared" si="70"/>
        <v/>
      </c>
      <c r="X125" s="150" t="str">
        <f t="shared" si="71"/>
        <v/>
      </c>
      <c r="Y125" s="150" t="str">
        <f t="shared" si="72"/>
        <v/>
      </c>
      <c r="Z125" s="153" t="str">
        <f t="shared" si="73"/>
        <v/>
      </c>
      <c r="AA125" s="154" t="str">
        <f t="shared" si="74"/>
        <v/>
      </c>
      <c r="AB125" s="153" t="str">
        <f t="shared" si="75"/>
        <v/>
      </c>
      <c r="AC125" s="153" t="str">
        <f t="shared" si="76"/>
        <v/>
      </c>
      <c r="AD125" s="153" t="str">
        <f t="shared" si="47"/>
        <v/>
      </c>
      <c r="AE125" s="153" t="str">
        <f t="shared" si="48"/>
        <v/>
      </c>
      <c r="AF125" s="436" t="str">
        <f t="shared" si="49"/>
        <v/>
      </c>
      <c r="AG125" s="337"/>
      <c r="AH125" s="425"/>
      <c r="AI125" s="423"/>
      <c r="AJ125" s="172"/>
      <c r="AK125" s="173"/>
    </row>
    <row r="126" spans="1:37" s="174" customFormat="1" ht="16.8" x14ac:dyDescent="0.25">
      <c r="A126" s="177"/>
      <c r="B126" s="376">
        <v>28</v>
      </c>
      <c r="C126" s="96" t="str">
        <f t="shared" si="77"/>
        <v/>
      </c>
      <c r="D126" s="96" t="str">
        <f t="shared" si="51"/>
        <v/>
      </c>
      <c r="E126" s="96" t="str">
        <f t="shared" si="52"/>
        <v/>
      </c>
      <c r="F126" s="96" t="str">
        <f t="shared" si="53"/>
        <v/>
      </c>
      <c r="G126" s="303" t="str">
        <f t="shared" si="54"/>
        <v/>
      </c>
      <c r="H126" s="303" t="str">
        <f t="shared" si="55"/>
        <v/>
      </c>
      <c r="I126" s="97" t="str">
        <f t="shared" si="56"/>
        <v/>
      </c>
      <c r="J126" s="157" t="str">
        <f t="shared" si="57"/>
        <v/>
      </c>
      <c r="K126" s="96" t="str">
        <f t="shared" si="58"/>
        <v/>
      </c>
      <c r="L126" s="96" t="str">
        <f t="shared" si="59"/>
        <v/>
      </c>
      <c r="M126" s="97" t="str">
        <f t="shared" si="60"/>
        <v/>
      </c>
      <c r="N126" s="149" t="str">
        <f t="shared" si="61"/>
        <v/>
      </c>
      <c r="O126" s="149" t="str">
        <f t="shared" si="62"/>
        <v/>
      </c>
      <c r="P126" s="150" t="str">
        <f t="shared" si="63"/>
        <v/>
      </c>
      <c r="Q126" s="151" t="str">
        <f t="shared" si="64"/>
        <v/>
      </c>
      <c r="R126" s="149" t="str">
        <f t="shared" si="65"/>
        <v/>
      </c>
      <c r="S126" s="149" t="str">
        <f t="shared" si="66"/>
        <v/>
      </c>
      <c r="T126" s="150" t="str">
        <f t="shared" si="67"/>
        <v/>
      </c>
      <c r="U126" s="150" t="str">
        <f t="shared" si="68"/>
        <v/>
      </c>
      <c r="V126" s="152" t="str">
        <f t="shared" si="69"/>
        <v/>
      </c>
      <c r="W126" s="152" t="str">
        <f t="shared" si="70"/>
        <v/>
      </c>
      <c r="X126" s="150" t="str">
        <f t="shared" si="71"/>
        <v/>
      </c>
      <c r="Y126" s="150" t="str">
        <f t="shared" si="72"/>
        <v/>
      </c>
      <c r="Z126" s="153" t="str">
        <f t="shared" si="73"/>
        <v/>
      </c>
      <c r="AA126" s="154" t="str">
        <f t="shared" si="74"/>
        <v/>
      </c>
      <c r="AB126" s="153" t="str">
        <f t="shared" si="75"/>
        <v/>
      </c>
      <c r="AC126" s="153" t="str">
        <f t="shared" si="76"/>
        <v/>
      </c>
      <c r="AD126" s="153" t="str">
        <f t="shared" si="47"/>
        <v/>
      </c>
      <c r="AE126" s="153" t="str">
        <f t="shared" si="48"/>
        <v/>
      </c>
      <c r="AF126" s="436" t="str">
        <f t="shared" si="49"/>
        <v/>
      </c>
      <c r="AG126" s="337"/>
      <c r="AH126" s="425"/>
      <c r="AI126" s="423"/>
      <c r="AJ126" s="172"/>
      <c r="AK126" s="173"/>
    </row>
    <row r="127" spans="1:37" s="174" customFormat="1" ht="16.8" x14ac:dyDescent="0.25">
      <c r="A127" s="177"/>
      <c r="B127" s="376">
        <v>29</v>
      </c>
      <c r="C127" s="96" t="str">
        <f t="shared" si="77"/>
        <v/>
      </c>
      <c r="D127" s="96" t="str">
        <f t="shared" si="51"/>
        <v/>
      </c>
      <c r="E127" s="96" t="str">
        <f t="shared" si="52"/>
        <v/>
      </c>
      <c r="F127" s="96" t="str">
        <f t="shared" si="53"/>
        <v/>
      </c>
      <c r="G127" s="303" t="str">
        <f t="shared" si="54"/>
        <v/>
      </c>
      <c r="H127" s="303" t="str">
        <f t="shared" si="55"/>
        <v/>
      </c>
      <c r="I127" s="97" t="str">
        <f t="shared" si="56"/>
        <v/>
      </c>
      <c r="J127" s="157" t="str">
        <f t="shared" si="57"/>
        <v/>
      </c>
      <c r="K127" s="96" t="str">
        <f t="shared" si="58"/>
        <v/>
      </c>
      <c r="L127" s="96" t="str">
        <f t="shared" si="59"/>
        <v/>
      </c>
      <c r="M127" s="97" t="str">
        <f t="shared" si="60"/>
        <v/>
      </c>
      <c r="N127" s="149" t="str">
        <f t="shared" si="61"/>
        <v/>
      </c>
      <c r="O127" s="149" t="str">
        <f t="shared" si="62"/>
        <v/>
      </c>
      <c r="P127" s="150" t="str">
        <f t="shared" si="63"/>
        <v/>
      </c>
      <c r="Q127" s="151" t="str">
        <f t="shared" si="64"/>
        <v/>
      </c>
      <c r="R127" s="149" t="str">
        <f t="shared" si="65"/>
        <v/>
      </c>
      <c r="S127" s="149" t="str">
        <f t="shared" si="66"/>
        <v/>
      </c>
      <c r="T127" s="150" t="str">
        <f t="shared" si="67"/>
        <v/>
      </c>
      <c r="U127" s="150" t="str">
        <f t="shared" si="68"/>
        <v/>
      </c>
      <c r="V127" s="152" t="str">
        <f t="shared" si="69"/>
        <v/>
      </c>
      <c r="W127" s="152" t="str">
        <f t="shared" si="70"/>
        <v/>
      </c>
      <c r="X127" s="150" t="str">
        <f t="shared" si="71"/>
        <v/>
      </c>
      <c r="Y127" s="150" t="str">
        <f t="shared" si="72"/>
        <v/>
      </c>
      <c r="Z127" s="153" t="str">
        <f t="shared" si="73"/>
        <v/>
      </c>
      <c r="AA127" s="154" t="str">
        <f t="shared" si="74"/>
        <v/>
      </c>
      <c r="AB127" s="153" t="str">
        <f t="shared" si="75"/>
        <v/>
      </c>
      <c r="AC127" s="153" t="str">
        <f t="shared" si="76"/>
        <v/>
      </c>
      <c r="AD127" s="153" t="str">
        <f t="shared" si="47"/>
        <v/>
      </c>
      <c r="AE127" s="153" t="str">
        <f t="shared" si="48"/>
        <v/>
      </c>
      <c r="AF127" s="436" t="str">
        <f t="shared" si="49"/>
        <v/>
      </c>
      <c r="AG127" s="337"/>
      <c r="AH127" s="425"/>
      <c r="AI127" s="423"/>
      <c r="AJ127" s="172"/>
      <c r="AK127" s="173"/>
    </row>
    <row r="128" spans="1:37" s="174" customFormat="1" ht="17.399999999999999" thickBot="1" x14ac:dyDescent="0.3">
      <c r="A128" s="177"/>
      <c r="B128" s="378">
        <v>30</v>
      </c>
      <c r="C128" s="379" t="str">
        <f t="shared" si="77"/>
        <v/>
      </c>
      <c r="D128" s="379" t="str">
        <f t="shared" si="51"/>
        <v/>
      </c>
      <c r="E128" s="379" t="str">
        <f t="shared" si="52"/>
        <v/>
      </c>
      <c r="F128" s="379" t="str">
        <f t="shared" si="53"/>
        <v/>
      </c>
      <c r="G128" s="380" t="str">
        <f t="shared" si="54"/>
        <v/>
      </c>
      <c r="H128" s="380" t="str">
        <f t="shared" si="55"/>
        <v/>
      </c>
      <c r="I128" s="437" t="str">
        <f t="shared" si="56"/>
        <v/>
      </c>
      <c r="J128" s="438" t="str">
        <f t="shared" si="57"/>
        <v/>
      </c>
      <c r="K128" s="379" t="str">
        <f t="shared" si="58"/>
        <v/>
      </c>
      <c r="L128" s="379" t="str">
        <f t="shared" si="59"/>
        <v/>
      </c>
      <c r="M128" s="437" t="str">
        <f t="shared" si="60"/>
        <v/>
      </c>
      <c r="N128" s="439" t="str">
        <f t="shared" si="61"/>
        <v/>
      </c>
      <c r="O128" s="439" t="str">
        <f t="shared" si="62"/>
        <v/>
      </c>
      <c r="P128" s="440" t="str">
        <f t="shared" si="63"/>
        <v/>
      </c>
      <c r="Q128" s="441" t="str">
        <f t="shared" si="64"/>
        <v/>
      </c>
      <c r="R128" s="439" t="str">
        <f t="shared" si="65"/>
        <v/>
      </c>
      <c r="S128" s="439" t="str">
        <f t="shared" si="66"/>
        <v/>
      </c>
      <c r="T128" s="440" t="str">
        <f t="shared" si="67"/>
        <v/>
      </c>
      <c r="U128" s="440" t="str">
        <f t="shared" si="68"/>
        <v/>
      </c>
      <c r="V128" s="442" t="str">
        <f t="shared" si="69"/>
        <v/>
      </c>
      <c r="W128" s="442" t="str">
        <f t="shared" si="70"/>
        <v/>
      </c>
      <c r="X128" s="440" t="str">
        <f t="shared" si="71"/>
        <v/>
      </c>
      <c r="Y128" s="440" t="str">
        <f t="shared" si="72"/>
        <v/>
      </c>
      <c r="Z128" s="443" t="str">
        <f t="shared" si="73"/>
        <v/>
      </c>
      <c r="AA128" s="444" t="str">
        <f t="shared" si="74"/>
        <v/>
      </c>
      <c r="AB128" s="443" t="str">
        <f t="shared" si="75"/>
        <v/>
      </c>
      <c r="AC128" s="443" t="str">
        <f t="shared" si="76"/>
        <v/>
      </c>
      <c r="AD128" s="443" t="str">
        <f t="shared" si="47"/>
        <v/>
      </c>
      <c r="AE128" s="443" t="str">
        <f t="shared" si="48"/>
        <v/>
      </c>
      <c r="AF128" s="445" t="str">
        <f t="shared" si="49"/>
        <v/>
      </c>
      <c r="AG128" s="337"/>
      <c r="AH128" s="425"/>
      <c r="AI128" s="423"/>
      <c r="AJ128" s="172"/>
      <c r="AK128" s="173"/>
    </row>
    <row r="129" spans="1:34" s="174" customFormat="1" ht="17.25" customHeight="1" x14ac:dyDescent="0.25">
      <c r="A129" s="177"/>
      <c r="B129" s="177"/>
      <c r="C129" s="177"/>
      <c r="D129" s="177"/>
      <c r="E129" s="177"/>
      <c r="F129" s="177"/>
      <c r="G129" s="177"/>
      <c r="H129" s="177"/>
      <c r="I129" s="177"/>
      <c r="J129" s="177"/>
      <c r="K129" s="177"/>
      <c r="L129" s="177"/>
      <c r="M129" s="177"/>
      <c r="N129" s="177"/>
      <c r="O129" s="177"/>
      <c r="P129" s="181"/>
      <c r="Q129" s="181"/>
      <c r="R129" s="181"/>
      <c r="S129" s="181"/>
      <c r="T129" s="181"/>
      <c r="U129" s="181"/>
      <c r="V129" s="178"/>
      <c r="W129" s="178"/>
      <c r="X129" s="181"/>
      <c r="Y129" s="181"/>
      <c r="Z129" s="181"/>
      <c r="AA129" s="182"/>
      <c r="AB129" s="177"/>
      <c r="AC129" s="180"/>
      <c r="AD129" s="180"/>
      <c r="AE129" s="180"/>
      <c r="AF129" s="180"/>
      <c r="AG129" s="180"/>
      <c r="AH129" s="176"/>
    </row>
    <row r="130" spans="1:34" ht="3.75" hidden="1" customHeight="1" x14ac:dyDescent="0.25">
      <c r="A130" s="60"/>
      <c r="B130" s="60"/>
      <c r="C130" s="60"/>
      <c r="D130" s="60"/>
      <c r="E130" s="60"/>
      <c r="F130" s="60"/>
      <c r="G130" s="60"/>
      <c r="H130" s="60"/>
      <c r="I130" s="79"/>
      <c r="J130" s="79"/>
      <c r="K130" s="79"/>
      <c r="L130" s="79"/>
      <c r="M130" s="79"/>
      <c r="N130" s="60"/>
      <c r="O130" s="60"/>
      <c r="P130" s="79"/>
      <c r="Q130" s="79"/>
      <c r="R130" s="79"/>
      <c r="S130" s="79"/>
      <c r="T130" s="79"/>
      <c r="U130" s="79"/>
      <c r="V130" s="144"/>
      <c r="W130" s="144"/>
      <c r="X130" s="79"/>
      <c r="Y130" s="79"/>
      <c r="Z130" s="79"/>
      <c r="AA130" s="162"/>
      <c r="AB130" s="60"/>
      <c r="AC130" s="145"/>
      <c r="AD130" s="145"/>
      <c r="AE130" s="145"/>
      <c r="AF130" s="145"/>
      <c r="AG130" s="145"/>
    </row>
    <row r="131" spans="1:34" ht="13.8" hidden="1" x14ac:dyDescent="0.25">
      <c r="I131" s="163"/>
      <c r="J131" s="163"/>
      <c r="K131" s="163"/>
      <c r="L131" s="163"/>
      <c r="M131" s="163"/>
    </row>
    <row r="132" spans="1:34" ht="13.8" hidden="1" x14ac:dyDescent="0.25"/>
    <row r="133" spans="1:34" ht="13.8" hidden="1" x14ac:dyDescent="0.25"/>
    <row r="134" spans="1:34" ht="13.8" hidden="1" x14ac:dyDescent="0.25"/>
    <row r="135" spans="1:34" ht="13.8" hidden="1" x14ac:dyDescent="0.25"/>
    <row r="136" spans="1:34" ht="13.8" hidden="1" x14ac:dyDescent="0.25"/>
    <row r="137" spans="1:34" ht="13.8" hidden="1" x14ac:dyDescent="0.25"/>
    <row r="138" spans="1:34" ht="13.8" hidden="1" x14ac:dyDescent="0.25"/>
    <row r="139" spans="1:34" ht="13.8" hidden="1" x14ac:dyDescent="0.25"/>
    <row r="140" spans="1:34" ht="13.8" hidden="1" x14ac:dyDescent="0.25"/>
    <row r="141" spans="1:34" ht="13.8" hidden="1" x14ac:dyDescent="0.25"/>
    <row r="142" spans="1:34" ht="13.8" hidden="1" x14ac:dyDescent="0.25"/>
    <row r="143" spans="1:34" ht="13.8" hidden="1" x14ac:dyDescent="0.25"/>
    <row r="144" spans="1:34" ht="13.8" hidden="1" x14ac:dyDescent="0.25"/>
    <row r="145" spans="22:38" s="70" customFormat="1" ht="13.8" hidden="1" x14ac:dyDescent="0.25">
      <c r="V145" s="164"/>
      <c r="W145" s="164"/>
      <c r="AA145" s="165"/>
      <c r="AC145" s="166"/>
      <c r="AD145" s="166"/>
      <c r="AE145" s="166"/>
      <c r="AF145" s="166"/>
      <c r="AG145" s="166"/>
      <c r="AH145" s="176"/>
      <c r="AI145" s="43"/>
      <c r="AJ145" s="43"/>
      <c r="AK145" s="43"/>
      <c r="AL145" s="43"/>
    </row>
    <row r="146" spans="22:38" s="70" customFormat="1" ht="13.8" hidden="1" x14ac:dyDescent="0.25">
      <c r="V146" s="164"/>
      <c r="W146" s="164"/>
      <c r="AA146" s="165"/>
      <c r="AC146" s="166"/>
      <c r="AD146" s="166"/>
      <c r="AE146" s="166"/>
      <c r="AF146" s="166"/>
      <c r="AG146" s="166"/>
      <c r="AH146" s="176"/>
      <c r="AI146" s="43"/>
      <c r="AJ146" s="43"/>
      <c r="AK146" s="43"/>
      <c r="AL146" s="43"/>
    </row>
    <row r="147" spans="22:38" s="70" customFormat="1" ht="13.8" hidden="1" x14ac:dyDescent="0.25">
      <c r="V147" s="164"/>
      <c r="W147" s="164"/>
      <c r="AA147" s="165"/>
      <c r="AC147" s="166"/>
      <c r="AD147" s="166"/>
      <c r="AE147" s="166"/>
      <c r="AF147" s="166"/>
      <c r="AG147" s="166"/>
      <c r="AH147" s="176"/>
      <c r="AI147" s="43"/>
      <c r="AJ147" s="43"/>
      <c r="AK147" s="43"/>
      <c r="AL147" s="43"/>
    </row>
  </sheetData>
  <sheetProtection algorithmName="SHA-512" hashValue="rmp0vU8zLwNUUMTCwExRVBbNBMp8nlKbRzQv6O6v6GF52m13AWQN/UmczIKwk2PTLD9WKrF3fJSKsTsPTI19sw==" saltValue="eVZNYu6/LoDLHagEFWafjA==" spinCount="100000" sheet="1" objects="1" scenarios="1" selectLockedCells="1"/>
  <mergeCells count="36">
    <mergeCell ref="H55:L55"/>
    <mergeCell ref="N55:AC55"/>
    <mergeCell ref="AC2:AC5"/>
    <mergeCell ref="AB2:AB5"/>
    <mergeCell ref="AA2:AA5"/>
    <mergeCell ref="B54:AC54"/>
    <mergeCell ref="B97:H97"/>
    <mergeCell ref="I97:AF97"/>
    <mergeCell ref="AE4:AE5"/>
    <mergeCell ref="AF4:AF5"/>
    <mergeCell ref="X2:Y2"/>
    <mergeCell ref="B3:M3"/>
    <mergeCell ref="N3:O3"/>
    <mergeCell ref="P3:Q3"/>
    <mergeCell ref="R3:S3"/>
    <mergeCell ref="T3:U3"/>
    <mergeCell ref="V3:W3"/>
    <mergeCell ref="X3:Y3"/>
    <mergeCell ref="V2:W2"/>
    <mergeCell ref="B55:F55"/>
    <mergeCell ref="T2:U2"/>
    <mergeCell ref="B2:M2"/>
    <mergeCell ref="AG4:AG5"/>
    <mergeCell ref="B5:M5"/>
    <mergeCell ref="Z2:Z5"/>
    <mergeCell ref="P2:Q2"/>
    <mergeCell ref="R2:S2"/>
    <mergeCell ref="X4:Y4"/>
    <mergeCell ref="AD4:AD5"/>
    <mergeCell ref="B4:M4"/>
    <mergeCell ref="N4:O4"/>
    <mergeCell ref="P4:Q4"/>
    <mergeCell ref="R4:S4"/>
    <mergeCell ref="T4:U4"/>
    <mergeCell ref="V4:W4"/>
    <mergeCell ref="N2:O2"/>
  </mergeCells>
  <hyperlinks>
    <hyperlink ref="A1" location="DASHBOARD!A1" display="D"/>
  </hyperlinks>
  <pageMargins left="0.39370078740157483" right="0.18" top="0.39370078740157483" bottom="0.74803149606299213" header="0.23622047244094491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2</vt:i4>
      </vt:variant>
    </vt:vector>
  </HeadingPairs>
  <TitlesOfParts>
    <vt:vector size="23" baseType="lpstr">
      <vt:lpstr>Info</vt:lpstr>
      <vt:lpstr>DASHBOARD</vt:lpstr>
      <vt:lpstr>DATA</vt:lpstr>
      <vt:lpstr>MAIN DATA</vt:lpstr>
      <vt:lpstr>ENGLISH</vt:lpstr>
      <vt:lpstr>HINDI-SKT</vt:lpstr>
      <vt:lpstr>MATHS</vt:lpstr>
      <vt:lpstr>SCIENCE</vt:lpstr>
      <vt:lpstr>SST</vt:lpstr>
      <vt:lpstr>VOCATIONAL</vt:lpstr>
      <vt:lpstr>ATTENDANCE</vt:lpstr>
      <vt:lpstr>CO-SCHOLOSTIC</vt:lpstr>
      <vt:lpstr>REPORT CARD</vt:lpstr>
      <vt:lpstr>GREEN SHEET</vt:lpstr>
      <vt:lpstr>MAIN EXAM RESULT</vt:lpstr>
      <vt:lpstr>FINAL RESULT AFTER SUPP</vt:lpstr>
      <vt:lpstr>MARKSHEET DISTRIBUTION</vt:lpstr>
      <vt:lpstr>TECH. WISE RESULT</vt:lpstr>
      <vt:lpstr>SCHOOL RESULT</vt:lpstr>
      <vt:lpstr>RESULT ANALYSIS GRADE WISE</vt:lpstr>
      <vt:lpstr>RESULT ANALYSIS RANK WISE </vt:lpstr>
      <vt:lpstr>'REPORT CARD'!Print_Area</vt:lpstr>
      <vt:lpstr>'TECH. WISE RESULT'!Print_Area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2026-03-15T12:45:03Z</dcterms:modified>
</cp:coreProperties>
</file>